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1"/>
  </bookViews>
  <sheets>
    <sheet name="2011A" sheetId="1" r:id="rId1"/>
    <sheet name="Academic Project " sheetId="2" r:id="rId2"/>
    <sheet name="2016B" sheetId="3" r:id="rId3"/>
    <sheet name="2016B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'2011A'!$A:$A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<sst xmlns="http://schemas.openxmlformats.org/spreadsheetml/2006/main" count="1237" uniqueCount="168">
  <si>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</si>
  <si>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</si>
  <si>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</si>
  <si>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</si>
  <si>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</si>
  <si>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</si>
  <si>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</si>
  <si>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</si>
  <si>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</si>
  <si>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</si>
  <si>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</si>
  <si>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</si>
  <si>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</si>
  <si>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</si>
  <si>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</si>
  <si>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</si>
  <si>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</si>
  <si>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</si>
  <si>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</si>
  <si>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</si>
  <si>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</si>
  <si>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</si>
  <si>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</si>
  <si>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</si>
  <si>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</si>
  <si>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</si>
  <si>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</si>
  <si>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</si>
  <si>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</si>
  <si>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</si>
  <si>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</si>
  <si>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</si>
  <si>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</si>
  <si>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</si>
  <si>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</si>
  <si>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</si>
  <si>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</si>
  <si>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</si>
  <si>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</si>
  <si>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</si>
  <si>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</si>
  <si>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</si>
  <si>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</si>
  <si>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</si>
  <si>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</si>
  <si>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</si>
  <si>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</si>
  <si>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</si>
  <si>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</si>
  <si>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</si>
  <si>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</si>
  <si>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</si>
  <si>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</si>
  <si>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</si>
  <si>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</si>
  <si>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</si>
  <si>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</si>
  <si>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</si>
  <si>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</si>
  <si>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</si>
  <si>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</si>
  <si>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</si>
  <si>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</si>
  <si>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</si>
  <si>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</si>
  <si>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</si>
  <si>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</si>
  <si>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</si>
  <si>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</si>
  <si>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</si>
  <si>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</si>
  <si>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</si>
  <si>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</si>
  <si>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</si>
  <si>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</si>
  <si>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</si>
  <si>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</si>
  <si>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</si>
  <si>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</si>
  <si>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</si>
  <si>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</si>
  <si>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</si>
  <si>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</si>
  <si>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</si>
  <si>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</si>
  <si>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</si>
  <si>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</si>
  <si>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</si>
  <si>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</si>
  <si>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</si>
  <si>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</si>
  <si>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</si>
  <si>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</si>
  <si>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</si>
  <si>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</si>
  <si>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</si>
  <si>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</si>
  <si>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</si>
  <si>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</si>
  <si>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</si>
  <si>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</si>
  <si>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</si>
  <si>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</si>
  <si>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</si>
  <si>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</si>
  <si>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</si>
  <si>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</si>
  <si>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</si>
  <si>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</si>
  <si>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</si>
  <si>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</si>
  <si>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</si>
  <si>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</si>
  <si>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</si>
  <si>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</si>
  <si>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</si>
  <si>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</si>
  <si>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</si>
  <si>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</si>
  <si>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</si>
  <si>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</si>
  <si>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</si>
  <si>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</si>
  <si>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</si>
  <si>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</si>
  <si>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</si>
  <si>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</si>
  <si>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</si>
  <si>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</si>
  <si>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</si>
  <si>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</si>
  <si>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</si>
  <si>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</si>
  <si>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</si>
  <si>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</si>
  <si>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</si>
  <si>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</si>
  <si>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</si>
  <si>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</si>
  <si>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</si>
  <si>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</si>
  <si>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</si>
  <si>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</si>
  <si>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</si>
  <si>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</si>
  <si>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</si>
  <si>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</si>
  <si>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</si>
  <si>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</si>
  <si>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</si>
  <si>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</si>
  <si>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</si>
  <si>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</si>
  <si>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</si>
  <si>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</si>
  <si>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</si>
  <si>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</si>
  <si>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</si>
  <si>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</si>
  <si>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</si>
  <si>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</si>
  <si>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</si>
  <si>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</si>
  <si>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 xml:space="preserve">    2011 Series A Bond Funded Projects after 2016B</t>
  </si>
  <si>
    <t xml:space="preserve">          Total Debt Services - 2011 Series A Original after 2016B</t>
  </si>
  <si>
    <t>Loss on Refunding</t>
  </si>
  <si>
    <t xml:space="preserve">          Total Debt Services - 2011 Series A refinanced on 2016B</t>
  </si>
  <si>
    <t xml:space="preserve">    2011 Series A Bond Funded Projects refinanced on 2016B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</si>
</sst>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65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.75">
      <c r="A1" s="1"/>
      <c r="B1" s="2"/>
      <c r="D1" s="4"/>
      <c r="H1" s="4" t="s">
        <v>95</v>
      </c>
      <c r="M1" s="4"/>
      <c r="W1" s="4" t="s">
        <v>95</v>
      </c>
      <c r="AL1" s="4" t="s">
        <v>95</v>
      </c>
      <c r="BA1" s="4" t="s">
        <v>95</v>
      </c>
      <c r="BK1" s="4"/>
      <c r="BP1" s="4" t="s">
        <v>95</v>
      </c>
      <c r="BU1" s="4"/>
      <c r="CE1" s="4" t="s">
        <v>95</v>
      </c>
      <c r="CJ1" s="4"/>
      <c r="CT1" s="4" t="s">
        <v>95</v>
      </c>
      <c r="DI1" s="4" t="s">
        <v>95</v>
      </c>
    </row>
    <row r="2" spans="1:113" ht="12.75">
      <c r="A2" s="1"/>
      <c r="B2" s="2"/>
      <c r="D2" s="4"/>
      <c r="H2" s="4" t="s">
        <v>94</v>
      </c>
      <c r="M2" s="4"/>
      <c r="W2" s="4" t="s">
        <v>94</v>
      </c>
      <c r="AL2" s="4" t="s">
        <v>94</v>
      </c>
      <c r="BA2" s="4" t="s">
        <v>94</v>
      </c>
      <c r="BK2" s="4"/>
      <c r="BP2" s="4" t="s">
        <v>94</v>
      </c>
      <c r="BU2" s="4"/>
      <c r="CE2" s="4" t="s">
        <v>94</v>
      </c>
      <c r="CJ2" s="4"/>
      <c r="CT2" s="4" t="s">
        <v>94</v>
      </c>
      <c r="DI2" s="4" t="s">
        <v>94</v>
      </c>
    </row>
    <row r="3" spans="1:113" ht="12.75">
      <c r="A3" s="1"/>
      <c r="B3" s="2"/>
      <c r="D3" s="7"/>
      <c r="H3" s="4" t="s">
        <v>163</v>
      </c>
      <c r="M3" s="4"/>
      <c r="N3" s="8"/>
      <c r="W3" s="4" t="str">
        <f>H3</f>
        <v>    2011 Series A Bond Funded Projects after 2016B</v>
      </c>
      <c r="AL3" s="4" t="s">
        <v>122</v>
      </c>
      <c r="BA3" s="4" t="s">
        <v>122</v>
      </c>
      <c r="BK3" s="4"/>
      <c r="BP3" s="4" t="s">
        <v>122</v>
      </c>
      <c r="BU3" s="4"/>
      <c r="CE3" s="4" t="s">
        <v>122</v>
      </c>
      <c r="CJ3" s="4"/>
      <c r="CT3" s="4" t="s">
        <v>122</v>
      </c>
      <c r="DI3" s="4" t="s">
        <v>122</v>
      </c>
    </row>
    <row r="4" spans="1:4" ht="12.75">
      <c r="A4" s="1"/>
      <c r="B4" s="2"/>
      <c r="C4" s="7"/>
      <c r="D4" s="4"/>
    </row>
    <row r="5" spans="1:116" ht="12.75">
      <c r="A5" s="9" t="s">
        <v>0</v>
      </c>
      <c r="C5" s="10" t="s">
        <v>164</v>
      </c>
      <c r="D5" s="11"/>
      <c r="E5" s="12"/>
      <c r="F5" s="12"/>
      <c r="H5" s="13" t="s">
        <v>131</v>
      </c>
      <c r="I5" s="14"/>
      <c r="J5" s="15"/>
      <c r="K5" s="73"/>
      <c r="M5" s="13" t="s">
        <v>136</v>
      </c>
      <c r="N5" s="16"/>
      <c r="O5" s="15"/>
      <c r="P5" s="73"/>
      <c r="R5" s="20" t="s">
        <v>132</v>
      </c>
      <c r="S5" s="18"/>
      <c r="T5" s="19"/>
      <c r="U5" s="73"/>
      <c r="W5" s="17" t="s">
        <v>1</v>
      </c>
      <c r="X5" s="18"/>
      <c r="Y5" s="19"/>
      <c r="Z5" s="73"/>
      <c r="AB5" s="20" t="s">
        <v>98</v>
      </c>
      <c r="AC5" s="18"/>
      <c r="AD5" s="19"/>
      <c r="AE5" s="73"/>
      <c r="AG5" s="20" t="s">
        <v>147</v>
      </c>
      <c r="AH5" s="18"/>
      <c r="AI5" s="19"/>
      <c r="AJ5" s="73"/>
      <c r="AL5" s="17" t="s">
        <v>148</v>
      </c>
      <c r="AM5" s="18"/>
      <c r="AN5" s="19"/>
      <c r="AO5" s="73"/>
      <c r="AQ5" s="20" t="s">
        <v>149</v>
      </c>
      <c r="AR5" s="18"/>
      <c r="AS5" s="19"/>
      <c r="AT5" s="73"/>
      <c r="AV5" s="17" t="s">
        <v>2</v>
      </c>
      <c r="AW5" s="18"/>
      <c r="AX5" s="19"/>
      <c r="AY5" s="73"/>
      <c r="BA5" s="17" t="s">
        <v>3</v>
      </c>
      <c r="BB5" s="18"/>
      <c r="BC5" s="19"/>
      <c r="BD5" s="73"/>
      <c r="BE5" s="21"/>
      <c r="BF5" s="17" t="s">
        <v>4</v>
      </c>
      <c r="BG5" s="18"/>
      <c r="BH5" s="19"/>
      <c r="BI5" s="73"/>
      <c r="BK5" s="20" t="s">
        <v>150</v>
      </c>
      <c r="BL5" s="18"/>
      <c r="BM5" s="19"/>
      <c r="BN5" s="73"/>
      <c r="BP5" s="17" t="s">
        <v>5</v>
      </c>
      <c r="BQ5" s="18"/>
      <c r="BR5" s="19"/>
      <c r="BS5" s="73"/>
      <c r="BU5" s="17" t="s">
        <v>6</v>
      </c>
      <c r="BV5" s="18"/>
      <c r="BW5" s="19"/>
      <c r="BX5" s="73"/>
      <c r="BZ5" s="20" t="s">
        <v>7</v>
      </c>
      <c r="CA5" s="18"/>
      <c r="CB5" s="19"/>
      <c r="CC5" s="73"/>
      <c r="CE5" s="17" t="s">
        <v>133</v>
      </c>
      <c r="CF5" s="18"/>
      <c r="CG5" s="19"/>
      <c r="CH5" s="73"/>
      <c r="CJ5" s="20" t="s">
        <v>8</v>
      </c>
      <c r="CK5" s="18"/>
      <c r="CL5" s="19"/>
      <c r="CM5" s="73"/>
      <c r="CO5" s="20" t="s">
        <v>9</v>
      </c>
      <c r="CP5" s="18"/>
      <c r="CQ5" s="19"/>
      <c r="CR5" s="73"/>
      <c r="CT5" s="20" t="s">
        <v>10</v>
      </c>
      <c r="CU5" s="18"/>
      <c r="CV5" s="19"/>
      <c r="CW5" s="73"/>
      <c r="CY5" s="20" t="s">
        <v>134</v>
      </c>
      <c r="CZ5" s="18"/>
      <c r="DA5" s="19"/>
      <c r="DB5" s="73"/>
      <c r="DD5" s="17" t="s">
        <v>11</v>
      </c>
      <c r="DE5" s="18"/>
      <c r="DF5" s="19"/>
      <c r="DG5" s="73"/>
      <c r="DI5" s="20" t="s">
        <v>12</v>
      </c>
      <c r="DJ5" s="18"/>
      <c r="DK5" s="19"/>
      <c r="DL5" s="21"/>
    </row>
    <row r="6" spans="1:116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5"/>
      <c r="H6" s="23">
        <v>0.0276096</v>
      </c>
      <c r="I6" s="24">
        <v>0.1184027</v>
      </c>
      <c r="J6" s="25">
        <v>0.150722</v>
      </c>
      <c r="K6" s="31" t="s">
        <v>159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159</v>
      </c>
      <c r="Q6" s="5"/>
      <c r="R6" s="27">
        <v>0.0027577</v>
      </c>
      <c r="S6" s="28">
        <v>0.0225364</v>
      </c>
      <c r="T6" s="25">
        <v>0.0383301</v>
      </c>
      <c r="U6" s="31" t="s">
        <v>159</v>
      </c>
      <c r="V6" s="5"/>
      <c r="W6" s="27">
        <v>0.0314922</v>
      </c>
      <c r="X6" s="28">
        <v>0.0639529</v>
      </c>
      <c r="Y6" s="25">
        <v>0.0694557</v>
      </c>
      <c r="Z6" s="31" t="s">
        <v>159</v>
      </c>
      <c r="AA6" s="5"/>
      <c r="AB6" s="27">
        <v>0.0028391</v>
      </c>
      <c r="AC6" s="28">
        <v>0.0537729</v>
      </c>
      <c r="AD6" s="25">
        <v>0.0559651</v>
      </c>
      <c r="AE6" s="31" t="s">
        <v>159</v>
      </c>
      <c r="AF6" s="5"/>
      <c r="AG6" s="27">
        <v>0</v>
      </c>
      <c r="AH6" s="28">
        <v>0.0405662</v>
      </c>
      <c r="AI6" s="25">
        <v>0.066509</v>
      </c>
      <c r="AJ6" s="31" t="s">
        <v>159</v>
      </c>
      <c r="AK6" s="5"/>
      <c r="AL6" s="27">
        <v>0</v>
      </c>
      <c r="AM6" s="28">
        <v>0.00163</v>
      </c>
      <c r="AN6" s="25">
        <v>0.0039726</v>
      </c>
      <c r="AO6" s="31" t="s">
        <v>159</v>
      </c>
      <c r="AP6" s="5"/>
      <c r="AQ6" s="27">
        <v>0</v>
      </c>
      <c r="AR6" s="28">
        <v>0.0003304</v>
      </c>
      <c r="AS6" s="25">
        <v>0.0003576</v>
      </c>
      <c r="AT6" s="31" t="s">
        <v>159</v>
      </c>
      <c r="AV6" s="27">
        <v>0.0037598</v>
      </c>
      <c r="AW6" s="28">
        <v>0.0424374</v>
      </c>
      <c r="AX6" s="25">
        <v>0.0731656</v>
      </c>
      <c r="AY6" s="31" t="s">
        <v>159</v>
      </c>
      <c r="BA6" s="27">
        <v>2.5E-06</v>
      </c>
      <c r="BB6" s="28">
        <v>2.5E-06</v>
      </c>
      <c r="BC6" s="25">
        <v>2.6E-06</v>
      </c>
      <c r="BD6" s="31" t="s">
        <v>159</v>
      </c>
      <c r="BE6" s="71"/>
      <c r="BF6" s="27">
        <v>0.0031753</v>
      </c>
      <c r="BG6" s="28">
        <v>0.0638023</v>
      </c>
      <c r="BH6" s="25">
        <v>0.093455</v>
      </c>
      <c r="BI6" s="31" t="s">
        <v>159</v>
      </c>
      <c r="BK6" s="27">
        <v>0</v>
      </c>
      <c r="BL6" s="28">
        <v>1.49E-05</v>
      </c>
      <c r="BM6" s="25">
        <v>0.0002205</v>
      </c>
      <c r="BN6" s="31" t="s">
        <v>159</v>
      </c>
      <c r="BP6" s="27">
        <v>0.0072025</v>
      </c>
      <c r="BQ6" s="28">
        <v>0.0214144</v>
      </c>
      <c r="BR6" s="25">
        <v>0.0391863</v>
      </c>
      <c r="BS6" s="31" t="s">
        <v>159</v>
      </c>
      <c r="BU6" s="27">
        <v>8.66E-05</v>
      </c>
      <c r="BV6" s="28">
        <v>0.0001901</v>
      </c>
      <c r="BW6" s="25">
        <v>0.0001978</v>
      </c>
      <c r="BX6" s="31" t="s">
        <v>159</v>
      </c>
      <c r="BZ6" s="27">
        <v>0.0004635</v>
      </c>
      <c r="CA6" s="28">
        <v>0.0049698</v>
      </c>
      <c r="CB6" s="25">
        <v>0.0076906</v>
      </c>
      <c r="CC6" s="31" t="s">
        <v>159</v>
      </c>
      <c r="CE6" s="27">
        <v>0.0021123</v>
      </c>
      <c r="CF6" s="28">
        <v>0.0024687</v>
      </c>
      <c r="CG6" s="25">
        <v>0.0040943</v>
      </c>
      <c r="CH6" s="31" t="s">
        <v>159</v>
      </c>
      <c r="CJ6" s="27">
        <v>0.0114827</v>
      </c>
      <c r="CK6" s="28">
        <v>0.0127301</v>
      </c>
      <c r="CL6" s="25">
        <v>0.0133414</v>
      </c>
      <c r="CM6" s="31" t="s">
        <v>159</v>
      </c>
      <c r="CO6" s="27">
        <v>0.0341885</v>
      </c>
      <c r="CP6" s="28">
        <v>0.0945673</v>
      </c>
      <c r="CQ6" s="25">
        <v>0.1174377</v>
      </c>
      <c r="CR6" s="31" t="s">
        <v>159</v>
      </c>
      <c r="CT6" s="27">
        <v>0.0324867</v>
      </c>
      <c r="CU6" s="28">
        <v>0.1778921</v>
      </c>
      <c r="CV6" s="25">
        <v>0.2431357</v>
      </c>
      <c r="CW6" s="31" t="s">
        <v>159</v>
      </c>
      <c r="CY6" s="27">
        <v>0.0078216</v>
      </c>
      <c r="CZ6" s="28">
        <v>0.0102824</v>
      </c>
      <c r="DA6" s="25">
        <v>0.0107909</v>
      </c>
      <c r="DB6" s="31" t="s">
        <v>159</v>
      </c>
      <c r="DD6" s="27">
        <v>0.0042498</v>
      </c>
      <c r="DE6" s="28">
        <v>0.0114622</v>
      </c>
      <c r="DF6" s="25">
        <v>0.0119695</v>
      </c>
      <c r="DG6" s="31" t="s">
        <v>159</v>
      </c>
      <c r="DI6" s="27">
        <v>0.8329672</v>
      </c>
      <c r="DJ6" s="28">
        <v>0.2565743</v>
      </c>
      <c r="DK6" s="25"/>
      <c r="DL6" s="71"/>
    </row>
    <row r="7" spans="1:116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2" t="s">
        <v>14</v>
      </c>
      <c r="S7" s="32" t="s">
        <v>15</v>
      </c>
      <c r="T7" s="32" t="s">
        <v>16</v>
      </c>
      <c r="U7" s="31" t="s">
        <v>160</v>
      </c>
      <c r="W7" s="32" t="s">
        <v>14</v>
      </c>
      <c r="X7" s="32" t="s">
        <v>15</v>
      </c>
      <c r="Y7" s="32" t="s">
        <v>16</v>
      </c>
      <c r="Z7" s="31" t="s">
        <v>160</v>
      </c>
      <c r="AB7" s="32" t="s">
        <v>14</v>
      </c>
      <c r="AC7" s="32" t="s">
        <v>15</v>
      </c>
      <c r="AD7" s="32" t="s">
        <v>16</v>
      </c>
      <c r="AE7" s="31" t="s">
        <v>160</v>
      </c>
      <c r="AG7" s="32" t="s">
        <v>14</v>
      </c>
      <c r="AH7" s="32" t="s">
        <v>15</v>
      </c>
      <c r="AI7" s="32" t="s">
        <v>16</v>
      </c>
      <c r="AJ7" s="31" t="s">
        <v>160</v>
      </c>
      <c r="AL7" s="32" t="s">
        <v>14</v>
      </c>
      <c r="AM7" s="32" t="s">
        <v>15</v>
      </c>
      <c r="AN7" s="32" t="s">
        <v>16</v>
      </c>
      <c r="AO7" s="31" t="s">
        <v>160</v>
      </c>
      <c r="AQ7" s="32" t="s">
        <v>14</v>
      </c>
      <c r="AR7" s="32" t="s">
        <v>15</v>
      </c>
      <c r="AS7" s="32" t="s">
        <v>16</v>
      </c>
      <c r="AT7" s="31" t="s">
        <v>160</v>
      </c>
      <c r="AV7" s="32" t="s">
        <v>14</v>
      </c>
      <c r="AW7" s="32" t="s">
        <v>15</v>
      </c>
      <c r="AX7" s="32" t="s">
        <v>16</v>
      </c>
      <c r="AY7" s="31" t="s">
        <v>160</v>
      </c>
      <c r="BA7" s="32" t="s">
        <v>14</v>
      </c>
      <c r="BB7" s="32" t="s">
        <v>15</v>
      </c>
      <c r="BC7" s="32" t="s">
        <v>16</v>
      </c>
      <c r="BD7" s="31" t="s">
        <v>160</v>
      </c>
      <c r="BE7" s="33"/>
      <c r="BF7" s="32" t="s">
        <v>14</v>
      </c>
      <c r="BG7" s="32" t="s">
        <v>15</v>
      </c>
      <c r="BH7" s="32" t="s">
        <v>16</v>
      </c>
      <c r="BI7" s="31" t="s">
        <v>160</v>
      </c>
      <c r="BK7" s="32" t="s">
        <v>14</v>
      </c>
      <c r="BL7" s="32" t="s">
        <v>15</v>
      </c>
      <c r="BM7" s="32" t="s">
        <v>16</v>
      </c>
      <c r="BN7" s="31" t="s">
        <v>160</v>
      </c>
      <c r="BP7" s="32" t="s">
        <v>14</v>
      </c>
      <c r="BQ7" s="32" t="s">
        <v>15</v>
      </c>
      <c r="BR7" s="32" t="s">
        <v>16</v>
      </c>
      <c r="BS7" s="31" t="s">
        <v>160</v>
      </c>
      <c r="BU7" s="32" t="s">
        <v>14</v>
      </c>
      <c r="BV7" s="32" t="s">
        <v>15</v>
      </c>
      <c r="BW7" s="32" t="s">
        <v>16</v>
      </c>
      <c r="BX7" s="31" t="s">
        <v>160</v>
      </c>
      <c r="BZ7" s="32" t="s">
        <v>14</v>
      </c>
      <c r="CA7" s="32" t="s">
        <v>15</v>
      </c>
      <c r="CB7" s="32" t="s">
        <v>16</v>
      </c>
      <c r="CC7" s="31" t="s">
        <v>160</v>
      </c>
      <c r="CE7" s="32" t="s">
        <v>14</v>
      </c>
      <c r="CF7" s="32" t="s">
        <v>15</v>
      </c>
      <c r="CG7" s="32" t="s">
        <v>16</v>
      </c>
      <c r="CH7" s="31" t="s">
        <v>160</v>
      </c>
      <c r="CJ7" s="32" t="s">
        <v>14</v>
      </c>
      <c r="CK7" s="32" t="s">
        <v>15</v>
      </c>
      <c r="CL7" s="32" t="s">
        <v>16</v>
      </c>
      <c r="CM7" s="31" t="s">
        <v>160</v>
      </c>
      <c r="CO7" s="32" t="s">
        <v>14</v>
      </c>
      <c r="CP7" s="32" t="s">
        <v>15</v>
      </c>
      <c r="CQ7" s="32" t="s">
        <v>16</v>
      </c>
      <c r="CR7" s="31" t="s">
        <v>160</v>
      </c>
      <c r="CT7" s="32" t="s">
        <v>14</v>
      </c>
      <c r="CU7" s="32" t="s">
        <v>15</v>
      </c>
      <c r="CV7" s="32" t="s">
        <v>16</v>
      </c>
      <c r="CW7" s="31" t="s">
        <v>160</v>
      </c>
      <c r="CY7" s="32" t="s">
        <v>14</v>
      </c>
      <c r="CZ7" s="32" t="s">
        <v>15</v>
      </c>
      <c r="DA7" s="32" t="s">
        <v>16</v>
      </c>
      <c r="DB7" s="31" t="s">
        <v>160</v>
      </c>
      <c r="DD7" s="32" t="s">
        <v>14</v>
      </c>
      <c r="DE7" s="32" t="s">
        <v>15</v>
      </c>
      <c r="DF7" s="32" t="s">
        <v>16</v>
      </c>
      <c r="DG7" s="31" t="s">
        <v>160</v>
      </c>
      <c r="DI7" s="32" t="s">
        <v>14</v>
      </c>
      <c r="DJ7" s="32" t="s">
        <v>15</v>
      </c>
      <c r="DK7" s="32" t="s">
        <v>16</v>
      </c>
      <c r="DL7" s="33"/>
    </row>
    <row r="8" spans="1:131" ht="12.75">
      <c r="A8" s="37">
        <v>43374</v>
      </c>
      <c r="D8" s="3">
        <v>808600</v>
      </c>
      <c r="E8" s="35">
        <f aca="true" t="shared" si="0" ref="E8:E33">C8+D8</f>
        <v>808600</v>
      </c>
      <c r="F8" s="35">
        <v>145958</v>
      </c>
      <c r="H8" s="36"/>
      <c r="I8" s="36">
        <f>'Academic Project '!I8</f>
        <v>121873.8092</v>
      </c>
      <c r="J8" s="36">
        <f aca="true" t="shared" si="1" ref="J8:J33">H8+I8</f>
        <v>121873.8092</v>
      </c>
      <c r="K8" s="36">
        <f>'Academic Project '!K8</f>
        <v>21999.081675999998</v>
      </c>
      <c r="M8" s="36"/>
      <c r="N8" s="35">
        <f aca="true" t="shared" si="2" ref="N8:N33">S8+X8+AC8+AH8+AM8+AR8+AW8+BB8+BG8+BL8+BQ8+BV8+CA8+CF8+CK8+CP8+CU8+CZ8+DE8+DJ8</f>
        <v>686726.1908</v>
      </c>
      <c r="O8" s="5">
        <f aca="true" t="shared" si="3" ref="O8:O33">M8+N8</f>
        <v>686726.1908</v>
      </c>
      <c r="P8" s="35">
        <f aca="true" t="shared" si="4" ref="P8:P33">U8+Z8+AE8+AJ8+AO8+AT8+AY8+BD8+BI8+BN8+BS8+BX8+CC8+CH8+CM8+CR8+CW8+DB8+DG8+DL8</f>
        <v>123958.91832399998</v>
      </c>
      <c r="R8" s="36"/>
      <c r="S8" s="36">
        <f aca="true" t="shared" si="5" ref="S8:S33">D8*$T$6</f>
        <v>30993.71886</v>
      </c>
      <c r="T8" s="5">
        <f aca="true" t="shared" si="6" ref="T8:T33">R8+S8</f>
        <v>30993.71886</v>
      </c>
      <c r="U8" s="36">
        <f aca="true" t="shared" si="7" ref="U8:U33">T$6*$F8</f>
        <v>5594.5847358</v>
      </c>
      <c r="X8" s="36">
        <f aca="true" t="shared" si="8" ref="X8:X33">D8*$Y$6</f>
        <v>56161.87901999999</v>
      </c>
      <c r="Y8" s="36">
        <f aca="true" t="shared" si="9" ref="Y8:Y33">W8+X8</f>
        <v>56161.87901999999</v>
      </c>
      <c r="Z8" s="36">
        <f aca="true" t="shared" si="10" ref="Z8:Z33">Y$6*$F8</f>
        <v>10137.6150606</v>
      </c>
      <c r="AC8" s="5">
        <f aca="true" t="shared" si="11" ref="AC8:AC33">D8*$AD$6</f>
        <v>45253.37986</v>
      </c>
      <c r="AD8" s="5">
        <f aca="true" t="shared" si="12" ref="AD8:AD33">AB8+AC8</f>
        <v>45253.37986</v>
      </c>
      <c r="AE8" s="36">
        <f aca="true" t="shared" si="13" ref="AE8:AE33">AD$6*$F8</f>
        <v>8168.554065799999</v>
      </c>
      <c r="AH8" s="5">
        <f aca="true" t="shared" si="14" ref="AH8:AH33">D8*$AI$6</f>
        <v>53779.1774</v>
      </c>
      <c r="AI8" s="5">
        <f aca="true" t="shared" si="15" ref="AI8:AI33">AG8+AH8</f>
        <v>53779.1774</v>
      </c>
      <c r="AJ8" s="36">
        <f aca="true" t="shared" si="16" ref="AJ8:AJ33">AI$6*$F8</f>
        <v>9707.520622</v>
      </c>
      <c r="AL8" s="36"/>
      <c r="AM8" s="36">
        <f aca="true" t="shared" si="17" ref="AM8:AM33">D8*$AN$6</f>
        <v>3212.2443599999997</v>
      </c>
      <c r="AN8" s="5">
        <f aca="true" t="shared" si="18" ref="AN8:AN33">AL8+AM8</f>
        <v>3212.2443599999997</v>
      </c>
      <c r="AO8" s="36">
        <f aca="true" t="shared" si="19" ref="AO8:AO33">AN$6*$F8</f>
        <v>579.8327508</v>
      </c>
      <c r="AQ8" s="36"/>
      <c r="AR8" s="36">
        <f aca="true" t="shared" si="20" ref="AR8:AR33">D8*$AS$6</f>
        <v>289.15536000000003</v>
      </c>
      <c r="AS8" s="5">
        <f aca="true" t="shared" si="21" ref="AS8:AS33">AQ8+AR8</f>
        <v>289.15536000000003</v>
      </c>
      <c r="AT8" s="36">
        <f aca="true" t="shared" si="22" ref="AT8:AT33">AS$6*$F8</f>
        <v>52.194580800000004</v>
      </c>
      <c r="AU8" s="5"/>
      <c r="AV8" s="36"/>
      <c r="AW8" s="36">
        <f aca="true" t="shared" si="23" ref="AW8:AW33">D8*$AX$6</f>
        <v>59161.70416</v>
      </c>
      <c r="AX8" s="5">
        <f aca="true" t="shared" si="24" ref="AX8:AX33">AV8+AW8</f>
        <v>59161.70416</v>
      </c>
      <c r="AY8" s="36">
        <f aca="true" t="shared" si="25" ref="AY8:AY33">AX$6*$F8</f>
        <v>10679.1046448</v>
      </c>
      <c r="AZ8" s="5"/>
      <c r="BA8" s="36"/>
      <c r="BB8" s="36">
        <f aca="true" t="shared" si="26" ref="BB8:BB33">D8*$BC$6</f>
        <v>2.10236</v>
      </c>
      <c r="BC8" s="5">
        <f aca="true" t="shared" si="27" ref="BC8:BC33">BA8+BB8</f>
        <v>2.10236</v>
      </c>
      <c r="BD8" s="36">
        <f aca="true" t="shared" si="28" ref="BD8:BD33">BC$6*$F8</f>
        <v>0.3794908</v>
      </c>
      <c r="BE8" s="5"/>
      <c r="BF8" s="36"/>
      <c r="BG8" s="36">
        <f aca="true" t="shared" si="29" ref="BG8:BG33">D8*$BH$6</f>
        <v>75567.713</v>
      </c>
      <c r="BH8" s="5">
        <f aca="true" t="shared" si="30" ref="BH8:BH33">BF8+BG8</f>
        <v>75567.713</v>
      </c>
      <c r="BI8" s="36">
        <f aca="true" t="shared" si="31" ref="BI8:BI33">BH$6*$F8</f>
        <v>13640.50489</v>
      </c>
      <c r="BJ8" s="5"/>
      <c r="BK8" s="36"/>
      <c r="BL8" s="36">
        <f aca="true" t="shared" si="32" ref="BL8:BL33">D8*$BM$6</f>
        <v>178.2963</v>
      </c>
      <c r="BM8" s="5">
        <f aca="true" t="shared" si="33" ref="BM8:BM33">BK8+BL8</f>
        <v>178.2963</v>
      </c>
      <c r="BN8" s="36">
        <f aca="true" t="shared" si="34" ref="BN8:BN33">BM$6*$F8</f>
        <v>32.183738999999996</v>
      </c>
      <c r="BO8" s="5"/>
      <c r="BP8" s="36"/>
      <c r="BQ8" s="36">
        <f aca="true" t="shared" si="35" ref="BQ8:BQ33">D8*$BR$6</f>
        <v>31686.04218</v>
      </c>
      <c r="BR8" s="5">
        <f aca="true" t="shared" si="36" ref="BR8:BR33">BP8+BQ8</f>
        <v>31686.04218</v>
      </c>
      <c r="BS8" s="36">
        <f aca="true" t="shared" si="37" ref="BS8:BS33">BR$6*$F8</f>
        <v>5719.5539754</v>
      </c>
      <c r="BT8" s="5"/>
      <c r="BU8" s="5"/>
      <c r="BV8" s="5">
        <f aca="true" t="shared" si="38" ref="BV8:BV33">D8*$BW$6</f>
        <v>159.94108</v>
      </c>
      <c r="BW8" s="5">
        <f aca="true" t="shared" si="39" ref="BW8:BW33">BU8+BV8</f>
        <v>159.94108</v>
      </c>
      <c r="BX8" s="36">
        <f aca="true" t="shared" si="40" ref="BX8:BX33">BW$6*$F8</f>
        <v>28.8704924</v>
      </c>
      <c r="BY8" s="5"/>
      <c r="BZ8" s="36"/>
      <c r="CA8" s="36">
        <f aca="true" t="shared" si="41" ref="CA8:CA33">D8*$CB$6</f>
        <v>6218.61916</v>
      </c>
      <c r="CB8" s="5">
        <f aca="true" t="shared" si="42" ref="CB8:CB33">BZ8+CA8</f>
        <v>6218.61916</v>
      </c>
      <c r="CC8" s="36">
        <f aca="true" t="shared" si="43" ref="CC8:CC33">CB$6*$F8</f>
        <v>1122.5045948</v>
      </c>
      <c r="CD8" s="5"/>
      <c r="CE8" s="36"/>
      <c r="CF8" s="36">
        <f aca="true" t="shared" si="44" ref="CF8:CF33">D8*$CG$6</f>
        <v>3310.6509800000003</v>
      </c>
      <c r="CG8" s="5">
        <f aca="true" t="shared" si="45" ref="CG8:CG33">CE8+CF8</f>
        <v>3310.6509800000003</v>
      </c>
      <c r="CH8" s="36">
        <f aca="true" t="shared" si="46" ref="CH8:CH33">CG$6*$F8</f>
        <v>597.5958394</v>
      </c>
      <c r="CI8" s="5"/>
      <c r="CJ8" s="5"/>
      <c r="CK8" s="36">
        <f aca="true" t="shared" si="47" ref="CK8:CK33">D8*$CL$6</f>
        <v>10787.85604</v>
      </c>
      <c r="CL8" s="36">
        <f aca="true" t="shared" si="48" ref="CL8:CL33">CJ8+CK8</f>
        <v>10787.85604</v>
      </c>
      <c r="CM8" s="36">
        <f aca="true" t="shared" si="49" ref="CM8:CM33">CL$6*$F8</f>
        <v>1947.2840612</v>
      </c>
      <c r="CN8" s="5"/>
      <c r="CO8" s="5"/>
      <c r="CP8" s="36">
        <f aca="true" t="shared" si="50" ref="CP8:CP33">D8*$CQ$6</f>
        <v>94960.12422</v>
      </c>
      <c r="CQ8" s="36">
        <f aca="true" t="shared" si="51" ref="CQ8:CQ33">CO8+CP8</f>
        <v>94960.12422</v>
      </c>
      <c r="CR8" s="36">
        <f aca="true" t="shared" si="52" ref="CR8:CR33">CQ$6*$F8</f>
        <v>17140.971816600002</v>
      </c>
      <c r="CS8" s="5"/>
      <c r="CT8" s="36"/>
      <c r="CU8" s="36">
        <f aca="true" t="shared" si="53" ref="CU8:CU33">D8*$CV$6</f>
        <v>196599.52702</v>
      </c>
      <c r="CV8" s="5">
        <f aca="true" t="shared" si="54" ref="CV8:CV33">CT8+CU8</f>
        <v>196599.52702</v>
      </c>
      <c r="CW8" s="36">
        <f aca="true" t="shared" si="55" ref="CW8:CW33">CV$6*$F8</f>
        <v>35487.600500600005</v>
      </c>
      <c r="CX8" s="5"/>
      <c r="CY8" s="5"/>
      <c r="CZ8" s="5">
        <f aca="true" t="shared" si="56" ref="CZ8:CZ33">D8*$DA$6</f>
        <v>8725.52174</v>
      </c>
      <c r="DA8" s="5">
        <f aca="true" t="shared" si="57" ref="DA8:DA33">CY8+CZ8</f>
        <v>8725.52174</v>
      </c>
      <c r="DB8" s="36">
        <f aca="true" t="shared" si="58" ref="DB8:DB33">DA$6*$F8</f>
        <v>1575.0181822000002</v>
      </c>
      <c r="DC8" s="5"/>
      <c r="DD8" s="36"/>
      <c r="DE8" s="36">
        <f aca="true" t="shared" si="59" ref="DE8:DE33">D8*$DF$6</f>
        <v>9678.537699999999</v>
      </c>
      <c r="DF8" s="5">
        <f aca="true" t="shared" si="60" ref="DF8:DF33">DD8+DE8</f>
        <v>9678.537699999999</v>
      </c>
      <c r="DG8" s="36">
        <f aca="true" t="shared" si="61" ref="DG8:DG33">DF$6*$F8</f>
        <v>1747.044281</v>
      </c>
      <c r="DH8" s="5"/>
      <c r="DI8" s="36"/>
      <c r="DJ8" s="36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.75">
      <c r="A9" s="37">
        <v>43556</v>
      </c>
      <c r="C9" s="3">
        <v>4925000</v>
      </c>
      <c r="D9" s="3">
        <v>808600</v>
      </c>
      <c r="E9" s="35">
        <f t="shared" si="0"/>
        <v>5733600</v>
      </c>
      <c r="F9" s="35">
        <v>145958</v>
      </c>
      <c r="H9" s="36">
        <f>'Academic Project '!H9</f>
        <v>742305.8499999999</v>
      </c>
      <c r="I9" s="36">
        <f>'Academic Project '!I9</f>
        <v>121873.8092</v>
      </c>
      <c r="J9" s="36">
        <f t="shared" si="1"/>
        <v>864179.6591999999</v>
      </c>
      <c r="K9" s="36">
        <f>'Academic Project '!K9</f>
        <v>21999.081675999998</v>
      </c>
      <c r="M9" s="36">
        <f aca="true" t="shared" si="62" ref="M9:M33">R9+W9+AB9+AG9+AL9+AQ9+AV9+BA9+BF9+BK9+BP9+BU9+BZ9+CA120+CE9+CJ9+CO9+CT9+CY9+DD9+DI9</f>
        <v>4182694.15</v>
      </c>
      <c r="N9" s="35">
        <f t="shared" si="2"/>
        <v>686726.1908</v>
      </c>
      <c r="O9" s="5">
        <f t="shared" si="3"/>
        <v>4869420.3408</v>
      </c>
      <c r="P9" s="35">
        <f t="shared" si="4"/>
        <v>123958.91832399998</v>
      </c>
      <c r="R9" s="36">
        <f aca="true" t="shared" si="63" ref="R9:R33">C9*$T$6</f>
        <v>188775.7425</v>
      </c>
      <c r="S9" s="36">
        <f t="shared" si="5"/>
        <v>30993.71886</v>
      </c>
      <c r="T9" s="5">
        <f t="shared" si="6"/>
        <v>219769.46136</v>
      </c>
      <c r="U9" s="36">
        <f t="shared" si="7"/>
        <v>5594.5847358</v>
      </c>
      <c r="W9" s="5">
        <f aca="true" t="shared" si="64" ref="W9:W33">C9*$Y$6</f>
        <v>342069.32249999995</v>
      </c>
      <c r="X9" s="36">
        <f t="shared" si="8"/>
        <v>56161.87901999999</v>
      </c>
      <c r="Y9" s="36">
        <f t="shared" si="9"/>
        <v>398231.20151999994</v>
      </c>
      <c r="Z9" s="36">
        <f t="shared" si="10"/>
        <v>10137.6150606</v>
      </c>
      <c r="AB9" s="5">
        <f aca="true" t="shared" si="65" ref="AB9:AB33">C9*$AD$6</f>
        <v>275628.1175</v>
      </c>
      <c r="AC9" s="5">
        <f t="shared" si="11"/>
        <v>45253.37986</v>
      </c>
      <c r="AD9" s="5">
        <f t="shared" si="12"/>
        <v>320881.49736</v>
      </c>
      <c r="AE9" s="36">
        <f t="shared" si="13"/>
        <v>8168.554065799999</v>
      </c>
      <c r="AG9" s="5">
        <f aca="true" t="shared" si="66" ref="AG9:AG33">C9*$AI$6</f>
        <v>327556.825</v>
      </c>
      <c r="AH9" s="5">
        <f t="shared" si="14"/>
        <v>53779.1774</v>
      </c>
      <c r="AI9" s="5">
        <f t="shared" si="15"/>
        <v>381336.0024</v>
      </c>
      <c r="AJ9" s="36">
        <f t="shared" si="16"/>
        <v>9707.520622</v>
      </c>
      <c r="AL9" s="36">
        <f aca="true" t="shared" si="67" ref="AL9:AL33">C9*$AN$6</f>
        <v>19565.055</v>
      </c>
      <c r="AM9" s="36">
        <f t="shared" si="17"/>
        <v>3212.2443599999997</v>
      </c>
      <c r="AN9" s="5">
        <f t="shared" si="18"/>
        <v>22777.29936</v>
      </c>
      <c r="AO9" s="36">
        <f t="shared" si="19"/>
        <v>579.8327508</v>
      </c>
      <c r="AQ9" s="36">
        <f aca="true" t="shared" si="68" ref="AQ9:AQ33">C9*$AS$6</f>
        <v>1761.18</v>
      </c>
      <c r="AR9" s="36">
        <f t="shared" si="20"/>
        <v>289.15536000000003</v>
      </c>
      <c r="AS9" s="5">
        <f t="shared" si="21"/>
        <v>2050.33536</v>
      </c>
      <c r="AT9" s="36">
        <f t="shared" si="22"/>
        <v>52.194580800000004</v>
      </c>
      <c r="AU9" s="5"/>
      <c r="AV9" s="36">
        <f aca="true" t="shared" si="69" ref="AV9:AV33">C9*$AX$6</f>
        <v>360340.57999999996</v>
      </c>
      <c r="AW9" s="36">
        <f t="shared" si="23"/>
        <v>59161.70416</v>
      </c>
      <c r="AX9" s="5">
        <f t="shared" si="24"/>
        <v>419502.28416</v>
      </c>
      <c r="AY9" s="36">
        <f t="shared" si="25"/>
        <v>10679.1046448</v>
      </c>
      <c r="AZ9" s="5"/>
      <c r="BA9" s="36">
        <f aca="true" t="shared" si="70" ref="BA9:BA33">C9*$BC$6</f>
        <v>12.805</v>
      </c>
      <c r="BB9" s="36">
        <f t="shared" si="26"/>
        <v>2.10236</v>
      </c>
      <c r="BC9" s="5">
        <f t="shared" si="27"/>
        <v>14.90736</v>
      </c>
      <c r="BD9" s="36">
        <f t="shared" si="28"/>
        <v>0.3794908</v>
      </c>
      <c r="BE9" s="5"/>
      <c r="BF9" s="36">
        <f aca="true" t="shared" si="71" ref="BF9:BF33">C9*$BH$6</f>
        <v>460265.875</v>
      </c>
      <c r="BG9" s="36">
        <f t="shared" si="29"/>
        <v>75567.713</v>
      </c>
      <c r="BH9" s="5">
        <f t="shared" si="30"/>
        <v>535833.588</v>
      </c>
      <c r="BI9" s="36">
        <f t="shared" si="31"/>
        <v>13640.50489</v>
      </c>
      <c r="BJ9" s="5"/>
      <c r="BK9" s="36">
        <f aca="true" t="shared" si="72" ref="BK9:BK33">C9*$BM$6</f>
        <v>1085.9624999999999</v>
      </c>
      <c r="BL9" s="36">
        <f t="shared" si="32"/>
        <v>178.2963</v>
      </c>
      <c r="BM9" s="5">
        <f t="shared" si="33"/>
        <v>1264.2587999999998</v>
      </c>
      <c r="BN9" s="36">
        <f t="shared" si="34"/>
        <v>32.183738999999996</v>
      </c>
      <c r="BO9" s="5"/>
      <c r="BP9" s="36">
        <f aca="true" t="shared" si="73" ref="BP9:BP33">C9*$BR$6</f>
        <v>192992.5275</v>
      </c>
      <c r="BQ9" s="36">
        <f t="shared" si="35"/>
        <v>31686.04218</v>
      </c>
      <c r="BR9" s="5">
        <f t="shared" si="36"/>
        <v>224678.56968</v>
      </c>
      <c r="BS9" s="36">
        <f t="shared" si="37"/>
        <v>5719.5539754</v>
      </c>
      <c r="BT9" s="5"/>
      <c r="BU9" s="5">
        <f aca="true" t="shared" si="74" ref="BU9:BU33">C9*$BW$6</f>
        <v>974.1650000000001</v>
      </c>
      <c r="BV9" s="5">
        <f t="shared" si="38"/>
        <v>159.94108</v>
      </c>
      <c r="BW9" s="5">
        <f t="shared" si="39"/>
        <v>1134.10608</v>
      </c>
      <c r="BX9" s="36">
        <f t="shared" si="40"/>
        <v>28.8704924</v>
      </c>
      <c r="BY9" s="5"/>
      <c r="BZ9" s="36">
        <f aca="true" t="shared" si="75" ref="BZ9:BZ33">C9*$CB$6</f>
        <v>37876.205</v>
      </c>
      <c r="CA9" s="36">
        <f t="shared" si="41"/>
        <v>6218.61916</v>
      </c>
      <c r="CB9" s="5">
        <f t="shared" si="42"/>
        <v>44094.824160000004</v>
      </c>
      <c r="CC9" s="36">
        <f t="shared" si="43"/>
        <v>1122.5045948</v>
      </c>
      <c r="CD9" s="5"/>
      <c r="CE9" s="36">
        <f aca="true" t="shared" si="76" ref="CE9:CE33">C9*$CG$6</f>
        <v>20164.4275</v>
      </c>
      <c r="CF9" s="36">
        <f t="shared" si="44"/>
        <v>3310.6509800000003</v>
      </c>
      <c r="CG9" s="5">
        <f t="shared" si="45"/>
        <v>23475.078480000004</v>
      </c>
      <c r="CH9" s="36">
        <f t="shared" si="46"/>
        <v>597.5958394</v>
      </c>
      <c r="CI9" s="5"/>
      <c r="CJ9" s="5">
        <f aca="true" t="shared" si="77" ref="CJ9:CJ33">C9*$CL$6</f>
        <v>65706.395</v>
      </c>
      <c r="CK9" s="36">
        <f t="shared" si="47"/>
        <v>10787.85604</v>
      </c>
      <c r="CL9" s="36">
        <f t="shared" si="48"/>
        <v>76494.25104</v>
      </c>
      <c r="CM9" s="36">
        <f t="shared" si="49"/>
        <v>1947.2840612</v>
      </c>
      <c r="CN9" s="5"/>
      <c r="CO9" s="5">
        <f aca="true" t="shared" si="78" ref="CO9:CO33">C9*$CQ$6</f>
        <v>578380.6725</v>
      </c>
      <c r="CP9" s="36">
        <f t="shared" si="50"/>
        <v>94960.12422</v>
      </c>
      <c r="CQ9" s="36">
        <f t="shared" si="51"/>
        <v>673340.79672</v>
      </c>
      <c r="CR9" s="36">
        <f t="shared" si="52"/>
        <v>17140.971816600002</v>
      </c>
      <c r="CS9" s="5"/>
      <c r="CT9" s="36">
        <f aca="true" t="shared" si="79" ref="CT9:CT33">C9*$CV$6</f>
        <v>1197443.3225</v>
      </c>
      <c r="CU9" s="36">
        <f t="shared" si="53"/>
        <v>196599.52702</v>
      </c>
      <c r="CV9" s="5">
        <f t="shared" si="54"/>
        <v>1394042.84952</v>
      </c>
      <c r="CW9" s="36">
        <f t="shared" si="55"/>
        <v>35487.600500600005</v>
      </c>
      <c r="CX9" s="5"/>
      <c r="CY9" s="5">
        <f aca="true" t="shared" si="80" ref="CY9:CY33">C9*$DA$6</f>
        <v>53145.1825</v>
      </c>
      <c r="CZ9" s="5">
        <f t="shared" si="56"/>
        <v>8725.52174</v>
      </c>
      <c r="DA9" s="5">
        <f t="shared" si="57"/>
        <v>61870.70424000001</v>
      </c>
      <c r="DB9" s="36">
        <f t="shared" si="58"/>
        <v>1575.0181822000002</v>
      </c>
      <c r="DC9" s="5"/>
      <c r="DD9" s="36">
        <f aca="true" t="shared" si="81" ref="DD9:DD33">C9*$DF$6</f>
        <v>58949.7875</v>
      </c>
      <c r="DE9" s="36">
        <f t="shared" si="59"/>
        <v>9678.537699999999</v>
      </c>
      <c r="DF9" s="5">
        <f t="shared" si="60"/>
        <v>68628.32519999999</v>
      </c>
      <c r="DG9" s="36">
        <f t="shared" si="61"/>
        <v>1747.044281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.75">
      <c r="A10" s="37">
        <v>43739</v>
      </c>
      <c r="D10" s="3">
        <v>685475</v>
      </c>
      <c r="E10" s="35">
        <f t="shared" si="0"/>
        <v>685475</v>
      </c>
      <c r="F10" s="35">
        <v>145958</v>
      </c>
      <c r="H10" s="36"/>
      <c r="I10" s="36">
        <f>'Academic Project '!I10</f>
        <v>103316.16295000001</v>
      </c>
      <c r="J10" s="36">
        <f t="shared" si="1"/>
        <v>103316.16295000001</v>
      </c>
      <c r="K10" s="36">
        <f>'Academic Project '!K10</f>
        <v>21999.081675999998</v>
      </c>
      <c r="M10" s="36"/>
      <c r="N10" s="35">
        <f t="shared" si="2"/>
        <v>582158.83705</v>
      </c>
      <c r="O10" s="5">
        <f t="shared" si="3"/>
        <v>582158.83705</v>
      </c>
      <c r="P10" s="35">
        <f t="shared" si="4"/>
        <v>123958.91832399998</v>
      </c>
      <c r="R10" s="36"/>
      <c r="S10" s="36">
        <f t="shared" si="5"/>
        <v>26274.3252975</v>
      </c>
      <c r="T10" s="5">
        <f t="shared" si="6"/>
        <v>26274.3252975</v>
      </c>
      <c r="U10" s="36">
        <f t="shared" si="7"/>
        <v>5594.5847358</v>
      </c>
      <c r="X10" s="36">
        <f t="shared" si="8"/>
        <v>47610.1459575</v>
      </c>
      <c r="Y10" s="36">
        <f t="shared" si="9"/>
        <v>47610.1459575</v>
      </c>
      <c r="Z10" s="36">
        <f t="shared" si="10"/>
        <v>10137.6150606</v>
      </c>
      <c r="AC10" s="5">
        <f t="shared" si="11"/>
        <v>38362.676922499995</v>
      </c>
      <c r="AD10" s="5">
        <f t="shared" si="12"/>
        <v>38362.676922499995</v>
      </c>
      <c r="AE10" s="36">
        <f t="shared" si="13"/>
        <v>8168.554065799999</v>
      </c>
      <c r="AH10" s="5">
        <f t="shared" si="14"/>
        <v>45590.256775</v>
      </c>
      <c r="AI10" s="5">
        <f t="shared" si="15"/>
        <v>45590.256775</v>
      </c>
      <c r="AJ10" s="36">
        <f t="shared" si="16"/>
        <v>9707.520622</v>
      </c>
      <c r="AL10" s="36"/>
      <c r="AM10" s="36">
        <f t="shared" si="17"/>
        <v>2723.117985</v>
      </c>
      <c r="AN10" s="5">
        <f t="shared" si="18"/>
        <v>2723.117985</v>
      </c>
      <c r="AO10" s="36">
        <f t="shared" si="19"/>
        <v>579.8327508</v>
      </c>
      <c r="AQ10" s="36"/>
      <c r="AR10" s="36">
        <f t="shared" si="20"/>
        <v>245.12586000000002</v>
      </c>
      <c r="AS10" s="5">
        <f t="shared" si="21"/>
        <v>245.12586000000002</v>
      </c>
      <c r="AT10" s="36">
        <f t="shared" si="22"/>
        <v>52.194580800000004</v>
      </c>
      <c r="AU10" s="5"/>
      <c r="AV10" s="36"/>
      <c r="AW10" s="36">
        <f t="shared" si="23"/>
        <v>50153.18966</v>
      </c>
      <c r="AX10" s="5">
        <f t="shared" si="24"/>
        <v>50153.18966</v>
      </c>
      <c r="AY10" s="36">
        <f t="shared" si="25"/>
        <v>10679.1046448</v>
      </c>
      <c r="AZ10" s="5"/>
      <c r="BA10" s="36"/>
      <c r="BB10" s="36">
        <f t="shared" si="26"/>
        <v>1.782235</v>
      </c>
      <c r="BC10" s="5">
        <f t="shared" si="27"/>
        <v>1.782235</v>
      </c>
      <c r="BD10" s="36">
        <f t="shared" si="28"/>
        <v>0.3794908</v>
      </c>
      <c r="BE10" s="5"/>
      <c r="BF10" s="36"/>
      <c r="BG10" s="36">
        <f t="shared" si="29"/>
        <v>64061.066125</v>
      </c>
      <c r="BH10" s="5">
        <f t="shared" si="30"/>
        <v>64061.066125</v>
      </c>
      <c r="BI10" s="36">
        <f t="shared" si="31"/>
        <v>13640.50489</v>
      </c>
      <c r="BJ10" s="5"/>
      <c r="BK10" s="36"/>
      <c r="BL10" s="36">
        <f t="shared" si="32"/>
        <v>151.1472375</v>
      </c>
      <c r="BM10" s="5">
        <f t="shared" si="33"/>
        <v>151.1472375</v>
      </c>
      <c r="BN10" s="36">
        <f t="shared" si="34"/>
        <v>32.183738999999996</v>
      </c>
      <c r="BO10" s="5"/>
      <c r="BP10" s="36"/>
      <c r="BQ10" s="36">
        <f t="shared" si="35"/>
        <v>26861.2289925</v>
      </c>
      <c r="BR10" s="5">
        <f t="shared" si="36"/>
        <v>26861.2289925</v>
      </c>
      <c r="BS10" s="36">
        <f t="shared" si="37"/>
        <v>5719.5539754</v>
      </c>
      <c r="BT10" s="5"/>
      <c r="BU10" s="5"/>
      <c r="BV10" s="5">
        <f t="shared" si="38"/>
        <v>135.58695500000002</v>
      </c>
      <c r="BW10" s="5">
        <f t="shared" si="39"/>
        <v>135.58695500000002</v>
      </c>
      <c r="BX10" s="36">
        <f t="shared" si="40"/>
        <v>28.8704924</v>
      </c>
      <c r="BY10" s="5"/>
      <c r="BZ10" s="36"/>
      <c r="CA10" s="36">
        <f t="shared" si="41"/>
        <v>5271.714035</v>
      </c>
      <c r="CB10" s="5">
        <f t="shared" si="42"/>
        <v>5271.714035</v>
      </c>
      <c r="CC10" s="36">
        <f t="shared" si="43"/>
        <v>1122.5045948</v>
      </c>
      <c r="CD10" s="5"/>
      <c r="CE10" s="36"/>
      <c r="CF10" s="36">
        <f t="shared" si="44"/>
        <v>2806.5402925000003</v>
      </c>
      <c r="CG10" s="5">
        <f t="shared" si="45"/>
        <v>2806.5402925000003</v>
      </c>
      <c r="CH10" s="36">
        <f t="shared" si="46"/>
        <v>597.5958394</v>
      </c>
      <c r="CI10" s="5"/>
      <c r="CJ10" s="5"/>
      <c r="CK10" s="36">
        <f t="shared" si="47"/>
        <v>9145.196165</v>
      </c>
      <c r="CL10" s="36">
        <f t="shared" si="48"/>
        <v>9145.196165</v>
      </c>
      <c r="CM10" s="36">
        <f t="shared" si="49"/>
        <v>1947.2840612</v>
      </c>
      <c r="CN10" s="5"/>
      <c r="CO10" s="5"/>
      <c r="CP10" s="36">
        <f t="shared" si="50"/>
        <v>80500.6074075</v>
      </c>
      <c r="CQ10" s="36">
        <f t="shared" si="51"/>
        <v>80500.6074075</v>
      </c>
      <c r="CR10" s="36">
        <f t="shared" si="52"/>
        <v>17140.971816600002</v>
      </c>
      <c r="CS10" s="5"/>
      <c r="CT10" s="36"/>
      <c r="CU10" s="36">
        <f t="shared" si="53"/>
        <v>166663.4439575</v>
      </c>
      <c r="CV10" s="5">
        <f t="shared" si="54"/>
        <v>166663.4439575</v>
      </c>
      <c r="CW10" s="36">
        <f t="shared" si="55"/>
        <v>35487.600500600005</v>
      </c>
      <c r="CX10" s="5"/>
      <c r="CY10" s="5"/>
      <c r="CZ10" s="5">
        <f t="shared" si="56"/>
        <v>7396.892177500001</v>
      </c>
      <c r="DA10" s="5">
        <f t="shared" si="57"/>
        <v>7396.892177500001</v>
      </c>
      <c r="DB10" s="36">
        <f t="shared" si="58"/>
        <v>1575.0181822000002</v>
      </c>
      <c r="DC10" s="5"/>
      <c r="DD10" s="36"/>
      <c r="DE10" s="36">
        <f t="shared" si="59"/>
        <v>8204.7930125</v>
      </c>
      <c r="DF10" s="5">
        <f t="shared" si="60"/>
        <v>8204.7930125</v>
      </c>
      <c r="DG10" s="36">
        <f t="shared" si="61"/>
        <v>1747.044281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.75">
      <c r="A11" s="37">
        <v>43922</v>
      </c>
      <c r="C11" s="3">
        <v>5170000</v>
      </c>
      <c r="D11" s="3">
        <v>685475</v>
      </c>
      <c r="E11" s="35">
        <f t="shared" si="0"/>
        <v>5855475</v>
      </c>
      <c r="F11" s="35">
        <v>145958</v>
      </c>
      <c r="H11" s="36">
        <f>'Academic Project '!H11</f>
        <v>779232.7400000001</v>
      </c>
      <c r="I11" s="36">
        <f>'Academic Project '!I11</f>
        <v>103316.16295000001</v>
      </c>
      <c r="J11" s="36">
        <f t="shared" si="1"/>
        <v>882548.9029500001</v>
      </c>
      <c r="K11" s="36">
        <f>'Academic Project '!K11</f>
        <v>21999.081675999998</v>
      </c>
      <c r="M11" s="36">
        <f t="shared" si="62"/>
        <v>4390767.260000001</v>
      </c>
      <c r="N11" s="35">
        <f t="shared" si="2"/>
        <v>582158.83705</v>
      </c>
      <c r="O11" s="5">
        <f t="shared" si="3"/>
        <v>4972926.097050001</v>
      </c>
      <c r="P11" s="35">
        <f t="shared" si="4"/>
        <v>123958.91832399998</v>
      </c>
      <c r="R11" s="36">
        <f t="shared" si="63"/>
        <v>198166.617</v>
      </c>
      <c r="S11" s="36">
        <f t="shared" si="5"/>
        <v>26274.3252975</v>
      </c>
      <c r="T11" s="5">
        <f t="shared" si="6"/>
        <v>224440.9422975</v>
      </c>
      <c r="U11" s="36">
        <f t="shared" si="7"/>
        <v>5594.5847358</v>
      </c>
      <c r="W11" s="5">
        <f t="shared" si="64"/>
        <v>359085.969</v>
      </c>
      <c r="X11" s="36">
        <f t="shared" si="8"/>
        <v>47610.1459575</v>
      </c>
      <c r="Y11" s="36">
        <f t="shared" si="9"/>
        <v>406696.11495749996</v>
      </c>
      <c r="Z11" s="36">
        <f t="shared" si="10"/>
        <v>10137.6150606</v>
      </c>
      <c r="AB11" s="5">
        <f t="shared" si="65"/>
        <v>289339.567</v>
      </c>
      <c r="AC11" s="5">
        <f t="shared" si="11"/>
        <v>38362.676922499995</v>
      </c>
      <c r="AD11" s="5">
        <f t="shared" si="12"/>
        <v>327702.2439225</v>
      </c>
      <c r="AE11" s="36">
        <f t="shared" si="13"/>
        <v>8168.554065799999</v>
      </c>
      <c r="AG11" s="5">
        <f t="shared" si="66"/>
        <v>343851.52999999997</v>
      </c>
      <c r="AH11" s="5">
        <f t="shared" si="14"/>
        <v>45590.256775</v>
      </c>
      <c r="AI11" s="5">
        <f t="shared" si="15"/>
        <v>389441.786775</v>
      </c>
      <c r="AJ11" s="36">
        <f t="shared" si="16"/>
        <v>9707.520622</v>
      </c>
      <c r="AL11" s="36">
        <f t="shared" si="67"/>
        <v>20538.341999999997</v>
      </c>
      <c r="AM11" s="36">
        <f t="shared" si="17"/>
        <v>2723.117985</v>
      </c>
      <c r="AN11" s="5">
        <f t="shared" si="18"/>
        <v>23261.459984999998</v>
      </c>
      <c r="AO11" s="36">
        <f t="shared" si="19"/>
        <v>579.8327508</v>
      </c>
      <c r="AQ11" s="36">
        <f t="shared" si="68"/>
        <v>1848.7920000000001</v>
      </c>
      <c r="AR11" s="36">
        <f t="shared" si="20"/>
        <v>245.12586000000002</v>
      </c>
      <c r="AS11" s="5">
        <f t="shared" si="21"/>
        <v>2093.91786</v>
      </c>
      <c r="AT11" s="36">
        <f t="shared" si="22"/>
        <v>52.194580800000004</v>
      </c>
      <c r="AU11" s="5"/>
      <c r="AV11" s="36">
        <f t="shared" si="69"/>
        <v>378266.152</v>
      </c>
      <c r="AW11" s="36">
        <f t="shared" si="23"/>
        <v>50153.18966</v>
      </c>
      <c r="AX11" s="5">
        <f t="shared" si="24"/>
        <v>428419.34166</v>
      </c>
      <c r="AY11" s="36">
        <f t="shared" si="25"/>
        <v>10679.1046448</v>
      </c>
      <c r="AZ11" s="5"/>
      <c r="BA11" s="36">
        <f t="shared" si="70"/>
        <v>13.442</v>
      </c>
      <c r="BB11" s="36">
        <f t="shared" si="26"/>
        <v>1.782235</v>
      </c>
      <c r="BC11" s="5">
        <f t="shared" si="27"/>
        <v>15.224235</v>
      </c>
      <c r="BD11" s="36">
        <f t="shared" si="28"/>
        <v>0.3794908</v>
      </c>
      <c r="BE11" s="5"/>
      <c r="BF11" s="36">
        <f t="shared" si="71"/>
        <v>483162.35</v>
      </c>
      <c r="BG11" s="36">
        <f t="shared" si="29"/>
        <v>64061.066125</v>
      </c>
      <c r="BH11" s="5">
        <f t="shared" si="30"/>
        <v>547223.416125</v>
      </c>
      <c r="BI11" s="36">
        <f t="shared" si="31"/>
        <v>13640.50489</v>
      </c>
      <c r="BJ11" s="5"/>
      <c r="BK11" s="36">
        <f t="shared" si="72"/>
        <v>1139.985</v>
      </c>
      <c r="BL11" s="36">
        <f t="shared" si="32"/>
        <v>151.1472375</v>
      </c>
      <c r="BM11" s="5">
        <f t="shared" si="33"/>
        <v>1291.1322375</v>
      </c>
      <c r="BN11" s="36">
        <f t="shared" si="34"/>
        <v>32.183738999999996</v>
      </c>
      <c r="BO11" s="5"/>
      <c r="BP11" s="36">
        <f t="shared" si="73"/>
        <v>202593.171</v>
      </c>
      <c r="BQ11" s="36">
        <f t="shared" si="35"/>
        <v>26861.2289925</v>
      </c>
      <c r="BR11" s="5">
        <f t="shared" si="36"/>
        <v>229454.3999925</v>
      </c>
      <c r="BS11" s="36">
        <f t="shared" si="37"/>
        <v>5719.5539754</v>
      </c>
      <c r="BT11" s="5"/>
      <c r="BU11" s="5">
        <f t="shared" si="74"/>
        <v>1022.6260000000001</v>
      </c>
      <c r="BV11" s="5">
        <f t="shared" si="38"/>
        <v>135.58695500000002</v>
      </c>
      <c r="BW11" s="5">
        <f t="shared" si="39"/>
        <v>1158.2129550000002</v>
      </c>
      <c r="BX11" s="36">
        <f t="shared" si="40"/>
        <v>28.8704924</v>
      </c>
      <c r="BY11" s="5"/>
      <c r="BZ11" s="36">
        <f t="shared" si="75"/>
        <v>39760.402</v>
      </c>
      <c r="CA11" s="36">
        <f t="shared" si="41"/>
        <v>5271.714035</v>
      </c>
      <c r="CB11" s="5">
        <f t="shared" si="42"/>
        <v>45032.116035</v>
      </c>
      <c r="CC11" s="36">
        <f t="shared" si="43"/>
        <v>1122.5045948</v>
      </c>
      <c r="CD11" s="5"/>
      <c r="CE11" s="36">
        <f t="shared" si="76"/>
        <v>21167.531000000003</v>
      </c>
      <c r="CF11" s="36">
        <f t="shared" si="44"/>
        <v>2806.5402925000003</v>
      </c>
      <c r="CG11" s="5">
        <f t="shared" si="45"/>
        <v>23974.071292500004</v>
      </c>
      <c r="CH11" s="36">
        <f t="shared" si="46"/>
        <v>597.5958394</v>
      </c>
      <c r="CI11" s="5"/>
      <c r="CJ11" s="5">
        <f t="shared" si="77"/>
        <v>68975.038</v>
      </c>
      <c r="CK11" s="36">
        <f t="shared" si="47"/>
        <v>9145.196165</v>
      </c>
      <c r="CL11" s="36">
        <f t="shared" si="48"/>
        <v>78120.234165</v>
      </c>
      <c r="CM11" s="36">
        <f t="shared" si="49"/>
        <v>1947.2840612</v>
      </c>
      <c r="CN11" s="5"/>
      <c r="CO11" s="5">
        <f t="shared" si="78"/>
        <v>607152.909</v>
      </c>
      <c r="CP11" s="36">
        <f t="shared" si="50"/>
        <v>80500.6074075</v>
      </c>
      <c r="CQ11" s="36">
        <f t="shared" si="51"/>
        <v>687653.5164075</v>
      </c>
      <c r="CR11" s="36">
        <f t="shared" si="52"/>
        <v>17140.971816600002</v>
      </c>
      <c r="CS11" s="5"/>
      <c r="CT11" s="36">
        <f t="shared" si="79"/>
        <v>1257011.5690000001</v>
      </c>
      <c r="CU11" s="36">
        <f t="shared" si="53"/>
        <v>166663.4439575</v>
      </c>
      <c r="CV11" s="5">
        <f t="shared" si="54"/>
        <v>1423675.0129575</v>
      </c>
      <c r="CW11" s="36">
        <f t="shared" si="55"/>
        <v>35487.600500600005</v>
      </c>
      <c r="CX11" s="5"/>
      <c r="CY11" s="5">
        <f t="shared" si="80"/>
        <v>55788.953</v>
      </c>
      <c r="CZ11" s="5">
        <f t="shared" si="56"/>
        <v>7396.892177500001</v>
      </c>
      <c r="DA11" s="5">
        <f t="shared" si="57"/>
        <v>63185.8451775</v>
      </c>
      <c r="DB11" s="36">
        <f t="shared" si="58"/>
        <v>1575.0181822000002</v>
      </c>
      <c r="DC11" s="5"/>
      <c r="DD11" s="36">
        <f t="shared" si="81"/>
        <v>61882.314999999995</v>
      </c>
      <c r="DE11" s="36">
        <f t="shared" si="59"/>
        <v>8204.7930125</v>
      </c>
      <c r="DF11" s="5">
        <f t="shared" si="60"/>
        <v>70087.1080125</v>
      </c>
      <c r="DG11" s="36">
        <f t="shared" si="61"/>
        <v>1747.044281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.75">
      <c r="A12" s="37">
        <v>44105</v>
      </c>
      <c r="D12" s="3">
        <v>556225</v>
      </c>
      <c r="E12" s="35">
        <f t="shared" si="0"/>
        <v>556225</v>
      </c>
      <c r="F12" s="35">
        <v>145958</v>
      </c>
      <c r="H12" s="36"/>
      <c r="I12" s="36">
        <f>'Academic Project '!I12</f>
        <v>83835.34445</v>
      </c>
      <c r="J12" s="36">
        <f t="shared" si="1"/>
        <v>83835.34445</v>
      </c>
      <c r="K12" s="36">
        <f>'Academic Project '!K12</f>
        <v>21999.081675999998</v>
      </c>
      <c r="M12" s="36"/>
      <c r="N12" s="35">
        <f t="shared" si="2"/>
        <v>472389.65554999997</v>
      </c>
      <c r="O12" s="5">
        <f t="shared" si="3"/>
        <v>472389.65554999997</v>
      </c>
      <c r="P12" s="35">
        <f t="shared" si="4"/>
        <v>123958.91832399998</v>
      </c>
      <c r="R12" s="36"/>
      <c r="S12" s="36">
        <f t="shared" si="5"/>
        <v>21320.1598725</v>
      </c>
      <c r="T12" s="5">
        <f t="shared" si="6"/>
        <v>21320.1598725</v>
      </c>
      <c r="U12" s="36">
        <f t="shared" si="7"/>
        <v>5594.5847358</v>
      </c>
      <c r="X12" s="36">
        <f t="shared" si="8"/>
        <v>38632.996732499996</v>
      </c>
      <c r="Y12" s="36">
        <f t="shared" si="9"/>
        <v>38632.996732499996</v>
      </c>
      <c r="Z12" s="36">
        <f t="shared" si="10"/>
        <v>10137.6150606</v>
      </c>
      <c r="AC12" s="5">
        <f t="shared" si="11"/>
        <v>31129.187747499996</v>
      </c>
      <c r="AD12" s="5">
        <f t="shared" si="12"/>
        <v>31129.187747499996</v>
      </c>
      <c r="AE12" s="36">
        <f t="shared" si="13"/>
        <v>8168.554065799999</v>
      </c>
      <c r="AH12" s="5">
        <f t="shared" si="14"/>
        <v>36993.968525</v>
      </c>
      <c r="AI12" s="5">
        <f t="shared" si="15"/>
        <v>36993.968525</v>
      </c>
      <c r="AJ12" s="36">
        <f t="shared" si="16"/>
        <v>9707.520622</v>
      </c>
      <c r="AL12" s="36"/>
      <c r="AM12" s="36">
        <f t="shared" si="17"/>
        <v>2209.659435</v>
      </c>
      <c r="AN12" s="5">
        <f t="shared" si="18"/>
        <v>2209.659435</v>
      </c>
      <c r="AO12" s="36">
        <f t="shared" si="19"/>
        <v>579.8327508</v>
      </c>
      <c r="AQ12" s="36"/>
      <c r="AR12" s="36">
        <f t="shared" si="20"/>
        <v>198.90606</v>
      </c>
      <c r="AS12" s="5">
        <f t="shared" si="21"/>
        <v>198.90606</v>
      </c>
      <c r="AT12" s="36">
        <f t="shared" si="22"/>
        <v>52.194580800000004</v>
      </c>
      <c r="AU12" s="5"/>
      <c r="AV12" s="36"/>
      <c r="AW12" s="36">
        <f t="shared" si="23"/>
        <v>40696.535859999996</v>
      </c>
      <c r="AX12" s="5">
        <f t="shared" si="24"/>
        <v>40696.535859999996</v>
      </c>
      <c r="AY12" s="36">
        <f t="shared" si="25"/>
        <v>10679.1046448</v>
      </c>
      <c r="AZ12" s="5"/>
      <c r="BA12" s="36"/>
      <c r="BB12" s="36">
        <f t="shared" si="26"/>
        <v>1.446185</v>
      </c>
      <c r="BC12" s="5">
        <f t="shared" si="27"/>
        <v>1.446185</v>
      </c>
      <c r="BD12" s="36">
        <f t="shared" si="28"/>
        <v>0.3794908</v>
      </c>
      <c r="BE12" s="5"/>
      <c r="BF12" s="36"/>
      <c r="BG12" s="36">
        <f t="shared" si="29"/>
        <v>51982.007375</v>
      </c>
      <c r="BH12" s="5">
        <f t="shared" si="30"/>
        <v>51982.007375</v>
      </c>
      <c r="BI12" s="36">
        <f t="shared" si="31"/>
        <v>13640.50489</v>
      </c>
      <c r="BJ12" s="5"/>
      <c r="BK12" s="36"/>
      <c r="BL12" s="36">
        <f t="shared" si="32"/>
        <v>122.6476125</v>
      </c>
      <c r="BM12" s="5">
        <f t="shared" si="33"/>
        <v>122.6476125</v>
      </c>
      <c r="BN12" s="36">
        <f t="shared" si="34"/>
        <v>32.183738999999996</v>
      </c>
      <c r="BO12" s="5"/>
      <c r="BP12" s="36"/>
      <c r="BQ12" s="36">
        <f t="shared" si="35"/>
        <v>21796.3997175</v>
      </c>
      <c r="BR12" s="5">
        <f t="shared" si="36"/>
        <v>21796.3997175</v>
      </c>
      <c r="BS12" s="36">
        <f t="shared" si="37"/>
        <v>5719.5539754</v>
      </c>
      <c r="BT12" s="5"/>
      <c r="BU12" s="5"/>
      <c r="BV12" s="5">
        <f t="shared" si="38"/>
        <v>110.02130500000001</v>
      </c>
      <c r="BW12" s="5">
        <f t="shared" si="39"/>
        <v>110.02130500000001</v>
      </c>
      <c r="BX12" s="36">
        <f t="shared" si="40"/>
        <v>28.8704924</v>
      </c>
      <c r="BY12" s="5"/>
      <c r="BZ12" s="36"/>
      <c r="CA12" s="36">
        <f t="shared" si="41"/>
        <v>4277.703985</v>
      </c>
      <c r="CB12" s="5">
        <f t="shared" si="42"/>
        <v>4277.703985</v>
      </c>
      <c r="CC12" s="36">
        <f t="shared" si="43"/>
        <v>1122.5045948</v>
      </c>
      <c r="CD12" s="5"/>
      <c r="CE12" s="36"/>
      <c r="CF12" s="36">
        <f t="shared" si="44"/>
        <v>2277.3520175000003</v>
      </c>
      <c r="CG12" s="5">
        <f t="shared" si="45"/>
        <v>2277.3520175000003</v>
      </c>
      <c r="CH12" s="36">
        <f t="shared" si="46"/>
        <v>597.5958394</v>
      </c>
      <c r="CI12" s="5"/>
      <c r="CJ12" s="5"/>
      <c r="CK12" s="36">
        <f t="shared" si="47"/>
        <v>7420.820215</v>
      </c>
      <c r="CL12" s="36">
        <f t="shared" si="48"/>
        <v>7420.820215</v>
      </c>
      <c r="CM12" s="36">
        <f t="shared" si="49"/>
        <v>1947.2840612</v>
      </c>
      <c r="CN12" s="5"/>
      <c r="CO12" s="5"/>
      <c r="CP12" s="36">
        <f t="shared" si="50"/>
        <v>65321.7846825</v>
      </c>
      <c r="CQ12" s="36">
        <f t="shared" si="51"/>
        <v>65321.7846825</v>
      </c>
      <c r="CR12" s="36">
        <f t="shared" si="52"/>
        <v>17140.971816600002</v>
      </c>
      <c r="CS12" s="5"/>
      <c r="CT12" s="36"/>
      <c r="CU12" s="36">
        <f t="shared" si="53"/>
        <v>135238.1547325</v>
      </c>
      <c r="CV12" s="5">
        <f t="shared" si="54"/>
        <v>135238.1547325</v>
      </c>
      <c r="CW12" s="36">
        <f t="shared" si="55"/>
        <v>35487.600500600005</v>
      </c>
      <c r="CX12" s="5"/>
      <c r="CY12" s="5"/>
      <c r="CZ12" s="5">
        <f t="shared" si="56"/>
        <v>6002.168352500001</v>
      </c>
      <c r="DA12" s="5">
        <f t="shared" si="57"/>
        <v>6002.168352500001</v>
      </c>
      <c r="DB12" s="36">
        <f t="shared" si="58"/>
        <v>1575.0181822000002</v>
      </c>
      <c r="DC12" s="5"/>
      <c r="DD12" s="36"/>
      <c r="DE12" s="36">
        <f t="shared" si="59"/>
        <v>6657.7351375</v>
      </c>
      <c r="DF12" s="5">
        <f t="shared" si="60"/>
        <v>6657.7351375</v>
      </c>
      <c r="DG12" s="36">
        <f t="shared" si="61"/>
        <v>1747.044281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.75">
      <c r="A13" s="37">
        <v>44287</v>
      </c>
      <c r="C13" s="3">
        <v>5430000</v>
      </c>
      <c r="D13" s="3">
        <v>556225</v>
      </c>
      <c r="E13" s="35">
        <f t="shared" si="0"/>
        <v>5986225</v>
      </c>
      <c r="F13" s="35">
        <v>145958</v>
      </c>
      <c r="H13" s="36">
        <f>'Academic Project '!H13</f>
        <v>818420.4600000001</v>
      </c>
      <c r="I13" s="36">
        <f>'Academic Project '!I13</f>
        <v>83835.34445</v>
      </c>
      <c r="J13" s="36">
        <f t="shared" si="1"/>
        <v>902255.80445</v>
      </c>
      <c r="K13" s="36">
        <f>'Academic Project '!K13</f>
        <v>21999.081675999998</v>
      </c>
      <c r="M13" s="36">
        <f t="shared" si="62"/>
        <v>4611579.540000001</v>
      </c>
      <c r="N13" s="35">
        <f t="shared" si="2"/>
        <v>472389.65554999997</v>
      </c>
      <c r="O13" s="5">
        <f t="shared" si="3"/>
        <v>5083969.195550001</v>
      </c>
      <c r="P13" s="35">
        <f t="shared" si="4"/>
        <v>123958.91832399998</v>
      </c>
      <c r="R13" s="36">
        <f t="shared" si="63"/>
        <v>208132.443</v>
      </c>
      <c r="S13" s="36">
        <f t="shared" si="5"/>
        <v>21320.1598725</v>
      </c>
      <c r="T13" s="5">
        <f t="shared" si="6"/>
        <v>229452.6028725</v>
      </c>
      <c r="U13" s="36">
        <f t="shared" si="7"/>
        <v>5594.5847358</v>
      </c>
      <c r="W13" s="5">
        <f t="shared" si="64"/>
        <v>377144.451</v>
      </c>
      <c r="X13" s="36">
        <f t="shared" si="8"/>
        <v>38632.996732499996</v>
      </c>
      <c r="Y13" s="36">
        <f t="shared" si="9"/>
        <v>415777.4477325</v>
      </c>
      <c r="Z13" s="36">
        <f t="shared" si="10"/>
        <v>10137.6150606</v>
      </c>
      <c r="AB13" s="5">
        <f t="shared" si="65"/>
        <v>303890.49299999996</v>
      </c>
      <c r="AC13" s="5">
        <f t="shared" si="11"/>
        <v>31129.187747499996</v>
      </c>
      <c r="AD13" s="5">
        <f t="shared" si="12"/>
        <v>335019.6807475</v>
      </c>
      <c r="AE13" s="36">
        <f t="shared" si="13"/>
        <v>8168.554065799999</v>
      </c>
      <c r="AG13" s="5">
        <f t="shared" si="66"/>
        <v>361143.87</v>
      </c>
      <c r="AH13" s="5">
        <f t="shared" si="14"/>
        <v>36993.968525</v>
      </c>
      <c r="AI13" s="5">
        <f t="shared" si="15"/>
        <v>398137.83852499997</v>
      </c>
      <c r="AJ13" s="36">
        <f t="shared" si="16"/>
        <v>9707.520622</v>
      </c>
      <c r="AL13" s="36">
        <f t="shared" si="67"/>
        <v>21571.217999999997</v>
      </c>
      <c r="AM13" s="36">
        <f t="shared" si="17"/>
        <v>2209.659435</v>
      </c>
      <c r="AN13" s="5">
        <f t="shared" si="18"/>
        <v>23780.877435</v>
      </c>
      <c r="AO13" s="36">
        <f t="shared" si="19"/>
        <v>579.8327508</v>
      </c>
      <c r="AQ13" s="36">
        <f t="shared" si="68"/>
        <v>1941.768</v>
      </c>
      <c r="AR13" s="36">
        <f t="shared" si="20"/>
        <v>198.90606</v>
      </c>
      <c r="AS13" s="5">
        <f t="shared" si="21"/>
        <v>2140.67406</v>
      </c>
      <c r="AT13" s="36">
        <f t="shared" si="22"/>
        <v>52.194580800000004</v>
      </c>
      <c r="AU13" s="5"/>
      <c r="AV13" s="36">
        <f t="shared" si="69"/>
        <v>397289.208</v>
      </c>
      <c r="AW13" s="36">
        <f t="shared" si="23"/>
        <v>40696.535859999996</v>
      </c>
      <c r="AX13" s="5">
        <f t="shared" si="24"/>
        <v>437985.74386</v>
      </c>
      <c r="AY13" s="36">
        <f t="shared" si="25"/>
        <v>10679.1046448</v>
      </c>
      <c r="AZ13" s="5"/>
      <c r="BA13" s="36">
        <f t="shared" si="70"/>
        <v>14.118</v>
      </c>
      <c r="BB13" s="36">
        <f t="shared" si="26"/>
        <v>1.446185</v>
      </c>
      <c r="BC13" s="5">
        <f t="shared" si="27"/>
        <v>15.564185</v>
      </c>
      <c r="BD13" s="36">
        <f t="shared" si="28"/>
        <v>0.3794908</v>
      </c>
      <c r="BE13" s="5"/>
      <c r="BF13" s="36">
        <f t="shared" si="71"/>
        <v>507460.64999999997</v>
      </c>
      <c r="BG13" s="36">
        <f t="shared" si="29"/>
        <v>51982.007375</v>
      </c>
      <c r="BH13" s="5">
        <f t="shared" si="30"/>
        <v>559442.657375</v>
      </c>
      <c r="BI13" s="36">
        <f t="shared" si="31"/>
        <v>13640.50489</v>
      </c>
      <c r="BJ13" s="5"/>
      <c r="BK13" s="36">
        <f t="shared" si="72"/>
        <v>1197.315</v>
      </c>
      <c r="BL13" s="36">
        <f t="shared" si="32"/>
        <v>122.6476125</v>
      </c>
      <c r="BM13" s="5">
        <f t="shared" si="33"/>
        <v>1319.9626125</v>
      </c>
      <c r="BN13" s="36">
        <f t="shared" si="34"/>
        <v>32.183738999999996</v>
      </c>
      <c r="BO13" s="5"/>
      <c r="BP13" s="36">
        <f t="shared" si="73"/>
        <v>212781.609</v>
      </c>
      <c r="BQ13" s="36">
        <f t="shared" si="35"/>
        <v>21796.3997175</v>
      </c>
      <c r="BR13" s="5">
        <f t="shared" si="36"/>
        <v>234578.0087175</v>
      </c>
      <c r="BS13" s="36">
        <f t="shared" si="37"/>
        <v>5719.5539754</v>
      </c>
      <c r="BT13" s="5"/>
      <c r="BU13" s="5">
        <f t="shared" si="74"/>
        <v>1074.054</v>
      </c>
      <c r="BV13" s="5">
        <f t="shared" si="38"/>
        <v>110.02130500000001</v>
      </c>
      <c r="BW13" s="5">
        <f t="shared" si="39"/>
        <v>1184.075305</v>
      </c>
      <c r="BX13" s="36">
        <f t="shared" si="40"/>
        <v>28.8704924</v>
      </c>
      <c r="BY13" s="5"/>
      <c r="BZ13" s="36">
        <f t="shared" si="75"/>
        <v>41759.958</v>
      </c>
      <c r="CA13" s="36">
        <f t="shared" si="41"/>
        <v>4277.703985</v>
      </c>
      <c r="CB13" s="5">
        <f t="shared" si="42"/>
        <v>46037.661985</v>
      </c>
      <c r="CC13" s="36">
        <f t="shared" si="43"/>
        <v>1122.5045948</v>
      </c>
      <c r="CD13" s="5"/>
      <c r="CE13" s="36">
        <f t="shared" si="76"/>
        <v>22232.049000000003</v>
      </c>
      <c r="CF13" s="36">
        <f t="shared" si="44"/>
        <v>2277.3520175000003</v>
      </c>
      <c r="CG13" s="5">
        <f t="shared" si="45"/>
        <v>24509.401017500004</v>
      </c>
      <c r="CH13" s="36">
        <f t="shared" si="46"/>
        <v>597.5958394</v>
      </c>
      <c r="CI13" s="5"/>
      <c r="CJ13" s="5">
        <f t="shared" si="77"/>
        <v>72443.802</v>
      </c>
      <c r="CK13" s="36">
        <f t="shared" si="47"/>
        <v>7420.820215</v>
      </c>
      <c r="CL13" s="36">
        <f t="shared" si="48"/>
        <v>79864.622215</v>
      </c>
      <c r="CM13" s="36">
        <f t="shared" si="49"/>
        <v>1947.2840612</v>
      </c>
      <c r="CN13" s="5"/>
      <c r="CO13" s="5">
        <f t="shared" si="78"/>
        <v>637686.711</v>
      </c>
      <c r="CP13" s="36">
        <f t="shared" si="50"/>
        <v>65321.7846825</v>
      </c>
      <c r="CQ13" s="36">
        <f t="shared" si="51"/>
        <v>703008.4956825001</v>
      </c>
      <c r="CR13" s="36">
        <f t="shared" si="52"/>
        <v>17140.971816600002</v>
      </c>
      <c r="CS13" s="5"/>
      <c r="CT13" s="36">
        <f t="shared" si="79"/>
        <v>1320226.851</v>
      </c>
      <c r="CU13" s="36">
        <f t="shared" si="53"/>
        <v>135238.1547325</v>
      </c>
      <c r="CV13" s="5">
        <f t="shared" si="54"/>
        <v>1455465.0057325</v>
      </c>
      <c r="CW13" s="36">
        <f t="shared" si="55"/>
        <v>35487.600500600005</v>
      </c>
      <c r="CX13" s="5"/>
      <c r="CY13" s="5">
        <f t="shared" si="80"/>
        <v>58594.58700000001</v>
      </c>
      <c r="CZ13" s="5">
        <f t="shared" si="56"/>
        <v>6002.168352500001</v>
      </c>
      <c r="DA13" s="5">
        <f t="shared" si="57"/>
        <v>64596.75535250001</v>
      </c>
      <c r="DB13" s="36">
        <f t="shared" si="58"/>
        <v>1575.0181822000002</v>
      </c>
      <c r="DC13" s="5"/>
      <c r="DD13" s="36">
        <f t="shared" si="81"/>
        <v>64994.384999999995</v>
      </c>
      <c r="DE13" s="36">
        <f t="shared" si="59"/>
        <v>6657.7351375</v>
      </c>
      <c r="DF13" s="5">
        <f t="shared" si="60"/>
        <v>71652.1201375</v>
      </c>
      <c r="DG13" s="36">
        <f t="shared" si="61"/>
        <v>1747.044281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.75">
      <c r="A14" s="37">
        <v>44470</v>
      </c>
      <c r="D14" s="3">
        <v>420475</v>
      </c>
      <c r="E14" s="35">
        <f t="shared" si="0"/>
        <v>420475</v>
      </c>
      <c r="F14" s="35">
        <v>145958</v>
      </c>
      <c r="H14" s="36"/>
      <c r="I14" s="36">
        <f>'Academic Project '!I14</f>
        <v>63374.83295</v>
      </c>
      <c r="J14" s="36">
        <f t="shared" si="1"/>
        <v>63374.83295</v>
      </c>
      <c r="K14" s="36">
        <f>'Academic Project '!K14</f>
        <v>21999.081675999998</v>
      </c>
      <c r="M14" s="36"/>
      <c r="N14" s="35">
        <f t="shared" si="2"/>
        <v>357100.16705</v>
      </c>
      <c r="O14" s="5">
        <f t="shared" si="3"/>
        <v>357100.16705</v>
      </c>
      <c r="P14" s="35">
        <f t="shared" si="4"/>
        <v>123958.91832399998</v>
      </c>
      <c r="R14" s="36"/>
      <c r="S14" s="36">
        <f t="shared" si="5"/>
        <v>16116.848797499999</v>
      </c>
      <c r="T14" s="5">
        <f t="shared" si="6"/>
        <v>16116.848797499999</v>
      </c>
      <c r="U14" s="36">
        <f t="shared" si="7"/>
        <v>5594.5847358</v>
      </c>
      <c r="X14" s="36">
        <f t="shared" si="8"/>
        <v>29204.385457499997</v>
      </c>
      <c r="Y14" s="36">
        <f t="shared" si="9"/>
        <v>29204.385457499997</v>
      </c>
      <c r="Z14" s="36">
        <f t="shared" si="10"/>
        <v>10137.6150606</v>
      </c>
      <c r="AC14" s="5">
        <f t="shared" si="11"/>
        <v>23531.9254225</v>
      </c>
      <c r="AD14" s="5">
        <f t="shared" si="12"/>
        <v>23531.9254225</v>
      </c>
      <c r="AE14" s="36">
        <f t="shared" si="13"/>
        <v>8168.554065799999</v>
      </c>
      <c r="AH14" s="5">
        <f t="shared" si="14"/>
        <v>27965.371775</v>
      </c>
      <c r="AI14" s="5">
        <f t="shared" si="15"/>
        <v>27965.371775</v>
      </c>
      <c r="AJ14" s="36">
        <f t="shared" si="16"/>
        <v>9707.520622</v>
      </c>
      <c r="AL14" s="36"/>
      <c r="AM14" s="36">
        <f t="shared" si="17"/>
        <v>1670.3789849999998</v>
      </c>
      <c r="AN14" s="5">
        <f t="shared" si="18"/>
        <v>1670.3789849999998</v>
      </c>
      <c r="AO14" s="36">
        <f t="shared" si="19"/>
        <v>579.8327508</v>
      </c>
      <c r="AQ14" s="36"/>
      <c r="AR14" s="36">
        <f t="shared" si="20"/>
        <v>150.36186</v>
      </c>
      <c r="AS14" s="5">
        <f t="shared" si="21"/>
        <v>150.36186</v>
      </c>
      <c r="AT14" s="36">
        <f t="shared" si="22"/>
        <v>52.194580800000004</v>
      </c>
      <c r="AU14" s="5"/>
      <c r="AV14" s="36"/>
      <c r="AW14" s="36">
        <f t="shared" si="23"/>
        <v>30764.305659999998</v>
      </c>
      <c r="AX14" s="5">
        <f t="shared" si="24"/>
        <v>30764.305659999998</v>
      </c>
      <c r="AY14" s="36">
        <f t="shared" si="25"/>
        <v>10679.1046448</v>
      </c>
      <c r="AZ14" s="5"/>
      <c r="BA14" s="36"/>
      <c r="BB14" s="36">
        <f t="shared" si="26"/>
        <v>1.093235</v>
      </c>
      <c r="BC14" s="5">
        <f t="shared" si="27"/>
        <v>1.093235</v>
      </c>
      <c r="BD14" s="36">
        <f t="shared" si="28"/>
        <v>0.3794908</v>
      </c>
      <c r="BE14" s="5"/>
      <c r="BF14" s="36"/>
      <c r="BG14" s="36">
        <f t="shared" si="29"/>
        <v>39295.491125</v>
      </c>
      <c r="BH14" s="5">
        <f t="shared" si="30"/>
        <v>39295.491125</v>
      </c>
      <c r="BI14" s="36">
        <f t="shared" si="31"/>
        <v>13640.50489</v>
      </c>
      <c r="BJ14" s="5"/>
      <c r="BK14" s="36"/>
      <c r="BL14" s="36">
        <f t="shared" si="32"/>
        <v>92.7147375</v>
      </c>
      <c r="BM14" s="5">
        <f t="shared" si="33"/>
        <v>92.7147375</v>
      </c>
      <c r="BN14" s="36">
        <f t="shared" si="34"/>
        <v>32.183738999999996</v>
      </c>
      <c r="BO14" s="5"/>
      <c r="BP14" s="36"/>
      <c r="BQ14" s="36">
        <f t="shared" si="35"/>
        <v>16476.8594925</v>
      </c>
      <c r="BR14" s="5">
        <f t="shared" si="36"/>
        <v>16476.8594925</v>
      </c>
      <c r="BS14" s="36">
        <f t="shared" si="37"/>
        <v>5719.5539754</v>
      </c>
      <c r="BT14" s="5"/>
      <c r="BU14" s="5"/>
      <c r="BV14" s="5">
        <f t="shared" si="38"/>
        <v>83.169955</v>
      </c>
      <c r="BW14" s="5">
        <f t="shared" si="39"/>
        <v>83.169955</v>
      </c>
      <c r="BX14" s="36">
        <f t="shared" si="40"/>
        <v>28.8704924</v>
      </c>
      <c r="BY14" s="5"/>
      <c r="BZ14" s="36"/>
      <c r="CA14" s="36">
        <f t="shared" si="41"/>
        <v>3233.705035</v>
      </c>
      <c r="CB14" s="5">
        <f t="shared" si="42"/>
        <v>3233.705035</v>
      </c>
      <c r="CC14" s="36">
        <f t="shared" si="43"/>
        <v>1122.5045948</v>
      </c>
      <c r="CD14" s="5"/>
      <c r="CE14" s="36"/>
      <c r="CF14" s="36">
        <f t="shared" si="44"/>
        <v>1721.5507925000002</v>
      </c>
      <c r="CG14" s="5">
        <f t="shared" si="45"/>
        <v>1721.5507925000002</v>
      </c>
      <c r="CH14" s="36">
        <f t="shared" si="46"/>
        <v>597.5958394</v>
      </c>
      <c r="CI14" s="5"/>
      <c r="CJ14" s="5"/>
      <c r="CK14" s="36">
        <f t="shared" si="47"/>
        <v>5609.725165</v>
      </c>
      <c r="CL14" s="36">
        <f t="shared" si="48"/>
        <v>5609.725165</v>
      </c>
      <c r="CM14" s="36">
        <f t="shared" si="49"/>
        <v>1947.2840612</v>
      </c>
      <c r="CN14" s="5"/>
      <c r="CO14" s="5"/>
      <c r="CP14" s="36">
        <f t="shared" si="50"/>
        <v>49379.6169075</v>
      </c>
      <c r="CQ14" s="36">
        <f t="shared" si="51"/>
        <v>49379.6169075</v>
      </c>
      <c r="CR14" s="36">
        <f t="shared" si="52"/>
        <v>17140.971816600002</v>
      </c>
      <c r="CS14" s="5"/>
      <c r="CT14" s="36"/>
      <c r="CU14" s="36">
        <f t="shared" si="53"/>
        <v>102232.4834575</v>
      </c>
      <c r="CV14" s="5">
        <f t="shared" si="54"/>
        <v>102232.4834575</v>
      </c>
      <c r="CW14" s="36">
        <f t="shared" si="55"/>
        <v>35487.600500600005</v>
      </c>
      <c r="CX14" s="5"/>
      <c r="CY14" s="5"/>
      <c r="CZ14" s="5">
        <f t="shared" si="56"/>
        <v>4537.3036775</v>
      </c>
      <c r="DA14" s="5">
        <f t="shared" si="57"/>
        <v>4537.3036775</v>
      </c>
      <c r="DB14" s="36">
        <f t="shared" si="58"/>
        <v>1575.0181822000002</v>
      </c>
      <c r="DC14" s="5"/>
      <c r="DD14" s="36"/>
      <c r="DE14" s="36">
        <f t="shared" si="59"/>
        <v>5032.8755125</v>
      </c>
      <c r="DF14" s="5">
        <f t="shared" si="60"/>
        <v>5032.8755125</v>
      </c>
      <c r="DG14" s="36">
        <f t="shared" si="61"/>
        <v>1747.044281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.75">
      <c r="A15" s="37">
        <v>44652</v>
      </c>
      <c r="C15" s="3">
        <v>0</v>
      </c>
      <c r="D15" s="3">
        <v>420475</v>
      </c>
      <c r="E15" s="35">
        <f t="shared" si="0"/>
        <v>420475</v>
      </c>
      <c r="F15" s="35">
        <v>145958</v>
      </c>
      <c r="H15" s="36">
        <f>'Academic Project '!H15</f>
        <v>0</v>
      </c>
      <c r="I15" s="36">
        <f>'Academic Project '!I15</f>
        <v>63374.83295</v>
      </c>
      <c r="J15" s="36">
        <f t="shared" si="1"/>
        <v>63374.83295</v>
      </c>
      <c r="K15" s="36">
        <f>'Academic Project '!K15</f>
        <v>21999.081675999998</v>
      </c>
      <c r="M15" s="36">
        <f t="shared" si="62"/>
        <v>0</v>
      </c>
      <c r="N15" s="35">
        <f t="shared" si="2"/>
        <v>357100.16705</v>
      </c>
      <c r="O15" s="5">
        <f t="shared" si="3"/>
        <v>357100.16705</v>
      </c>
      <c r="P15" s="35">
        <f t="shared" si="4"/>
        <v>123958.91832399998</v>
      </c>
      <c r="R15" s="36">
        <f t="shared" si="63"/>
        <v>0</v>
      </c>
      <c r="S15" s="36">
        <f t="shared" si="5"/>
        <v>16116.848797499999</v>
      </c>
      <c r="T15" s="5">
        <f t="shared" si="6"/>
        <v>16116.848797499999</v>
      </c>
      <c r="U15" s="36">
        <f t="shared" si="7"/>
        <v>5594.5847358</v>
      </c>
      <c r="W15" s="5">
        <f t="shared" si="64"/>
        <v>0</v>
      </c>
      <c r="X15" s="36">
        <f t="shared" si="8"/>
        <v>29204.385457499997</v>
      </c>
      <c r="Y15" s="36">
        <f t="shared" si="9"/>
        <v>29204.385457499997</v>
      </c>
      <c r="Z15" s="36">
        <f t="shared" si="10"/>
        <v>10137.6150606</v>
      </c>
      <c r="AB15" s="5">
        <f t="shared" si="65"/>
        <v>0</v>
      </c>
      <c r="AC15" s="5">
        <f t="shared" si="11"/>
        <v>23531.9254225</v>
      </c>
      <c r="AD15" s="5">
        <f t="shared" si="12"/>
        <v>23531.9254225</v>
      </c>
      <c r="AE15" s="36">
        <f t="shared" si="13"/>
        <v>8168.554065799999</v>
      </c>
      <c r="AG15" s="5">
        <f t="shared" si="66"/>
        <v>0</v>
      </c>
      <c r="AH15" s="5">
        <f t="shared" si="14"/>
        <v>27965.371775</v>
      </c>
      <c r="AI15" s="5">
        <f t="shared" si="15"/>
        <v>27965.371775</v>
      </c>
      <c r="AJ15" s="36">
        <f t="shared" si="16"/>
        <v>9707.520622</v>
      </c>
      <c r="AL15" s="36">
        <f t="shared" si="67"/>
        <v>0</v>
      </c>
      <c r="AM15" s="36">
        <f t="shared" si="17"/>
        <v>1670.3789849999998</v>
      </c>
      <c r="AN15" s="5">
        <f t="shared" si="18"/>
        <v>1670.3789849999998</v>
      </c>
      <c r="AO15" s="36">
        <f t="shared" si="19"/>
        <v>579.8327508</v>
      </c>
      <c r="AQ15" s="36">
        <f t="shared" si="68"/>
        <v>0</v>
      </c>
      <c r="AR15" s="36">
        <f t="shared" si="20"/>
        <v>150.36186</v>
      </c>
      <c r="AS15" s="5">
        <f t="shared" si="21"/>
        <v>150.36186</v>
      </c>
      <c r="AT15" s="36">
        <f t="shared" si="22"/>
        <v>52.194580800000004</v>
      </c>
      <c r="AU15" s="5"/>
      <c r="AV15" s="36">
        <f t="shared" si="69"/>
        <v>0</v>
      </c>
      <c r="AW15" s="36">
        <f t="shared" si="23"/>
        <v>30764.305659999998</v>
      </c>
      <c r="AX15" s="5">
        <f t="shared" si="24"/>
        <v>30764.305659999998</v>
      </c>
      <c r="AY15" s="36">
        <f t="shared" si="25"/>
        <v>10679.1046448</v>
      </c>
      <c r="AZ15" s="5"/>
      <c r="BA15" s="36">
        <f t="shared" si="70"/>
        <v>0</v>
      </c>
      <c r="BB15" s="36">
        <f t="shared" si="26"/>
        <v>1.093235</v>
      </c>
      <c r="BC15" s="5">
        <f t="shared" si="27"/>
        <v>1.093235</v>
      </c>
      <c r="BD15" s="36">
        <f t="shared" si="28"/>
        <v>0.3794908</v>
      </c>
      <c r="BE15" s="5"/>
      <c r="BF15" s="36">
        <f t="shared" si="71"/>
        <v>0</v>
      </c>
      <c r="BG15" s="36">
        <f t="shared" si="29"/>
        <v>39295.491125</v>
      </c>
      <c r="BH15" s="5">
        <f t="shared" si="30"/>
        <v>39295.491125</v>
      </c>
      <c r="BI15" s="36">
        <f t="shared" si="31"/>
        <v>13640.50489</v>
      </c>
      <c r="BJ15" s="5"/>
      <c r="BK15" s="36">
        <f t="shared" si="72"/>
        <v>0</v>
      </c>
      <c r="BL15" s="36">
        <f t="shared" si="32"/>
        <v>92.7147375</v>
      </c>
      <c r="BM15" s="5">
        <f t="shared" si="33"/>
        <v>92.7147375</v>
      </c>
      <c r="BN15" s="36">
        <f t="shared" si="34"/>
        <v>32.183738999999996</v>
      </c>
      <c r="BO15" s="5"/>
      <c r="BP15" s="36">
        <f t="shared" si="73"/>
        <v>0</v>
      </c>
      <c r="BQ15" s="36">
        <f t="shared" si="35"/>
        <v>16476.8594925</v>
      </c>
      <c r="BR15" s="5">
        <f t="shared" si="36"/>
        <v>16476.8594925</v>
      </c>
      <c r="BS15" s="36">
        <f t="shared" si="37"/>
        <v>5719.5539754</v>
      </c>
      <c r="BT15" s="5"/>
      <c r="BU15" s="5">
        <f t="shared" si="74"/>
        <v>0</v>
      </c>
      <c r="BV15" s="5">
        <f t="shared" si="38"/>
        <v>83.169955</v>
      </c>
      <c r="BW15" s="5">
        <f t="shared" si="39"/>
        <v>83.169955</v>
      </c>
      <c r="BX15" s="36">
        <f t="shared" si="40"/>
        <v>28.8704924</v>
      </c>
      <c r="BY15" s="5"/>
      <c r="BZ15" s="36">
        <f t="shared" si="75"/>
        <v>0</v>
      </c>
      <c r="CA15" s="36">
        <f t="shared" si="41"/>
        <v>3233.705035</v>
      </c>
      <c r="CB15" s="5">
        <f t="shared" si="42"/>
        <v>3233.705035</v>
      </c>
      <c r="CC15" s="36">
        <f t="shared" si="43"/>
        <v>1122.5045948</v>
      </c>
      <c r="CD15" s="5"/>
      <c r="CE15" s="36">
        <f t="shared" si="76"/>
        <v>0</v>
      </c>
      <c r="CF15" s="36">
        <f t="shared" si="44"/>
        <v>1721.5507925000002</v>
      </c>
      <c r="CG15" s="5">
        <f t="shared" si="45"/>
        <v>1721.5507925000002</v>
      </c>
      <c r="CH15" s="36">
        <f t="shared" si="46"/>
        <v>597.5958394</v>
      </c>
      <c r="CI15" s="5"/>
      <c r="CJ15" s="5">
        <f t="shared" si="77"/>
        <v>0</v>
      </c>
      <c r="CK15" s="36">
        <f t="shared" si="47"/>
        <v>5609.725165</v>
      </c>
      <c r="CL15" s="36">
        <f t="shared" si="48"/>
        <v>5609.725165</v>
      </c>
      <c r="CM15" s="36">
        <f t="shared" si="49"/>
        <v>1947.2840612</v>
      </c>
      <c r="CN15" s="5"/>
      <c r="CO15" s="5">
        <f t="shared" si="78"/>
        <v>0</v>
      </c>
      <c r="CP15" s="36">
        <f t="shared" si="50"/>
        <v>49379.6169075</v>
      </c>
      <c r="CQ15" s="36">
        <f t="shared" si="51"/>
        <v>49379.6169075</v>
      </c>
      <c r="CR15" s="36">
        <f t="shared" si="52"/>
        <v>17140.971816600002</v>
      </c>
      <c r="CS15" s="5"/>
      <c r="CT15" s="36">
        <f t="shared" si="79"/>
        <v>0</v>
      </c>
      <c r="CU15" s="36">
        <f t="shared" si="53"/>
        <v>102232.4834575</v>
      </c>
      <c r="CV15" s="5">
        <f t="shared" si="54"/>
        <v>102232.4834575</v>
      </c>
      <c r="CW15" s="36">
        <f t="shared" si="55"/>
        <v>35487.600500600005</v>
      </c>
      <c r="CX15" s="5"/>
      <c r="CY15" s="5">
        <f t="shared" si="80"/>
        <v>0</v>
      </c>
      <c r="CZ15" s="5">
        <f t="shared" si="56"/>
        <v>4537.3036775</v>
      </c>
      <c r="DA15" s="5">
        <f t="shared" si="57"/>
        <v>4537.3036775</v>
      </c>
      <c r="DB15" s="36">
        <f t="shared" si="58"/>
        <v>1575.0181822000002</v>
      </c>
      <c r="DC15" s="5"/>
      <c r="DD15" s="36">
        <f t="shared" si="81"/>
        <v>0</v>
      </c>
      <c r="DE15" s="36">
        <f t="shared" si="59"/>
        <v>5032.8755125</v>
      </c>
      <c r="DF15" s="5">
        <f t="shared" si="60"/>
        <v>5032.8755125</v>
      </c>
      <c r="DG15" s="36">
        <f t="shared" si="61"/>
        <v>1747.044281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.75">
      <c r="A16" s="37">
        <v>44835</v>
      </c>
      <c r="D16" s="3">
        <v>420475</v>
      </c>
      <c r="E16" s="35">
        <f t="shared" si="0"/>
        <v>420475</v>
      </c>
      <c r="F16" s="35">
        <v>145958</v>
      </c>
      <c r="H16" s="36"/>
      <c r="I16" s="36">
        <f>'Academic Project '!I16</f>
        <v>63374.83295</v>
      </c>
      <c r="J16" s="36">
        <f t="shared" si="1"/>
        <v>63374.83295</v>
      </c>
      <c r="K16" s="36">
        <f>'Academic Project '!K16</f>
        <v>21999.081675999998</v>
      </c>
      <c r="M16" s="36"/>
      <c r="N16" s="35">
        <f t="shared" si="2"/>
        <v>357100.16705</v>
      </c>
      <c r="O16" s="5">
        <f t="shared" si="3"/>
        <v>357100.16705</v>
      </c>
      <c r="P16" s="35">
        <f t="shared" si="4"/>
        <v>123958.91832399998</v>
      </c>
      <c r="R16" s="36"/>
      <c r="S16" s="36">
        <f t="shared" si="5"/>
        <v>16116.848797499999</v>
      </c>
      <c r="T16" s="5">
        <f t="shared" si="6"/>
        <v>16116.848797499999</v>
      </c>
      <c r="U16" s="36">
        <f t="shared" si="7"/>
        <v>5594.5847358</v>
      </c>
      <c r="X16" s="36">
        <f t="shared" si="8"/>
        <v>29204.385457499997</v>
      </c>
      <c r="Y16" s="36">
        <f t="shared" si="9"/>
        <v>29204.385457499997</v>
      </c>
      <c r="Z16" s="36">
        <f t="shared" si="10"/>
        <v>10137.6150606</v>
      </c>
      <c r="AC16" s="5">
        <f t="shared" si="11"/>
        <v>23531.9254225</v>
      </c>
      <c r="AD16" s="5">
        <f t="shared" si="12"/>
        <v>23531.9254225</v>
      </c>
      <c r="AE16" s="36">
        <f t="shared" si="13"/>
        <v>8168.554065799999</v>
      </c>
      <c r="AH16" s="5">
        <f t="shared" si="14"/>
        <v>27965.371775</v>
      </c>
      <c r="AI16" s="5">
        <f t="shared" si="15"/>
        <v>27965.371775</v>
      </c>
      <c r="AJ16" s="36">
        <f t="shared" si="16"/>
        <v>9707.520622</v>
      </c>
      <c r="AL16" s="36"/>
      <c r="AM16" s="36">
        <f t="shared" si="17"/>
        <v>1670.3789849999998</v>
      </c>
      <c r="AN16" s="5">
        <f t="shared" si="18"/>
        <v>1670.3789849999998</v>
      </c>
      <c r="AO16" s="36">
        <f t="shared" si="19"/>
        <v>579.8327508</v>
      </c>
      <c r="AQ16" s="36"/>
      <c r="AR16" s="36">
        <f t="shared" si="20"/>
        <v>150.36186</v>
      </c>
      <c r="AS16" s="5">
        <f t="shared" si="21"/>
        <v>150.36186</v>
      </c>
      <c r="AT16" s="36">
        <f t="shared" si="22"/>
        <v>52.194580800000004</v>
      </c>
      <c r="AU16" s="5"/>
      <c r="AV16" s="36"/>
      <c r="AW16" s="36">
        <f t="shared" si="23"/>
        <v>30764.305659999998</v>
      </c>
      <c r="AX16" s="5">
        <f t="shared" si="24"/>
        <v>30764.305659999998</v>
      </c>
      <c r="AY16" s="36">
        <f t="shared" si="25"/>
        <v>10679.1046448</v>
      </c>
      <c r="AZ16" s="5"/>
      <c r="BA16" s="36"/>
      <c r="BB16" s="36">
        <f t="shared" si="26"/>
        <v>1.093235</v>
      </c>
      <c r="BC16" s="5">
        <f t="shared" si="27"/>
        <v>1.093235</v>
      </c>
      <c r="BD16" s="36">
        <f t="shared" si="28"/>
        <v>0.3794908</v>
      </c>
      <c r="BE16" s="5"/>
      <c r="BF16" s="36"/>
      <c r="BG16" s="36">
        <f t="shared" si="29"/>
        <v>39295.491125</v>
      </c>
      <c r="BH16" s="5">
        <f t="shared" si="30"/>
        <v>39295.491125</v>
      </c>
      <c r="BI16" s="36">
        <f t="shared" si="31"/>
        <v>13640.50489</v>
      </c>
      <c r="BJ16" s="5"/>
      <c r="BK16" s="36"/>
      <c r="BL16" s="36">
        <f t="shared" si="32"/>
        <v>92.7147375</v>
      </c>
      <c r="BM16" s="5">
        <f t="shared" si="33"/>
        <v>92.7147375</v>
      </c>
      <c r="BN16" s="36">
        <f t="shared" si="34"/>
        <v>32.183738999999996</v>
      </c>
      <c r="BO16" s="5"/>
      <c r="BP16" s="36"/>
      <c r="BQ16" s="36">
        <f t="shared" si="35"/>
        <v>16476.8594925</v>
      </c>
      <c r="BR16" s="5">
        <f t="shared" si="36"/>
        <v>16476.8594925</v>
      </c>
      <c r="BS16" s="36">
        <f t="shared" si="37"/>
        <v>5719.5539754</v>
      </c>
      <c r="BT16" s="5"/>
      <c r="BU16" s="5"/>
      <c r="BV16" s="5">
        <f t="shared" si="38"/>
        <v>83.169955</v>
      </c>
      <c r="BW16" s="5">
        <f t="shared" si="39"/>
        <v>83.169955</v>
      </c>
      <c r="BX16" s="36">
        <f t="shared" si="40"/>
        <v>28.8704924</v>
      </c>
      <c r="BY16" s="5"/>
      <c r="BZ16" s="36"/>
      <c r="CA16" s="36">
        <f t="shared" si="41"/>
        <v>3233.705035</v>
      </c>
      <c r="CB16" s="5">
        <f t="shared" si="42"/>
        <v>3233.705035</v>
      </c>
      <c r="CC16" s="36">
        <f t="shared" si="43"/>
        <v>1122.5045948</v>
      </c>
      <c r="CD16" s="5"/>
      <c r="CE16" s="36"/>
      <c r="CF16" s="36">
        <f t="shared" si="44"/>
        <v>1721.5507925000002</v>
      </c>
      <c r="CG16" s="5">
        <f t="shared" si="45"/>
        <v>1721.5507925000002</v>
      </c>
      <c r="CH16" s="36">
        <f t="shared" si="46"/>
        <v>597.5958394</v>
      </c>
      <c r="CI16" s="5"/>
      <c r="CJ16" s="5"/>
      <c r="CK16" s="36">
        <f t="shared" si="47"/>
        <v>5609.725165</v>
      </c>
      <c r="CL16" s="36">
        <f t="shared" si="48"/>
        <v>5609.725165</v>
      </c>
      <c r="CM16" s="36">
        <f t="shared" si="49"/>
        <v>1947.2840612</v>
      </c>
      <c r="CN16" s="5"/>
      <c r="CO16" s="5"/>
      <c r="CP16" s="36">
        <f t="shared" si="50"/>
        <v>49379.6169075</v>
      </c>
      <c r="CQ16" s="36">
        <f t="shared" si="51"/>
        <v>49379.6169075</v>
      </c>
      <c r="CR16" s="36">
        <f t="shared" si="52"/>
        <v>17140.971816600002</v>
      </c>
      <c r="CS16" s="5"/>
      <c r="CT16" s="36"/>
      <c r="CU16" s="36">
        <f t="shared" si="53"/>
        <v>102232.4834575</v>
      </c>
      <c r="CV16" s="5">
        <f t="shared" si="54"/>
        <v>102232.4834575</v>
      </c>
      <c r="CW16" s="36">
        <f t="shared" si="55"/>
        <v>35487.600500600005</v>
      </c>
      <c r="CX16" s="5"/>
      <c r="CY16" s="5"/>
      <c r="CZ16" s="5">
        <f t="shared" si="56"/>
        <v>4537.3036775</v>
      </c>
      <c r="DA16" s="5">
        <f t="shared" si="57"/>
        <v>4537.3036775</v>
      </c>
      <c r="DB16" s="36">
        <f t="shared" si="58"/>
        <v>1575.0181822000002</v>
      </c>
      <c r="DC16" s="5"/>
      <c r="DD16" s="36"/>
      <c r="DE16" s="36">
        <f t="shared" si="59"/>
        <v>5032.8755125</v>
      </c>
      <c r="DF16" s="5">
        <f t="shared" si="60"/>
        <v>5032.8755125</v>
      </c>
      <c r="DG16" s="36">
        <f t="shared" si="61"/>
        <v>1747.044281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.75">
      <c r="A17" s="37">
        <v>45017</v>
      </c>
      <c r="C17" s="3">
        <v>0</v>
      </c>
      <c r="D17" s="3">
        <v>420475</v>
      </c>
      <c r="E17" s="35">
        <f t="shared" si="0"/>
        <v>420475</v>
      </c>
      <c r="F17" s="35">
        <v>145958</v>
      </c>
      <c r="H17" s="36">
        <f>'Academic Project '!H17</f>
        <v>0</v>
      </c>
      <c r="I17" s="36">
        <f>'Academic Project '!I17</f>
        <v>63374.83295</v>
      </c>
      <c r="J17" s="36">
        <f t="shared" si="1"/>
        <v>63374.83295</v>
      </c>
      <c r="K17" s="36">
        <f>'Academic Project '!K17</f>
        <v>21999.081675999998</v>
      </c>
      <c r="M17" s="36">
        <f t="shared" si="62"/>
        <v>0</v>
      </c>
      <c r="N17" s="35">
        <f t="shared" si="2"/>
        <v>357100.16705</v>
      </c>
      <c r="O17" s="5">
        <f t="shared" si="3"/>
        <v>357100.16705</v>
      </c>
      <c r="P17" s="35">
        <f t="shared" si="4"/>
        <v>123958.91832399998</v>
      </c>
      <c r="R17" s="36">
        <f t="shared" si="63"/>
        <v>0</v>
      </c>
      <c r="S17" s="36">
        <f t="shared" si="5"/>
        <v>16116.848797499999</v>
      </c>
      <c r="T17" s="5">
        <f t="shared" si="6"/>
        <v>16116.848797499999</v>
      </c>
      <c r="U17" s="36">
        <f t="shared" si="7"/>
        <v>5594.5847358</v>
      </c>
      <c r="W17" s="5">
        <f t="shared" si="64"/>
        <v>0</v>
      </c>
      <c r="X17" s="36">
        <f t="shared" si="8"/>
        <v>29204.385457499997</v>
      </c>
      <c r="Y17" s="36">
        <f t="shared" si="9"/>
        <v>29204.385457499997</v>
      </c>
      <c r="Z17" s="36">
        <f t="shared" si="10"/>
        <v>10137.6150606</v>
      </c>
      <c r="AB17" s="5">
        <f t="shared" si="65"/>
        <v>0</v>
      </c>
      <c r="AC17" s="5">
        <f t="shared" si="11"/>
        <v>23531.9254225</v>
      </c>
      <c r="AD17" s="5">
        <f t="shared" si="12"/>
        <v>23531.9254225</v>
      </c>
      <c r="AE17" s="36">
        <f t="shared" si="13"/>
        <v>8168.554065799999</v>
      </c>
      <c r="AG17" s="5">
        <f t="shared" si="66"/>
        <v>0</v>
      </c>
      <c r="AH17" s="5">
        <f t="shared" si="14"/>
        <v>27965.371775</v>
      </c>
      <c r="AI17" s="5">
        <f t="shared" si="15"/>
        <v>27965.371775</v>
      </c>
      <c r="AJ17" s="36">
        <f t="shared" si="16"/>
        <v>9707.520622</v>
      </c>
      <c r="AL17" s="36">
        <f t="shared" si="67"/>
        <v>0</v>
      </c>
      <c r="AM17" s="36">
        <f t="shared" si="17"/>
        <v>1670.3789849999998</v>
      </c>
      <c r="AN17" s="5">
        <f t="shared" si="18"/>
        <v>1670.3789849999998</v>
      </c>
      <c r="AO17" s="36">
        <f t="shared" si="19"/>
        <v>579.8327508</v>
      </c>
      <c r="AQ17" s="36">
        <f t="shared" si="68"/>
        <v>0</v>
      </c>
      <c r="AR17" s="36">
        <f t="shared" si="20"/>
        <v>150.36186</v>
      </c>
      <c r="AS17" s="5">
        <f t="shared" si="21"/>
        <v>150.36186</v>
      </c>
      <c r="AT17" s="36">
        <f t="shared" si="22"/>
        <v>52.194580800000004</v>
      </c>
      <c r="AU17" s="5"/>
      <c r="AV17" s="36">
        <f t="shared" si="69"/>
        <v>0</v>
      </c>
      <c r="AW17" s="36">
        <f t="shared" si="23"/>
        <v>30764.305659999998</v>
      </c>
      <c r="AX17" s="5">
        <f t="shared" si="24"/>
        <v>30764.305659999998</v>
      </c>
      <c r="AY17" s="36">
        <f t="shared" si="25"/>
        <v>10679.1046448</v>
      </c>
      <c r="AZ17" s="5"/>
      <c r="BA17" s="36">
        <f t="shared" si="70"/>
        <v>0</v>
      </c>
      <c r="BB17" s="36">
        <f t="shared" si="26"/>
        <v>1.093235</v>
      </c>
      <c r="BC17" s="5">
        <f t="shared" si="27"/>
        <v>1.093235</v>
      </c>
      <c r="BD17" s="36">
        <f t="shared" si="28"/>
        <v>0.3794908</v>
      </c>
      <c r="BE17" s="5"/>
      <c r="BF17" s="36">
        <f t="shared" si="71"/>
        <v>0</v>
      </c>
      <c r="BG17" s="36">
        <f t="shared" si="29"/>
        <v>39295.491125</v>
      </c>
      <c r="BH17" s="5">
        <f t="shared" si="30"/>
        <v>39295.491125</v>
      </c>
      <c r="BI17" s="36">
        <f t="shared" si="31"/>
        <v>13640.50489</v>
      </c>
      <c r="BJ17" s="5"/>
      <c r="BK17" s="36">
        <f t="shared" si="72"/>
        <v>0</v>
      </c>
      <c r="BL17" s="36">
        <f t="shared" si="32"/>
        <v>92.7147375</v>
      </c>
      <c r="BM17" s="5">
        <f t="shared" si="33"/>
        <v>92.7147375</v>
      </c>
      <c r="BN17" s="36">
        <f t="shared" si="34"/>
        <v>32.183738999999996</v>
      </c>
      <c r="BO17" s="5"/>
      <c r="BP17" s="36">
        <f t="shared" si="73"/>
        <v>0</v>
      </c>
      <c r="BQ17" s="36">
        <f t="shared" si="35"/>
        <v>16476.8594925</v>
      </c>
      <c r="BR17" s="5">
        <f t="shared" si="36"/>
        <v>16476.8594925</v>
      </c>
      <c r="BS17" s="36">
        <f t="shared" si="37"/>
        <v>5719.5539754</v>
      </c>
      <c r="BT17" s="5"/>
      <c r="BU17" s="5">
        <f t="shared" si="74"/>
        <v>0</v>
      </c>
      <c r="BV17" s="5">
        <f t="shared" si="38"/>
        <v>83.169955</v>
      </c>
      <c r="BW17" s="5">
        <f t="shared" si="39"/>
        <v>83.169955</v>
      </c>
      <c r="BX17" s="36">
        <f t="shared" si="40"/>
        <v>28.8704924</v>
      </c>
      <c r="BY17" s="5"/>
      <c r="BZ17" s="36">
        <f t="shared" si="75"/>
        <v>0</v>
      </c>
      <c r="CA17" s="36">
        <f t="shared" si="41"/>
        <v>3233.705035</v>
      </c>
      <c r="CB17" s="5">
        <f t="shared" si="42"/>
        <v>3233.705035</v>
      </c>
      <c r="CC17" s="36">
        <f t="shared" si="43"/>
        <v>1122.5045948</v>
      </c>
      <c r="CD17" s="5"/>
      <c r="CE17" s="36">
        <f t="shared" si="76"/>
        <v>0</v>
      </c>
      <c r="CF17" s="36">
        <f t="shared" si="44"/>
        <v>1721.5507925000002</v>
      </c>
      <c r="CG17" s="5">
        <f t="shared" si="45"/>
        <v>1721.5507925000002</v>
      </c>
      <c r="CH17" s="36">
        <f t="shared" si="46"/>
        <v>597.5958394</v>
      </c>
      <c r="CI17" s="5"/>
      <c r="CJ17" s="5">
        <f t="shared" si="77"/>
        <v>0</v>
      </c>
      <c r="CK17" s="36">
        <f t="shared" si="47"/>
        <v>5609.725165</v>
      </c>
      <c r="CL17" s="36">
        <f t="shared" si="48"/>
        <v>5609.725165</v>
      </c>
      <c r="CM17" s="36">
        <f t="shared" si="49"/>
        <v>1947.2840612</v>
      </c>
      <c r="CN17" s="5"/>
      <c r="CO17" s="5">
        <f t="shared" si="78"/>
        <v>0</v>
      </c>
      <c r="CP17" s="36">
        <f t="shared" si="50"/>
        <v>49379.6169075</v>
      </c>
      <c r="CQ17" s="36">
        <f t="shared" si="51"/>
        <v>49379.6169075</v>
      </c>
      <c r="CR17" s="36">
        <f t="shared" si="52"/>
        <v>17140.971816600002</v>
      </c>
      <c r="CS17" s="5"/>
      <c r="CT17" s="36">
        <f t="shared" si="79"/>
        <v>0</v>
      </c>
      <c r="CU17" s="36">
        <f t="shared" si="53"/>
        <v>102232.4834575</v>
      </c>
      <c r="CV17" s="5">
        <f t="shared" si="54"/>
        <v>102232.4834575</v>
      </c>
      <c r="CW17" s="36">
        <f t="shared" si="55"/>
        <v>35487.600500600005</v>
      </c>
      <c r="CX17" s="5"/>
      <c r="CY17" s="5">
        <f t="shared" si="80"/>
        <v>0</v>
      </c>
      <c r="CZ17" s="5">
        <f t="shared" si="56"/>
        <v>4537.3036775</v>
      </c>
      <c r="DA17" s="5">
        <f t="shared" si="57"/>
        <v>4537.3036775</v>
      </c>
      <c r="DB17" s="36">
        <f t="shared" si="58"/>
        <v>1575.0181822000002</v>
      </c>
      <c r="DC17" s="5"/>
      <c r="DD17" s="36">
        <f t="shared" si="81"/>
        <v>0</v>
      </c>
      <c r="DE17" s="36">
        <f t="shared" si="59"/>
        <v>5032.8755125</v>
      </c>
      <c r="DF17" s="5">
        <f t="shared" si="60"/>
        <v>5032.8755125</v>
      </c>
      <c r="DG17" s="36">
        <f t="shared" si="61"/>
        <v>1747.044281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.75">
      <c r="A18" s="37">
        <v>45200</v>
      </c>
      <c r="D18" s="3">
        <v>420475</v>
      </c>
      <c r="E18" s="35">
        <f t="shared" si="0"/>
        <v>420475</v>
      </c>
      <c r="F18" s="35">
        <v>145958</v>
      </c>
      <c r="H18" s="36"/>
      <c r="I18" s="36">
        <f>'Academic Project '!I18</f>
        <v>63374.83295</v>
      </c>
      <c r="J18" s="36">
        <f t="shared" si="1"/>
        <v>63374.83295</v>
      </c>
      <c r="K18" s="36">
        <f>'Academic Project '!K18</f>
        <v>21999.081675999998</v>
      </c>
      <c r="M18" s="36"/>
      <c r="N18" s="35">
        <f t="shared" si="2"/>
        <v>357100.16705</v>
      </c>
      <c r="O18" s="5">
        <f t="shared" si="3"/>
        <v>357100.16705</v>
      </c>
      <c r="P18" s="35">
        <f t="shared" si="4"/>
        <v>123958.91832399998</v>
      </c>
      <c r="R18" s="36"/>
      <c r="S18" s="36">
        <f t="shared" si="5"/>
        <v>16116.848797499999</v>
      </c>
      <c r="T18" s="5">
        <f t="shared" si="6"/>
        <v>16116.848797499999</v>
      </c>
      <c r="U18" s="36">
        <f t="shared" si="7"/>
        <v>5594.5847358</v>
      </c>
      <c r="X18" s="36">
        <f t="shared" si="8"/>
        <v>29204.385457499997</v>
      </c>
      <c r="Y18" s="36">
        <f t="shared" si="9"/>
        <v>29204.385457499997</v>
      </c>
      <c r="Z18" s="36">
        <f t="shared" si="10"/>
        <v>10137.6150606</v>
      </c>
      <c r="AC18" s="5">
        <f t="shared" si="11"/>
        <v>23531.9254225</v>
      </c>
      <c r="AD18" s="5">
        <f t="shared" si="12"/>
        <v>23531.9254225</v>
      </c>
      <c r="AE18" s="36">
        <f t="shared" si="13"/>
        <v>8168.554065799999</v>
      </c>
      <c r="AH18" s="5">
        <f t="shared" si="14"/>
        <v>27965.371775</v>
      </c>
      <c r="AI18" s="5">
        <f t="shared" si="15"/>
        <v>27965.371775</v>
      </c>
      <c r="AJ18" s="36">
        <f t="shared" si="16"/>
        <v>9707.520622</v>
      </c>
      <c r="AL18" s="36"/>
      <c r="AM18" s="36">
        <f t="shared" si="17"/>
        <v>1670.3789849999998</v>
      </c>
      <c r="AN18" s="5">
        <f t="shared" si="18"/>
        <v>1670.3789849999998</v>
      </c>
      <c r="AO18" s="36">
        <f t="shared" si="19"/>
        <v>579.8327508</v>
      </c>
      <c r="AQ18" s="36"/>
      <c r="AR18" s="36">
        <f t="shared" si="20"/>
        <v>150.36186</v>
      </c>
      <c r="AS18" s="5">
        <f t="shared" si="21"/>
        <v>150.36186</v>
      </c>
      <c r="AT18" s="36">
        <f t="shared" si="22"/>
        <v>52.194580800000004</v>
      </c>
      <c r="AU18" s="5"/>
      <c r="AV18" s="36"/>
      <c r="AW18" s="36">
        <f t="shared" si="23"/>
        <v>30764.305659999998</v>
      </c>
      <c r="AX18" s="5">
        <f t="shared" si="24"/>
        <v>30764.305659999998</v>
      </c>
      <c r="AY18" s="36">
        <f t="shared" si="25"/>
        <v>10679.1046448</v>
      </c>
      <c r="AZ18" s="5"/>
      <c r="BA18" s="36"/>
      <c r="BB18" s="36">
        <f t="shared" si="26"/>
        <v>1.093235</v>
      </c>
      <c r="BC18" s="5">
        <f t="shared" si="27"/>
        <v>1.093235</v>
      </c>
      <c r="BD18" s="36">
        <f t="shared" si="28"/>
        <v>0.3794908</v>
      </c>
      <c r="BE18" s="5"/>
      <c r="BF18" s="36"/>
      <c r="BG18" s="36">
        <f t="shared" si="29"/>
        <v>39295.491125</v>
      </c>
      <c r="BH18" s="5">
        <f t="shared" si="30"/>
        <v>39295.491125</v>
      </c>
      <c r="BI18" s="36">
        <f t="shared" si="31"/>
        <v>13640.50489</v>
      </c>
      <c r="BJ18" s="5"/>
      <c r="BK18" s="36"/>
      <c r="BL18" s="36">
        <f t="shared" si="32"/>
        <v>92.7147375</v>
      </c>
      <c r="BM18" s="5">
        <f t="shared" si="33"/>
        <v>92.7147375</v>
      </c>
      <c r="BN18" s="36">
        <f t="shared" si="34"/>
        <v>32.183738999999996</v>
      </c>
      <c r="BO18" s="5"/>
      <c r="BP18" s="36"/>
      <c r="BQ18" s="36">
        <f t="shared" si="35"/>
        <v>16476.8594925</v>
      </c>
      <c r="BR18" s="5">
        <f t="shared" si="36"/>
        <v>16476.8594925</v>
      </c>
      <c r="BS18" s="36">
        <f t="shared" si="37"/>
        <v>5719.5539754</v>
      </c>
      <c r="BT18" s="5"/>
      <c r="BU18" s="5"/>
      <c r="BV18" s="5">
        <f t="shared" si="38"/>
        <v>83.169955</v>
      </c>
      <c r="BW18" s="5">
        <f t="shared" si="39"/>
        <v>83.169955</v>
      </c>
      <c r="BX18" s="36">
        <f t="shared" si="40"/>
        <v>28.8704924</v>
      </c>
      <c r="BY18" s="5"/>
      <c r="BZ18" s="36"/>
      <c r="CA18" s="36">
        <f t="shared" si="41"/>
        <v>3233.705035</v>
      </c>
      <c r="CB18" s="5">
        <f t="shared" si="42"/>
        <v>3233.705035</v>
      </c>
      <c r="CC18" s="36">
        <f t="shared" si="43"/>
        <v>1122.5045948</v>
      </c>
      <c r="CD18" s="5"/>
      <c r="CE18" s="36"/>
      <c r="CF18" s="36">
        <f t="shared" si="44"/>
        <v>1721.5507925000002</v>
      </c>
      <c r="CG18" s="5">
        <f t="shared" si="45"/>
        <v>1721.5507925000002</v>
      </c>
      <c r="CH18" s="36">
        <f t="shared" si="46"/>
        <v>597.5958394</v>
      </c>
      <c r="CI18" s="5"/>
      <c r="CJ18" s="5"/>
      <c r="CK18" s="36">
        <f t="shared" si="47"/>
        <v>5609.725165</v>
      </c>
      <c r="CL18" s="36">
        <f t="shared" si="48"/>
        <v>5609.725165</v>
      </c>
      <c r="CM18" s="36">
        <f t="shared" si="49"/>
        <v>1947.2840612</v>
      </c>
      <c r="CN18" s="5"/>
      <c r="CO18" s="5"/>
      <c r="CP18" s="36">
        <f t="shared" si="50"/>
        <v>49379.6169075</v>
      </c>
      <c r="CQ18" s="36">
        <f t="shared" si="51"/>
        <v>49379.6169075</v>
      </c>
      <c r="CR18" s="36">
        <f t="shared" si="52"/>
        <v>17140.971816600002</v>
      </c>
      <c r="CS18" s="5"/>
      <c r="CT18" s="36"/>
      <c r="CU18" s="36">
        <f t="shared" si="53"/>
        <v>102232.4834575</v>
      </c>
      <c r="CV18" s="5">
        <f t="shared" si="54"/>
        <v>102232.4834575</v>
      </c>
      <c r="CW18" s="36">
        <f t="shared" si="55"/>
        <v>35487.600500600005</v>
      </c>
      <c r="CX18" s="5"/>
      <c r="CY18" s="5"/>
      <c r="CZ18" s="5">
        <f t="shared" si="56"/>
        <v>4537.3036775</v>
      </c>
      <c r="DA18" s="5">
        <f t="shared" si="57"/>
        <v>4537.3036775</v>
      </c>
      <c r="DB18" s="36">
        <f t="shared" si="58"/>
        <v>1575.0181822000002</v>
      </c>
      <c r="DC18" s="5"/>
      <c r="DD18" s="36"/>
      <c r="DE18" s="36">
        <f t="shared" si="59"/>
        <v>5032.8755125</v>
      </c>
      <c r="DF18" s="5">
        <f t="shared" si="60"/>
        <v>5032.8755125</v>
      </c>
      <c r="DG18" s="36">
        <f t="shared" si="61"/>
        <v>1747.044281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.75">
      <c r="A19" s="37">
        <v>45383</v>
      </c>
      <c r="C19" s="3">
        <v>6285000</v>
      </c>
      <c r="D19" s="3">
        <v>420475</v>
      </c>
      <c r="E19" s="35">
        <f t="shared" si="0"/>
        <v>6705475</v>
      </c>
      <c r="F19" s="35">
        <v>145958</v>
      </c>
      <c r="H19" s="36">
        <f>'Academic Project '!H19</f>
        <v>947287.7700000001</v>
      </c>
      <c r="I19" s="36">
        <f>'Academic Project '!I19</f>
        <v>63374.83295</v>
      </c>
      <c r="J19" s="36">
        <f t="shared" si="1"/>
        <v>1010662.6029500001</v>
      </c>
      <c r="K19" s="36">
        <f>'Academic Project '!K19</f>
        <v>21999.081675999998</v>
      </c>
      <c r="M19" s="36">
        <f t="shared" si="62"/>
        <v>5337712.2299999995</v>
      </c>
      <c r="N19" s="35">
        <f t="shared" si="2"/>
        <v>357100.16705</v>
      </c>
      <c r="O19" s="5">
        <f t="shared" si="3"/>
        <v>5694812.39705</v>
      </c>
      <c r="P19" s="35">
        <f t="shared" si="4"/>
        <v>123958.91832399998</v>
      </c>
      <c r="R19" s="36">
        <f t="shared" si="63"/>
        <v>240904.67849999998</v>
      </c>
      <c r="S19" s="36">
        <f t="shared" si="5"/>
        <v>16116.848797499999</v>
      </c>
      <c r="T19" s="5">
        <f t="shared" si="6"/>
        <v>257021.52729749997</v>
      </c>
      <c r="U19" s="36">
        <f t="shared" si="7"/>
        <v>5594.5847358</v>
      </c>
      <c r="W19" s="5">
        <f t="shared" si="64"/>
        <v>436529.0745</v>
      </c>
      <c r="X19" s="36">
        <f t="shared" si="8"/>
        <v>29204.385457499997</v>
      </c>
      <c r="Y19" s="36">
        <f t="shared" si="9"/>
        <v>465733.4599575</v>
      </c>
      <c r="Z19" s="36">
        <f t="shared" si="10"/>
        <v>10137.6150606</v>
      </c>
      <c r="AB19" s="5">
        <f t="shared" si="65"/>
        <v>351740.65349999996</v>
      </c>
      <c r="AC19" s="5">
        <f t="shared" si="11"/>
        <v>23531.9254225</v>
      </c>
      <c r="AD19" s="5">
        <f t="shared" si="12"/>
        <v>375272.57892249996</v>
      </c>
      <c r="AE19" s="36">
        <f t="shared" si="13"/>
        <v>8168.554065799999</v>
      </c>
      <c r="AG19" s="5">
        <f t="shared" si="66"/>
        <v>418009.065</v>
      </c>
      <c r="AH19" s="5">
        <f t="shared" si="14"/>
        <v>27965.371775</v>
      </c>
      <c r="AI19" s="5">
        <f t="shared" si="15"/>
        <v>445974.436775</v>
      </c>
      <c r="AJ19" s="36">
        <f t="shared" si="16"/>
        <v>9707.520622</v>
      </c>
      <c r="AL19" s="36">
        <f t="shared" si="67"/>
        <v>24967.790999999997</v>
      </c>
      <c r="AM19" s="36">
        <f t="shared" si="17"/>
        <v>1670.3789849999998</v>
      </c>
      <c r="AN19" s="5">
        <f t="shared" si="18"/>
        <v>26638.169984999997</v>
      </c>
      <c r="AO19" s="36">
        <f t="shared" si="19"/>
        <v>579.8327508</v>
      </c>
      <c r="AQ19" s="36">
        <f t="shared" si="68"/>
        <v>2247.516</v>
      </c>
      <c r="AR19" s="36">
        <f t="shared" si="20"/>
        <v>150.36186</v>
      </c>
      <c r="AS19" s="5">
        <f t="shared" si="21"/>
        <v>2397.87786</v>
      </c>
      <c r="AT19" s="36">
        <f t="shared" si="22"/>
        <v>52.194580800000004</v>
      </c>
      <c r="AU19" s="5"/>
      <c r="AV19" s="36">
        <f t="shared" si="69"/>
        <v>459845.796</v>
      </c>
      <c r="AW19" s="36">
        <f t="shared" si="23"/>
        <v>30764.305659999998</v>
      </c>
      <c r="AX19" s="5">
        <f t="shared" si="24"/>
        <v>490610.10166</v>
      </c>
      <c r="AY19" s="36">
        <f t="shared" si="25"/>
        <v>10679.1046448</v>
      </c>
      <c r="AZ19" s="5"/>
      <c r="BA19" s="36">
        <f t="shared" si="70"/>
        <v>16.341</v>
      </c>
      <c r="BB19" s="36">
        <f t="shared" si="26"/>
        <v>1.093235</v>
      </c>
      <c r="BC19" s="5">
        <f t="shared" si="27"/>
        <v>17.434235</v>
      </c>
      <c r="BD19" s="36">
        <f t="shared" si="28"/>
        <v>0.3794908</v>
      </c>
      <c r="BE19" s="5"/>
      <c r="BF19" s="36">
        <f t="shared" si="71"/>
        <v>587364.6749999999</v>
      </c>
      <c r="BG19" s="36">
        <f t="shared" si="29"/>
        <v>39295.491125</v>
      </c>
      <c r="BH19" s="5">
        <f t="shared" si="30"/>
        <v>626660.166125</v>
      </c>
      <c r="BI19" s="36">
        <f t="shared" si="31"/>
        <v>13640.50489</v>
      </c>
      <c r="BJ19" s="5"/>
      <c r="BK19" s="36">
        <f t="shared" si="72"/>
        <v>1385.8425</v>
      </c>
      <c r="BL19" s="36">
        <f t="shared" si="32"/>
        <v>92.7147375</v>
      </c>
      <c r="BM19" s="5">
        <f t="shared" si="33"/>
        <v>1478.5572375</v>
      </c>
      <c r="BN19" s="36">
        <f t="shared" si="34"/>
        <v>32.183738999999996</v>
      </c>
      <c r="BO19" s="5"/>
      <c r="BP19" s="36">
        <f t="shared" si="73"/>
        <v>246285.8955</v>
      </c>
      <c r="BQ19" s="36">
        <f t="shared" si="35"/>
        <v>16476.8594925</v>
      </c>
      <c r="BR19" s="5">
        <f t="shared" si="36"/>
        <v>262762.7549925</v>
      </c>
      <c r="BS19" s="36">
        <f t="shared" si="37"/>
        <v>5719.5539754</v>
      </c>
      <c r="BT19" s="5"/>
      <c r="BU19" s="5">
        <f t="shared" si="74"/>
        <v>1243.173</v>
      </c>
      <c r="BV19" s="5">
        <f t="shared" si="38"/>
        <v>83.169955</v>
      </c>
      <c r="BW19" s="5">
        <f t="shared" si="39"/>
        <v>1326.342955</v>
      </c>
      <c r="BX19" s="36">
        <f t="shared" si="40"/>
        <v>28.8704924</v>
      </c>
      <c r="BY19" s="5"/>
      <c r="BZ19" s="36">
        <f t="shared" si="75"/>
        <v>48335.420999999995</v>
      </c>
      <c r="CA19" s="36">
        <f t="shared" si="41"/>
        <v>3233.705035</v>
      </c>
      <c r="CB19" s="5">
        <f t="shared" si="42"/>
        <v>51569.126034999994</v>
      </c>
      <c r="CC19" s="36">
        <f t="shared" si="43"/>
        <v>1122.5045948</v>
      </c>
      <c r="CD19" s="5"/>
      <c r="CE19" s="36">
        <f t="shared" si="76"/>
        <v>25732.6755</v>
      </c>
      <c r="CF19" s="36">
        <f t="shared" si="44"/>
        <v>1721.5507925000002</v>
      </c>
      <c r="CG19" s="5">
        <f t="shared" si="45"/>
        <v>27454.226292500003</v>
      </c>
      <c r="CH19" s="36">
        <f t="shared" si="46"/>
        <v>597.5958394</v>
      </c>
      <c r="CI19" s="5"/>
      <c r="CJ19" s="5">
        <f t="shared" si="77"/>
        <v>83850.699</v>
      </c>
      <c r="CK19" s="36">
        <f t="shared" si="47"/>
        <v>5609.725165</v>
      </c>
      <c r="CL19" s="36">
        <f t="shared" si="48"/>
        <v>89460.42416499999</v>
      </c>
      <c r="CM19" s="36">
        <f t="shared" si="49"/>
        <v>1947.2840612</v>
      </c>
      <c r="CN19" s="5"/>
      <c r="CO19" s="5">
        <f t="shared" si="78"/>
        <v>738095.9445</v>
      </c>
      <c r="CP19" s="36">
        <f t="shared" si="50"/>
        <v>49379.6169075</v>
      </c>
      <c r="CQ19" s="36">
        <f t="shared" si="51"/>
        <v>787475.5614075</v>
      </c>
      <c r="CR19" s="36">
        <f t="shared" si="52"/>
        <v>17140.971816600002</v>
      </c>
      <c r="CS19" s="5"/>
      <c r="CT19" s="36">
        <f t="shared" si="79"/>
        <v>1528107.8745000002</v>
      </c>
      <c r="CU19" s="36">
        <f t="shared" si="53"/>
        <v>102232.4834575</v>
      </c>
      <c r="CV19" s="5">
        <f t="shared" si="54"/>
        <v>1630340.3579575</v>
      </c>
      <c r="CW19" s="36">
        <f t="shared" si="55"/>
        <v>35487.600500600005</v>
      </c>
      <c r="CX19" s="5"/>
      <c r="CY19" s="5">
        <f t="shared" si="80"/>
        <v>67820.8065</v>
      </c>
      <c r="CZ19" s="5">
        <f t="shared" si="56"/>
        <v>4537.3036775</v>
      </c>
      <c r="DA19" s="5">
        <f t="shared" si="57"/>
        <v>72358.1101775</v>
      </c>
      <c r="DB19" s="36">
        <f t="shared" si="58"/>
        <v>1575.0181822000002</v>
      </c>
      <c r="DC19" s="5"/>
      <c r="DD19" s="36">
        <f t="shared" si="81"/>
        <v>75228.3075</v>
      </c>
      <c r="DE19" s="36">
        <f t="shared" si="59"/>
        <v>5032.8755125</v>
      </c>
      <c r="DF19" s="5">
        <f t="shared" si="60"/>
        <v>80261.1830125</v>
      </c>
      <c r="DG19" s="36">
        <f t="shared" si="61"/>
        <v>1747.044281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.75">
      <c r="A20" s="37">
        <v>45566</v>
      </c>
      <c r="D20" s="3">
        <v>326200</v>
      </c>
      <c r="E20" s="35">
        <f t="shared" si="0"/>
        <v>326200</v>
      </c>
      <c r="F20" s="35">
        <v>145958</v>
      </c>
      <c r="H20" s="36"/>
      <c r="I20" s="36">
        <f>'Academic Project '!I20</f>
        <v>49165.5164</v>
      </c>
      <c r="J20" s="36">
        <f t="shared" si="1"/>
        <v>49165.5164</v>
      </c>
      <c r="K20" s="36">
        <f>'Academic Project '!K20</f>
        <v>21999.081675999998</v>
      </c>
      <c r="M20" s="36"/>
      <c r="N20" s="35">
        <f t="shared" si="2"/>
        <v>277034.4836</v>
      </c>
      <c r="O20" s="5">
        <f t="shared" si="3"/>
        <v>277034.4836</v>
      </c>
      <c r="P20" s="35">
        <f t="shared" si="4"/>
        <v>123958.91832399998</v>
      </c>
      <c r="R20" s="36"/>
      <c r="S20" s="36">
        <f t="shared" si="5"/>
        <v>12503.27862</v>
      </c>
      <c r="T20" s="5">
        <f t="shared" si="6"/>
        <v>12503.27862</v>
      </c>
      <c r="U20" s="36">
        <f t="shared" si="7"/>
        <v>5594.5847358</v>
      </c>
      <c r="X20" s="36">
        <f t="shared" si="8"/>
        <v>22656.44934</v>
      </c>
      <c r="Y20" s="36">
        <f t="shared" si="9"/>
        <v>22656.44934</v>
      </c>
      <c r="Z20" s="36">
        <f t="shared" si="10"/>
        <v>10137.6150606</v>
      </c>
      <c r="AC20" s="5">
        <f t="shared" si="11"/>
        <v>18255.815619999998</v>
      </c>
      <c r="AD20" s="5">
        <f t="shared" si="12"/>
        <v>18255.815619999998</v>
      </c>
      <c r="AE20" s="36">
        <f t="shared" si="13"/>
        <v>8168.554065799999</v>
      </c>
      <c r="AH20" s="5">
        <f t="shared" si="14"/>
        <v>21695.2358</v>
      </c>
      <c r="AI20" s="5">
        <f t="shared" si="15"/>
        <v>21695.2358</v>
      </c>
      <c r="AJ20" s="36">
        <f t="shared" si="16"/>
        <v>9707.520622</v>
      </c>
      <c r="AL20" s="36"/>
      <c r="AM20" s="36">
        <f t="shared" si="17"/>
        <v>1295.86212</v>
      </c>
      <c r="AN20" s="5">
        <f t="shared" si="18"/>
        <v>1295.86212</v>
      </c>
      <c r="AO20" s="36">
        <f t="shared" si="19"/>
        <v>579.8327508</v>
      </c>
      <c r="AQ20" s="36"/>
      <c r="AR20" s="36">
        <f t="shared" si="20"/>
        <v>116.64912000000001</v>
      </c>
      <c r="AS20" s="5">
        <f t="shared" si="21"/>
        <v>116.64912000000001</v>
      </c>
      <c r="AT20" s="36">
        <f t="shared" si="22"/>
        <v>52.194580800000004</v>
      </c>
      <c r="AU20" s="5"/>
      <c r="AV20" s="36"/>
      <c r="AW20" s="36">
        <f t="shared" si="23"/>
        <v>23866.61872</v>
      </c>
      <c r="AX20" s="5">
        <f t="shared" si="24"/>
        <v>23866.61872</v>
      </c>
      <c r="AY20" s="36">
        <f t="shared" si="25"/>
        <v>10679.1046448</v>
      </c>
      <c r="AZ20" s="5"/>
      <c r="BA20" s="36"/>
      <c r="BB20" s="36">
        <f t="shared" si="26"/>
        <v>0.84812</v>
      </c>
      <c r="BC20" s="5">
        <f t="shared" si="27"/>
        <v>0.84812</v>
      </c>
      <c r="BD20" s="36">
        <f t="shared" si="28"/>
        <v>0.3794908</v>
      </c>
      <c r="BE20" s="5"/>
      <c r="BF20" s="36"/>
      <c r="BG20" s="36">
        <f t="shared" si="29"/>
        <v>30485.021</v>
      </c>
      <c r="BH20" s="5">
        <f t="shared" si="30"/>
        <v>30485.021</v>
      </c>
      <c r="BI20" s="36">
        <f t="shared" si="31"/>
        <v>13640.50489</v>
      </c>
      <c r="BJ20" s="5"/>
      <c r="BK20" s="36"/>
      <c r="BL20" s="36">
        <f t="shared" si="32"/>
        <v>71.9271</v>
      </c>
      <c r="BM20" s="5">
        <f t="shared" si="33"/>
        <v>71.9271</v>
      </c>
      <c r="BN20" s="36">
        <f t="shared" si="34"/>
        <v>32.183738999999996</v>
      </c>
      <c r="BO20" s="5"/>
      <c r="BP20" s="36"/>
      <c r="BQ20" s="36">
        <f t="shared" si="35"/>
        <v>12782.57106</v>
      </c>
      <c r="BR20" s="5">
        <f t="shared" si="36"/>
        <v>12782.57106</v>
      </c>
      <c r="BS20" s="36">
        <f t="shared" si="37"/>
        <v>5719.5539754</v>
      </c>
      <c r="BT20" s="5"/>
      <c r="BU20" s="5"/>
      <c r="BV20" s="5">
        <f t="shared" si="38"/>
        <v>64.52236</v>
      </c>
      <c r="BW20" s="5">
        <f t="shared" si="39"/>
        <v>64.52236</v>
      </c>
      <c r="BX20" s="36">
        <f t="shared" si="40"/>
        <v>28.8704924</v>
      </c>
      <c r="BY20" s="5"/>
      <c r="BZ20" s="36"/>
      <c r="CA20" s="36">
        <f t="shared" si="41"/>
        <v>2508.67372</v>
      </c>
      <c r="CB20" s="5">
        <f t="shared" si="42"/>
        <v>2508.67372</v>
      </c>
      <c r="CC20" s="36">
        <f t="shared" si="43"/>
        <v>1122.5045948</v>
      </c>
      <c r="CD20" s="5"/>
      <c r="CE20" s="36"/>
      <c r="CF20" s="36">
        <f t="shared" si="44"/>
        <v>1335.56066</v>
      </c>
      <c r="CG20" s="5">
        <f t="shared" si="45"/>
        <v>1335.56066</v>
      </c>
      <c r="CH20" s="36">
        <f t="shared" si="46"/>
        <v>597.5958394</v>
      </c>
      <c r="CI20" s="5"/>
      <c r="CJ20" s="5"/>
      <c r="CK20" s="36">
        <f t="shared" si="47"/>
        <v>4351.96468</v>
      </c>
      <c r="CL20" s="36">
        <f t="shared" si="48"/>
        <v>4351.96468</v>
      </c>
      <c r="CM20" s="36">
        <f t="shared" si="49"/>
        <v>1947.2840612</v>
      </c>
      <c r="CN20" s="5"/>
      <c r="CO20" s="5"/>
      <c r="CP20" s="36">
        <f t="shared" si="50"/>
        <v>38308.17774</v>
      </c>
      <c r="CQ20" s="36">
        <f t="shared" si="51"/>
        <v>38308.17774</v>
      </c>
      <c r="CR20" s="36">
        <f t="shared" si="52"/>
        <v>17140.971816600002</v>
      </c>
      <c r="CS20" s="5"/>
      <c r="CT20" s="36"/>
      <c r="CU20" s="36">
        <f t="shared" si="53"/>
        <v>79310.86534</v>
      </c>
      <c r="CV20" s="5">
        <f t="shared" si="54"/>
        <v>79310.86534</v>
      </c>
      <c r="CW20" s="36">
        <f t="shared" si="55"/>
        <v>35487.600500600005</v>
      </c>
      <c r="CX20" s="5"/>
      <c r="CY20" s="5"/>
      <c r="CZ20" s="5">
        <f t="shared" si="56"/>
        <v>3519.9915800000003</v>
      </c>
      <c r="DA20" s="5">
        <f t="shared" si="57"/>
        <v>3519.9915800000003</v>
      </c>
      <c r="DB20" s="36">
        <f t="shared" si="58"/>
        <v>1575.0181822000002</v>
      </c>
      <c r="DC20" s="5"/>
      <c r="DD20" s="36"/>
      <c r="DE20" s="36">
        <f t="shared" si="59"/>
        <v>3904.4509</v>
      </c>
      <c r="DF20" s="5">
        <f t="shared" si="60"/>
        <v>3904.4509</v>
      </c>
      <c r="DG20" s="36">
        <f t="shared" si="61"/>
        <v>1747.044281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.75">
      <c r="A21" s="37">
        <v>45748</v>
      </c>
      <c r="C21" s="3">
        <v>0</v>
      </c>
      <c r="D21" s="3">
        <v>326200</v>
      </c>
      <c r="E21" s="35">
        <f t="shared" si="0"/>
        <v>326200</v>
      </c>
      <c r="F21" s="35">
        <v>145958</v>
      </c>
      <c r="H21" s="36">
        <f>'Academic Project '!H21</f>
        <v>0</v>
      </c>
      <c r="I21" s="36">
        <f>'Academic Project '!I21</f>
        <v>49165.5164</v>
      </c>
      <c r="J21" s="36">
        <f t="shared" si="1"/>
        <v>49165.5164</v>
      </c>
      <c r="K21" s="36">
        <f>'Academic Project '!K21</f>
        <v>21999.081675999998</v>
      </c>
      <c r="M21" s="36">
        <f t="shared" si="62"/>
        <v>0</v>
      </c>
      <c r="N21" s="35">
        <f t="shared" si="2"/>
        <v>277034.4836</v>
      </c>
      <c r="O21" s="5">
        <f t="shared" si="3"/>
        <v>277034.4836</v>
      </c>
      <c r="P21" s="35">
        <f t="shared" si="4"/>
        <v>123958.91832399998</v>
      </c>
      <c r="R21" s="36">
        <f t="shared" si="63"/>
        <v>0</v>
      </c>
      <c r="S21" s="36">
        <f t="shared" si="5"/>
        <v>12503.27862</v>
      </c>
      <c r="T21" s="5">
        <f t="shared" si="6"/>
        <v>12503.27862</v>
      </c>
      <c r="U21" s="36">
        <f t="shared" si="7"/>
        <v>5594.5847358</v>
      </c>
      <c r="W21" s="5">
        <f t="shared" si="64"/>
        <v>0</v>
      </c>
      <c r="X21" s="36">
        <f t="shared" si="8"/>
        <v>22656.44934</v>
      </c>
      <c r="Y21" s="36">
        <f t="shared" si="9"/>
        <v>22656.44934</v>
      </c>
      <c r="Z21" s="36">
        <f t="shared" si="10"/>
        <v>10137.6150606</v>
      </c>
      <c r="AB21" s="5">
        <f t="shared" si="65"/>
        <v>0</v>
      </c>
      <c r="AC21" s="5">
        <f t="shared" si="11"/>
        <v>18255.815619999998</v>
      </c>
      <c r="AD21" s="5">
        <f t="shared" si="12"/>
        <v>18255.815619999998</v>
      </c>
      <c r="AE21" s="36">
        <f t="shared" si="13"/>
        <v>8168.554065799999</v>
      </c>
      <c r="AG21" s="5">
        <f t="shared" si="66"/>
        <v>0</v>
      </c>
      <c r="AH21" s="5">
        <f t="shared" si="14"/>
        <v>21695.2358</v>
      </c>
      <c r="AI21" s="5">
        <f t="shared" si="15"/>
        <v>21695.2358</v>
      </c>
      <c r="AJ21" s="36">
        <f t="shared" si="16"/>
        <v>9707.520622</v>
      </c>
      <c r="AL21" s="36">
        <f t="shared" si="67"/>
        <v>0</v>
      </c>
      <c r="AM21" s="36">
        <f t="shared" si="17"/>
        <v>1295.86212</v>
      </c>
      <c r="AN21" s="5">
        <f t="shared" si="18"/>
        <v>1295.86212</v>
      </c>
      <c r="AO21" s="36">
        <f t="shared" si="19"/>
        <v>579.8327508</v>
      </c>
      <c r="AQ21" s="36">
        <f t="shared" si="68"/>
        <v>0</v>
      </c>
      <c r="AR21" s="36">
        <f t="shared" si="20"/>
        <v>116.64912000000001</v>
      </c>
      <c r="AS21" s="5">
        <f t="shared" si="21"/>
        <v>116.64912000000001</v>
      </c>
      <c r="AT21" s="36">
        <f t="shared" si="22"/>
        <v>52.194580800000004</v>
      </c>
      <c r="AU21" s="5"/>
      <c r="AV21" s="36">
        <f t="shared" si="69"/>
        <v>0</v>
      </c>
      <c r="AW21" s="36">
        <f t="shared" si="23"/>
        <v>23866.61872</v>
      </c>
      <c r="AX21" s="5">
        <f t="shared" si="24"/>
        <v>23866.61872</v>
      </c>
      <c r="AY21" s="36">
        <f t="shared" si="25"/>
        <v>10679.1046448</v>
      </c>
      <c r="AZ21" s="5"/>
      <c r="BA21" s="36">
        <f t="shared" si="70"/>
        <v>0</v>
      </c>
      <c r="BB21" s="36">
        <f t="shared" si="26"/>
        <v>0.84812</v>
      </c>
      <c r="BC21" s="5">
        <f t="shared" si="27"/>
        <v>0.84812</v>
      </c>
      <c r="BD21" s="36">
        <f t="shared" si="28"/>
        <v>0.3794908</v>
      </c>
      <c r="BE21" s="5"/>
      <c r="BF21" s="36">
        <f t="shared" si="71"/>
        <v>0</v>
      </c>
      <c r="BG21" s="36">
        <f t="shared" si="29"/>
        <v>30485.021</v>
      </c>
      <c r="BH21" s="5">
        <f t="shared" si="30"/>
        <v>30485.021</v>
      </c>
      <c r="BI21" s="36">
        <f t="shared" si="31"/>
        <v>13640.50489</v>
      </c>
      <c r="BJ21" s="5"/>
      <c r="BK21" s="36">
        <f t="shared" si="72"/>
        <v>0</v>
      </c>
      <c r="BL21" s="36">
        <f t="shared" si="32"/>
        <v>71.9271</v>
      </c>
      <c r="BM21" s="5">
        <f t="shared" si="33"/>
        <v>71.9271</v>
      </c>
      <c r="BN21" s="36">
        <f t="shared" si="34"/>
        <v>32.183738999999996</v>
      </c>
      <c r="BO21" s="5"/>
      <c r="BP21" s="36">
        <f t="shared" si="73"/>
        <v>0</v>
      </c>
      <c r="BQ21" s="36">
        <f t="shared" si="35"/>
        <v>12782.57106</v>
      </c>
      <c r="BR21" s="5">
        <f t="shared" si="36"/>
        <v>12782.57106</v>
      </c>
      <c r="BS21" s="36">
        <f t="shared" si="37"/>
        <v>5719.5539754</v>
      </c>
      <c r="BT21" s="5"/>
      <c r="BU21" s="5">
        <f t="shared" si="74"/>
        <v>0</v>
      </c>
      <c r="BV21" s="5">
        <f t="shared" si="38"/>
        <v>64.52236</v>
      </c>
      <c r="BW21" s="5">
        <f t="shared" si="39"/>
        <v>64.52236</v>
      </c>
      <c r="BX21" s="36">
        <f t="shared" si="40"/>
        <v>28.8704924</v>
      </c>
      <c r="BY21" s="5"/>
      <c r="BZ21" s="36">
        <f t="shared" si="75"/>
        <v>0</v>
      </c>
      <c r="CA21" s="36">
        <f t="shared" si="41"/>
        <v>2508.67372</v>
      </c>
      <c r="CB21" s="5">
        <f t="shared" si="42"/>
        <v>2508.67372</v>
      </c>
      <c r="CC21" s="36">
        <f t="shared" si="43"/>
        <v>1122.5045948</v>
      </c>
      <c r="CD21" s="5"/>
      <c r="CE21" s="36">
        <f t="shared" si="76"/>
        <v>0</v>
      </c>
      <c r="CF21" s="36">
        <f t="shared" si="44"/>
        <v>1335.56066</v>
      </c>
      <c r="CG21" s="5">
        <f t="shared" si="45"/>
        <v>1335.56066</v>
      </c>
      <c r="CH21" s="36">
        <f t="shared" si="46"/>
        <v>597.5958394</v>
      </c>
      <c r="CI21" s="5"/>
      <c r="CJ21" s="5">
        <f t="shared" si="77"/>
        <v>0</v>
      </c>
      <c r="CK21" s="36">
        <f t="shared" si="47"/>
        <v>4351.96468</v>
      </c>
      <c r="CL21" s="36">
        <f t="shared" si="48"/>
        <v>4351.96468</v>
      </c>
      <c r="CM21" s="36">
        <f t="shared" si="49"/>
        <v>1947.2840612</v>
      </c>
      <c r="CN21" s="5"/>
      <c r="CO21" s="5">
        <f t="shared" si="78"/>
        <v>0</v>
      </c>
      <c r="CP21" s="36">
        <f t="shared" si="50"/>
        <v>38308.17774</v>
      </c>
      <c r="CQ21" s="36">
        <f t="shared" si="51"/>
        <v>38308.17774</v>
      </c>
      <c r="CR21" s="36">
        <f t="shared" si="52"/>
        <v>17140.971816600002</v>
      </c>
      <c r="CS21" s="5"/>
      <c r="CT21" s="36">
        <f t="shared" si="79"/>
        <v>0</v>
      </c>
      <c r="CU21" s="36">
        <f t="shared" si="53"/>
        <v>79310.86534</v>
      </c>
      <c r="CV21" s="5">
        <f t="shared" si="54"/>
        <v>79310.86534</v>
      </c>
      <c r="CW21" s="36">
        <f t="shared" si="55"/>
        <v>35487.600500600005</v>
      </c>
      <c r="CX21" s="5"/>
      <c r="CY21" s="5">
        <f t="shared" si="80"/>
        <v>0</v>
      </c>
      <c r="CZ21" s="5">
        <f t="shared" si="56"/>
        <v>3519.9915800000003</v>
      </c>
      <c r="DA21" s="5">
        <f t="shared" si="57"/>
        <v>3519.9915800000003</v>
      </c>
      <c r="DB21" s="36">
        <f t="shared" si="58"/>
        <v>1575.0181822000002</v>
      </c>
      <c r="DC21" s="5"/>
      <c r="DD21" s="36">
        <f t="shared" si="81"/>
        <v>0</v>
      </c>
      <c r="DE21" s="36">
        <f t="shared" si="59"/>
        <v>3904.4509</v>
      </c>
      <c r="DF21" s="5">
        <f t="shared" si="60"/>
        <v>3904.4509</v>
      </c>
      <c r="DG21" s="36">
        <f t="shared" si="61"/>
        <v>1747.044281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.75">
      <c r="A22" s="37">
        <v>45931</v>
      </c>
      <c r="D22" s="3">
        <v>326200</v>
      </c>
      <c r="E22" s="35">
        <f t="shared" si="0"/>
        <v>326200</v>
      </c>
      <c r="F22" s="35">
        <v>145958</v>
      </c>
      <c r="H22" s="36"/>
      <c r="I22" s="36">
        <f>'Academic Project '!I22</f>
        <v>49165.5164</v>
      </c>
      <c r="J22" s="36">
        <f t="shared" si="1"/>
        <v>49165.5164</v>
      </c>
      <c r="K22" s="36">
        <f>'Academic Project '!K22</f>
        <v>21999.081675999998</v>
      </c>
      <c r="M22" s="36"/>
      <c r="N22" s="35">
        <f t="shared" si="2"/>
        <v>277034.4836</v>
      </c>
      <c r="O22" s="5">
        <f t="shared" si="3"/>
        <v>277034.4836</v>
      </c>
      <c r="P22" s="35">
        <f t="shared" si="4"/>
        <v>123958.91832399998</v>
      </c>
      <c r="R22" s="36"/>
      <c r="S22" s="36">
        <f t="shared" si="5"/>
        <v>12503.27862</v>
      </c>
      <c r="T22" s="5">
        <f t="shared" si="6"/>
        <v>12503.27862</v>
      </c>
      <c r="U22" s="36">
        <f t="shared" si="7"/>
        <v>5594.5847358</v>
      </c>
      <c r="X22" s="36">
        <f t="shared" si="8"/>
        <v>22656.44934</v>
      </c>
      <c r="Y22" s="36">
        <f t="shared" si="9"/>
        <v>22656.44934</v>
      </c>
      <c r="Z22" s="36">
        <f t="shared" si="10"/>
        <v>10137.6150606</v>
      </c>
      <c r="AC22" s="5">
        <f t="shared" si="11"/>
        <v>18255.815619999998</v>
      </c>
      <c r="AD22" s="5">
        <f t="shared" si="12"/>
        <v>18255.815619999998</v>
      </c>
      <c r="AE22" s="36">
        <f t="shared" si="13"/>
        <v>8168.554065799999</v>
      </c>
      <c r="AH22" s="5">
        <f t="shared" si="14"/>
        <v>21695.2358</v>
      </c>
      <c r="AI22" s="5">
        <f t="shared" si="15"/>
        <v>21695.2358</v>
      </c>
      <c r="AJ22" s="36">
        <f t="shared" si="16"/>
        <v>9707.520622</v>
      </c>
      <c r="AL22" s="36"/>
      <c r="AM22" s="36">
        <f t="shared" si="17"/>
        <v>1295.86212</v>
      </c>
      <c r="AN22" s="5">
        <f t="shared" si="18"/>
        <v>1295.86212</v>
      </c>
      <c r="AO22" s="36">
        <f t="shared" si="19"/>
        <v>579.8327508</v>
      </c>
      <c r="AQ22" s="36"/>
      <c r="AR22" s="36">
        <f t="shared" si="20"/>
        <v>116.64912000000001</v>
      </c>
      <c r="AS22" s="5">
        <f t="shared" si="21"/>
        <v>116.64912000000001</v>
      </c>
      <c r="AT22" s="36">
        <f t="shared" si="22"/>
        <v>52.194580800000004</v>
      </c>
      <c r="AU22" s="5"/>
      <c r="AV22" s="36"/>
      <c r="AW22" s="36">
        <f t="shared" si="23"/>
        <v>23866.61872</v>
      </c>
      <c r="AX22" s="5">
        <f t="shared" si="24"/>
        <v>23866.61872</v>
      </c>
      <c r="AY22" s="36">
        <f t="shared" si="25"/>
        <v>10679.1046448</v>
      </c>
      <c r="AZ22" s="5"/>
      <c r="BA22" s="36"/>
      <c r="BB22" s="36">
        <f t="shared" si="26"/>
        <v>0.84812</v>
      </c>
      <c r="BC22" s="5">
        <f t="shared" si="27"/>
        <v>0.84812</v>
      </c>
      <c r="BD22" s="36">
        <f t="shared" si="28"/>
        <v>0.3794908</v>
      </c>
      <c r="BE22" s="5"/>
      <c r="BF22" s="36"/>
      <c r="BG22" s="36">
        <f t="shared" si="29"/>
        <v>30485.021</v>
      </c>
      <c r="BH22" s="5">
        <f t="shared" si="30"/>
        <v>30485.021</v>
      </c>
      <c r="BI22" s="36">
        <f t="shared" si="31"/>
        <v>13640.50489</v>
      </c>
      <c r="BJ22" s="5"/>
      <c r="BK22" s="36"/>
      <c r="BL22" s="36">
        <f t="shared" si="32"/>
        <v>71.9271</v>
      </c>
      <c r="BM22" s="5">
        <f t="shared" si="33"/>
        <v>71.9271</v>
      </c>
      <c r="BN22" s="36">
        <f t="shared" si="34"/>
        <v>32.183738999999996</v>
      </c>
      <c r="BO22" s="5"/>
      <c r="BP22" s="36"/>
      <c r="BQ22" s="36">
        <f t="shared" si="35"/>
        <v>12782.57106</v>
      </c>
      <c r="BR22" s="5">
        <f t="shared" si="36"/>
        <v>12782.57106</v>
      </c>
      <c r="BS22" s="36">
        <f t="shared" si="37"/>
        <v>5719.5539754</v>
      </c>
      <c r="BT22" s="5"/>
      <c r="BU22" s="5"/>
      <c r="BV22" s="5">
        <f t="shared" si="38"/>
        <v>64.52236</v>
      </c>
      <c r="BW22" s="5">
        <f t="shared" si="39"/>
        <v>64.52236</v>
      </c>
      <c r="BX22" s="36">
        <f t="shared" si="40"/>
        <v>28.8704924</v>
      </c>
      <c r="BY22" s="5"/>
      <c r="BZ22" s="36"/>
      <c r="CA22" s="36">
        <f t="shared" si="41"/>
        <v>2508.67372</v>
      </c>
      <c r="CB22" s="5">
        <f t="shared" si="42"/>
        <v>2508.67372</v>
      </c>
      <c r="CC22" s="36">
        <f t="shared" si="43"/>
        <v>1122.5045948</v>
      </c>
      <c r="CD22" s="5"/>
      <c r="CE22" s="36"/>
      <c r="CF22" s="36">
        <f t="shared" si="44"/>
        <v>1335.56066</v>
      </c>
      <c r="CG22" s="5">
        <f t="shared" si="45"/>
        <v>1335.56066</v>
      </c>
      <c r="CH22" s="36">
        <f t="shared" si="46"/>
        <v>597.5958394</v>
      </c>
      <c r="CI22" s="5"/>
      <c r="CJ22" s="5"/>
      <c r="CK22" s="36">
        <f t="shared" si="47"/>
        <v>4351.96468</v>
      </c>
      <c r="CL22" s="36">
        <f t="shared" si="48"/>
        <v>4351.96468</v>
      </c>
      <c r="CM22" s="36">
        <f t="shared" si="49"/>
        <v>1947.2840612</v>
      </c>
      <c r="CN22" s="5"/>
      <c r="CO22" s="5"/>
      <c r="CP22" s="36">
        <f t="shared" si="50"/>
        <v>38308.17774</v>
      </c>
      <c r="CQ22" s="36">
        <f t="shared" si="51"/>
        <v>38308.17774</v>
      </c>
      <c r="CR22" s="36">
        <f t="shared" si="52"/>
        <v>17140.971816600002</v>
      </c>
      <c r="CS22" s="5"/>
      <c r="CT22" s="36"/>
      <c r="CU22" s="36">
        <f t="shared" si="53"/>
        <v>79310.86534</v>
      </c>
      <c r="CV22" s="5">
        <f t="shared" si="54"/>
        <v>79310.86534</v>
      </c>
      <c r="CW22" s="36">
        <f t="shared" si="55"/>
        <v>35487.600500600005</v>
      </c>
      <c r="CX22" s="5"/>
      <c r="CY22" s="5"/>
      <c r="CZ22" s="5">
        <f t="shared" si="56"/>
        <v>3519.9915800000003</v>
      </c>
      <c r="DA22" s="5">
        <f t="shared" si="57"/>
        <v>3519.9915800000003</v>
      </c>
      <c r="DB22" s="36">
        <f t="shared" si="58"/>
        <v>1575.0181822000002</v>
      </c>
      <c r="DC22" s="5"/>
      <c r="DD22" s="36"/>
      <c r="DE22" s="36">
        <f t="shared" si="59"/>
        <v>3904.4509</v>
      </c>
      <c r="DF22" s="5">
        <f t="shared" si="60"/>
        <v>3904.4509</v>
      </c>
      <c r="DG22" s="36">
        <f t="shared" si="61"/>
        <v>1747.044281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.75">
      <c r="A23" s="37">
        <v>46113</v>
      </c>
      <c r="C23" s="3">
        <v>0</v>
      </c>
      <c r="D23" s="3">
        <v>326200</v>
      </c>
      <c r="E23" s="35">
        <f t="shared" si="0"/>
        <v>326200</v>
      </c>
      <c r="F23" s="35">
        <v>145958</v>
      </c>
      <c r="H23" s="36">
        <f>'Academic Project '!H23</f>
        <v>0</v>
      </c>
      <c r="I23" s="36">
        <f>'Academic Project '!I23</f>
        <v>49165.5164</v>
      </c>
      <c r="J23" s="36">
        <f t="shared" si="1"/>
        <v>49165.5164</v>
      </c>
      <c r="K23" s="36">
        <f>'Academic Project '!K23</f>
        <v>21999.081675999998</v>
      </c>
      <c r="M23" s="36">
        <f t="shared" si="62"/>
        <v>0</v>
      </c>
      <c r="N23" s="35">
        <f t="shared" si="2"/>
        <v>277034.4836</v>
      </c>
      <c r="O23" s="5">
        <f t="shared" si="3"/>
        <v>277034.4836</v>
      </c>
      <c r="P23" s="35">
        <f t="shared" si="4"/>
        <v>123958.91832399998</v>
      </c>
      <c r="R23" s="36">
        <f t="shared" si="63"/>
        <v>0</v>
      </c>
      <c r="S23" s="36">
        <f t="shared" si="5"/>
        <v>12503.27862</v>
      </c>
      <c r="T23" s="5">
        <f t="shared" si="6"/>
        <v>12503.27862</v>
      </c>
      <c r="U23" s="36">
        <f t="shared" si="7"/>
        <v>5594.5847358</v>
      </c>
      <c r="W23" s="5">
        <f t="shared" si="64"/>
        <v>0</v>
      </c>
      <c r="X23" s="36">
        <f t="shared" si="8"/>
        <v>22656.44934</v>
      </c>
      <c r="Y23" s="36">
        <f t="shared" si="9"/>
        <v>22656.44934</v>
      </c>
      <c r="Z23" s="36">
        <f t="shared" si="10"/>
        <v>10137.6150606</v>
      </c>
      <c r="AB23" s="5">
        <f t="shared" si="65"/>
        <v>0</v>
      </c>
      <c r="AC23" s="5">
        <f t="shared" si="11"/>
        <v>18255.815619999998</v>
      </c>
      <c r="AD23" s="5">
        <f t="shared" si="12"/>
        <v>18255.815619999998</v>
      </c>
      <c r="AE23" s="36">
        <f t="shared" si="13"/>
        <v>8168.554065799999</v>
      </c>
      <c r="AG23" s="5">
        <f t="shared" si="66"/>
        <v>0</v>
      </c>
      <c r="AH23" s="5">
        <f t="shared" si="14"/>
        <v>21695.2358</v>
      </c>
      <c r="AI23" s="5">
        <f t="shared" si="15"/>
        <v>21695.2358</v>
      </c>
      <c r="AJ23" s="36">
        <f t="shared" si="16"/>
        <v>9707.520622</v>
      </c>
      <c r="AL23" s="36">
        <f t="shared" si="67"/>
        <v>0</v>
      </c>
      <c r="AM23" s="36">
        <f t="shared" si="17"/>
        <v>1295.86212</v>
      </c>
      <c r="AN23" s="5">
        <f t="shared" si="18"/>
        <v>1295.86212</v>
      </c>
      <c r="AO23" s="36">
        <f t="shared" si="19"/>
        <v>579.8327508</v>
      </c>
      <c r="AQ23" s="36">
        <f t="shared" si="68"/>
        <v>0</v>
      </c>
      <c r="AR23" s="36">
        <f t="shared" si="20"/>
        <v>116.64912000000001</v>
      </c>
      <c r="AS23" s="5">
        <f t="shared" si="21"/>
        <v>116.64912000000001</v>
      </c>
      <c r="AT23" s="36">
        <f t="shared" si="22"/>
        <v>52.194580800000004</v>
      </c>
      <c r="AU23" s="5"/>
      <c r="AV23" s="36">
        <f t="shared" si="69"/>
        <v>0</v>
      </c>
      <c r="AW23" s="36">
        <f t="shared" si="23"/>
        <v>23866.61872</v>
      </c>
      <c r="AX23" s="5">
        <f t="shared" si="24"/>
        <v>23866.61872</v>
      </c>
      <c r="AY23" s="36">
        <f t="shared" si="25"/>
        <v>10679.1046448</v>
      </c>
      <c r="AZ23" s="5"/>
      <c r="BA23" s="36">
        <f t="shared" si="70"/>
        <v>0</v>
      </c>
      <c r="BB23" s="36">
        <f t="shared" si="26"/>
        <v>0.84812</v>
      </c>
      <c r="BC23" s="5">
        <f t="shared" si="27"/>
        <v>0.84812</v>
      </c>
      <c r="BD23" s="36">
        <f t="shared" si="28"/>
        <v>0.3794908</v>
      </c>
      <c r="BE23" s="5"/>
      <c r="BF23" s="36">
        <f t="shared" si="71"/>
        <v>0</v>
      </c>
      <c r="BG23" s="36">
        <f t="shared" si="29"/>
        <v>30485.021</v>
      </c>
      <c r="BH23" s="5">
        <f t="shared" si="30"/>
        <v>30485.021</v>
      </c>
      <c r="BI23" s="36">
        <f t="shared" si="31"/>
        <v>13640.50489</v>
      </c>
      <c r="BJ23" s="5"/>
      <c r="BK23" s="36">
        <f t="shared" si="72"/>
        <v>0</v>
      </c>
      <c r="BL23" s="36">
        <f t="shared" si="32"/>
        <v>71.9271</v>
      </c>
      <c r="BM23" s="5">
        <f t="shared" si="33"/>
        <v>71.9271</v>
      </c>
      <c r="BN23" s="36">
        <f t="shared" si="34"/>
        <v>32.183738999999996</v>
      </c>
      <c r="BO23" s="5"/>
      <c r="BP23" s="36">
        <f t="shared" si="73"/>
        <v>0</v>
      </c>
      <c r="BQ23" s="36">
        <f t="shared" si="35"/>
        <v>12782.57106</v>
      </c>
      <c r="BR23" s="5">
        <f t="shared" si="36"/>
        <v>12782.57106</v>
      </c>
      <c r="BS23" s="36">
        <f t="shared" si="37"/>
        <v>5719.5539754</v>
      </c>
      <c r="BT23" s="5"/>
      <c r="BU23" s="5">
        <f t="shared" si="74"/>
        <v>0</v>
      </c>
      <c r="BV23" s="5">
        <f t="shared" si="38"/>
        <v>64.52236</v>
      </c>
      <c r="BW23" s="5">
        <f t="shared" si="39"/>
        <v>64.52236</v>
      </c>
      <c r="BX23" s="36">
        <f t="shared" si="40"/>
        <v>28.8704924</v>
      </c>
      <c r="BY23" s="5"/>
      <c r="BZ23" s="36">
        <f t="shared" si="75"/>
        <v>0</v>
      </c>
      <c r="CA23" s="36">
        <f t="shared" si="41"/>
        <v>2508.67372</v>
      </c>
      <c r="CB23" s="5">
        <f t="shared" si="42"/>
        <v>2508.67372</v>
      </c>
      <c r="CC23" s="36">
        <f t="shared" si="43"/>
        <v>1122.5045948</v>
      </c>
      <c r="CD23" s="5"/>
      <c r="CE23" s="36">
        <f t="shared" si="76"/>
        <v>0</v>
      </c>
      <c r="CF23" s="36">
        <f t="shared" si="44"/>
        <v>1335.56066</v>
      </c>
      <c r="CG23" s="5">
        <f t="shared" si="45"/>
        <v>1335.56066</v>
      </c>
      <c r="CH23" s="36">
        <f t="shared" si="46"/>
        <v>597.5958394</v>
      </c>
      <c r="CI23" s="5"/>
      <c r="CJ23" s="5">
        <f t="shared" si="77"/>
        <v>0</v>
      </c>
      <c r="CK23" s="36">
        <f t="shared" si="47"/>
        <v>4351.96468</v>
      </c>
      <c r="CL23" s="36">
        <f t="shared" si="48"/>
        <v>4351.96468</v>
      </c>
      <c r="CM23" s="36">
        <f t="shared" si="49"/>
        <v>1947.2840612</v>
      </c>
      <c r="CN23" s="5"/>
      <c r="CO23" s="5">
        <f t="shared" si="78"/>
        <v>0</v>
      </c>
      <c r="CP23" s="36">
        <f t="shared" si="50"/>
        <v>38308.17774</v>
      </c>
      <c r="CQ23" s="36">
        <f t="shared" si="51"/>
        <v>38308.17774</v>
      </c>
      <c r="CR23" s="36">
        <f t="shared" si="52"/>
        <v>17140.971816600002</v>
      </c>
      <c r="CS23" s="5"/>
      <c r="CT23" s="36">
        <f t="shared" si="79"/>
        <v>0</v>
      </c>
      <c r="CU23" s="36">
        <f t="shared" si="53"/>
        <v>79310.86534</v>
      </c>
      <c r="CV23" s="5">
        <f t="shared" si="54"/>
        <v>79310.86534</v>
      </c>
      <c r="CW23" s="36">
        <f t="shared" si="55"/>
        <v>35487.600500600005</v>
      </c>
      <c r="CX23" s="5"/>
      <c r="CY23" s="5">
        <f t="shared" si="80"/>
        <v>0</v>
      </c>
      <c r="CZ23" s="5">
        <f t="shared" si="56"/>
        <v>3519.9915800000003</v>
      </c>
      <c r="DA23" s="5">
        <f t="shared" si="57"/>
        <v>3519.9915800000003</v>
      </c>
      <c r="DB23" s="36">
        <f t="shared" si="58"/>
        <v>1575.0181822000002</v>
      </c>
      <c r="DC23" s="5"/>
      <c r="DD23" s="36">
        <f t="shared" si="81"/>
        <v>0</v>
      </c>
      <c r="DE23" s="36">
        <f t="shared" si="59"/>
        <v>3904.4509</v>
      </c>
      <c r="DF23" s="5">
        <f t="shared" si="60"/>
        <v>3904.4509</v>
      </c>
      <c r="DG23" s="36">
        <f t="shared" si="61"/>
        <v>1747.044281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.75">
      <c r="A24" s="37">
        <v>46296</v>
      </c>
      <c r="D24" s="3">
        <v>326200</v>
      </c>
      <c r="E24" s="35">
        <f t="shared" si="0"/>
        <v>326200</v>
      </c>
      <c r="F24" s="35">
        <v>145958</v>
      </c>
      <c r="H24" s="36"/>
      <c r="I24" s="36">
        <f>'Academic Project '!I24</f>
        <v>49165.5164</v>
      </c>
      <c r="J24" s="36">
        <f t="shared" si="1"/>
        <v>49165.5164</v>
      </c>
      <c r="K24" s="36">
        <f>'Academic Project '!K24</f>
        <v>21999.081675999998</v>
      </c>
      <c r="M24" s="36"/>
      <c r="N24" s="35">
        <f t="shared" si="2"/>
        <v>277034.4836</v>
      </c>
      <c r="O24" s="5">
        <f t="shared" si="3"/>
        <v>277034.4836</v>
      </c>
      <c r="P24" s="35">
        <f t="shared" si="4"/>
        <v>123958.91832399998</v>
      </c>
      <c r="R24" s="36"/>
      <c r="S24" s="36">
        <f t="shared" si="5"/>
        <v>12503.27862</v>
      </c>
      <c r="T24" s="5">
        <f t="shared" si="6"/>
        <v>12503.27862</v>
      </c>
      <c r="U24" s="36">
        <f t="shared" si="7"/>
        <v>5594.5847358</v>
      </c>
      <c r="X24" s="36">
        <f t="shared" si="8"/>
        <v>22656.44934</v>
      </c>
      <c r="Y24" s="36">
        <f t="shared" si="9"/>
        <v>22656.44934</v>
      </c>
      <c r="Z24" s="36">
        <f t="shared" si="10"/>
        <v>10137.6150606</v>
      </c>
      <c r="AC24" s="5">
        <f t="shared" si="11"/>
        <v>18255.815619999998</v>
      </c>
      <c r="AD24" s="5">
        <f t="shared" si="12"/>
        <v>18255.815619999998</v>
      </c>
      <c r="AE24" s="36">
        <f t="shared" si="13"/>
        <v>8168.554065799999</v>
      </c>
      <c r="AH24" s="5">
        <f t="shared" si="14"/>
        <v>21695.2358</v>
      </c>
      <c r="AI24" s="5">
        <f t="shared" si="15"/>
        <v>21695.2358</v>
      </c>
      <c r="AJ24" s="36">
        <f t="shared" si="16"/>
        <v>9707.520622</v>
      </c>
      <c r="AL24" s="36"/>
      <c r="AM24" s="36">
        <f t="shared" si="17"/>
        <v>1295.86212</v>
      </c>
      <c r="AN24" s="5">
        <f t="shared" si="18"/>
        <v>1295.86212</v>
      </c>
      <c r="AO24" s="36">
        <f t="shared" si="19"/>
        <v>579.8327508</v>
      </c>
      <c r="AQ24" s="36"/>
      <c r="AR24" s="36">
        <f t="shared" si="20"/>
        <v>116.64912000000001</v>
      </c>
      <c r="AS24" s="5">
        <f t="shared" si="21"/>
        <v>116.64912000000001</v>
      </c>
      <c r="AT24" s="36">
        <f t="shared" si="22"/>
        <v>52.194580800000004</v>
      </c>
      <c r="AU24" s="5"/>
      <c r="AV24" s="36"/>
      <c r="AW24" s="36">
        <f t="shared" si="23"/>
        <v>23866.61872</v>
      </c>
      <c r="AX24" s="5">
        <f t="shared" si="24"/>
        <v>23866.61872</v>
      </c>
      <c r="AY24" s="36">
        <f t="shared" si="25"/>
        <v>10679.1046448</v>
      </c>
      <c r="AZ24" s="5"/>
      <c r="BA24" s="36"/>
      <c r="BB24" s="36">
        <f t="shared" si="26"/>
        <v>0.84812</v>
      </c>
      <c r="BC24" s="5">
        <f t="shared" si="27"/>
        <v>0.84812</v>
      </c>
      <c r="BD24" s="36">
        <f t="shared" si="28"/>
        <v>0.3794908</v>
      </c>
      <c r="BE24" s="5"/>
      <c r="BF24" s="36"/>
      <c r="BG24" s="36">
        <f t="shared" si="29"/>
        <v>30485.021</v>
      </c>
      <c r="BH24" s="5">
        <f t="shared" si="30"/>
        <v>30485.021</v>
      </c>
      <c r="BI24" s="36">
        <f t="shared" si="31"/>
        <v>13640.50489</v>
      </c>
      <c r="BJ24" s="5"/>
      <c r="BK24" s="36"/>
      <c r="BL24" s="36">
        <f t="shared" si="32"/>
        <v>71.9271</v>
      </c>
      <c r="BM24" s="5">
        <f t="shared" si="33"/>
        <v>71.9271</v>
      </c>
      <c r="BN24" s="36">
        <f t="shared" si="34"/>
        <v>32.183738999999996</v>
      </c>
      <c r="BO24" s="5"/>
      <c r="BP24" s="36"/>
      <c r="BQ24" s="36">
        <f t="shared" si="35"/>
        <v>12782.57106</v>
      </c>
      <c r="BR24" s="5">
        <f t="shared" si="36"/>
        <v>12782.57106</v>
      </c>
      <c r="BS24" s="36">
        <f t="shared" si="37"/>
        <v>5719.5539754</v>
      </c>
      <c r="BT24" s="5"/>
      <c r="BU24" s="5"/>
      <c r="BV24" s="5">
        <f t="shared" si="38"/>
        <v>64.52236</v>
      </c>
      <c r="BW24" s="5">
        <f t="shared" si="39"/>
        <v>64.52236</v>
      </c>
      <c r="BX24" s="36">
        <f t="shared" si="40"/>
        <v>28.8704924</v>
      </c>
      <c r="BY24" s="5"/>
      <c r="BZ24" s="36"/>
      <c r="CA24" s="36">
        <f t="shared" si="41"/>
        <v>2508.67372</v>
      </c>
      <c r="CB24" s="5">
        <f t="shared" si="42"/>
        <v>2508.67372</v>
      </c>
      <c r="CC24" s="36">
        <f t="shared" si="43"/>
        <v>1122.5045948</v>
      </c>
      <c r="CD24" s="5"/>
      <c r="CE24" s="36"/>
      <c r="CF24" s="36">
        <f t="shared" si="44"/>
        <v>1335.56066</v>
      </c>
      <c r="CG24" s="5">
        <f t="shared" si="45"/>
        <v>1335.56066</v>
      </c>
      <c r="CH24" s="36">
        <f t="shared" si="46"/>
        <v>597.5958394</v>
      </c>
      <c r="CI24" s="5"/>
      <c r="CJ24" s="5"/>
      <c r="CK24" s="36">
        <f t="shared" si="47"/>
        <v>4351.96468</v>
      </c>
      <c r="CL24" s="36">
        <f t="shared" si="48"/>
        <v>4351.96468</v>
      </c>
      <c r="CM24" s="36">
        <f t="shared" si="49"/>
        <v>1947.2840612</v>
      </c>
      <c r="CN24" s="5"/>
      <c r="CO24" s="5"/>
      <c r="CP24" s="36">
        <f t="shared" si="50"/>
        <v>38308.17774</v>
      </c>
      <c r="CQ24" s="36">
        <f t="shared" si="51"/>
        <v>38308.17774</v>
      </c>
      <c r="CR24" s="36">
        <f t="shared" si="52"/>
        <v>17140.971816600002</v>
      </c>
      <c r="CS24" s="5"/>
      <c r="CT24" s="36"/>
      <c r="CU24" s="36">
        <f t="shared" si="53"/>
        <v>79310.86534</v>
      </c>
      <c r="CV24" s="5">
        <f t="shared" si="54"/>
        <v>79310.86534</v>
      </c>
      <c r="CW24" s="36">
        <f t="shared" si="55"/>
        <v>35487.600500600005</v>
      </c>
      <c r="CX24" s="5"/>
      <c r="CY24" s="5"/>
      <c r="CZ24" s="5">
        <f t="shared" si="56"/>
        <v>3519.9915800000003</v>
      </c>
      <c r="DA24" s="5">
        <f t="shared" si="57"/>
        <v>3519.9915800000003</v>
      </c>
      <c r="DB24" s="36">
        <f t="shared" si="58"/>
        <v>1575.0181822000002</v>
      </c>
      <c r="DC24" s="5"/>
      <c r="DD24" s="36"/>
      <c r="DE24" s="36">
        <f t="shared" si="59"/>
        <v>3904.4509</v>
      </c>
      <c r="DF24" s="5">
        <f t="shared" si="60"/>
        <v>3904.4509</v>
      </c>
      <c r="DG24" s="36">
        <f t="shared" si="61"/>
        <v>1747.044281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.75">
      <c r="A25" s="37">
        <v>46478</v>
      </c>
      <c r="C25" s="3">
        <v>0</v>
      </c>
      <c r="D25" s="3">
        <v>326200</v>
      </c>
      <c r="E25" s="35">
        <f t="shared" si="0"/>
        <v>326200</v>
      </c>
      <c r="F25" s="35">
        <v>145958</v>
      </c>
      <c r="H25" s="36">
        <f>'Academic Project '!H25</f>
        <v>0</v>
      </c>
      <c r="I25" s="36">
        <f>'Academic Project '!I25</f>
        <v>49165.5164</v>
      </c>
      <c r="J25" s="36">
        <f t="shared" si="1"/>
        <v>49165.5164</v>
      </c>
      <c r="K25" s="36">
        <f>'Academic Project '!K25</f>
        <v>21999.081675999998</v>
      </c>
      <c r="M25" s="36">
        <f t="shared" si="62"/>
        <v>0</v>
      </c>
      <c r="N25" s="35">
        <f t="shared" si="2"/>
        <v>277034.4836</v>
      </c>
      <c r="O25" s="5">
        <f t="shared" si="3"/>
        <v>277034.4836</v>
      </c>
      <c r="P25" s="35">
        <f t="shared" si="4"/>
        <v>123958.91832399998</v>
      </c>
      <c r="R25" s="36">
        <f t="shared" si="63"/>
        <v>0</v>
      </c>
      <c r="S25" s="36">
        <f t="shared" si="5"/>
        <v>12503.27862</v>
      </c>
      <c r="T25" s="5">
        <f t="shared" si="6"/>
        <v>12503.27862</v>
      </c>
      <c r="U25" s="36">
        <f t="shared" si="7"/>
        <v>5594.5847358</v>
      </c>
      <c r="W25" s="5">
        <f t="shared" si="64"/>
        <v>0</v>
      </c>
      <c r="X25" s="36">
        <f t="shared" si="8"/>
        <v>22656.44934</v>
      </c>
      <c r="Y25" s="36">
        <f t="shared" si="9"/>
        <v>22656.44934</v>
      </c>
      <c r="Z25" s="36">
        <f t="shared" si="10"/>
        <v>10137.6150606</v>
      </c>
      <c r="AB25" s="5">
        <f t="shared" si="65"/>
        <v>0</v>
      </c>
      <c r="AC25" s="5">
        <f t="shared" si="11"/>
        <v>18255.815619999998</v>
      </c>
      <c r="AD25" s="5">
        <f t="shared" si="12"/>
        <v>18255.815619999998</v>
      </c>
      <c r="AE25" s="36">
        <f t="shared" si="13"/>
        <v>8168.554065799999</v>
      </c>
      <c r="AG25" s="5">
        <f t="shared" si="66"/>
        <v>0</v>
      </c>
      <c r="AH25" s="5">
        <f t="shared" si="14"/>
        <v>21695.2358</v>
      </c>
      <c r="AI25" s="5">
        <f t="shared" si="15"/>
        <v>21695.2358</v>
      </c>
      <c r="AJ25" s="36">
        <f t="shared" si="16"/>
        <v>9707.520622</v>
      </c>
      <c r="AL25" s="36">
        <f t="shared" si="67"/>
        <v>0</v>
      </c>
      <c r="AM25" s="36">
        <f t="shared" si="17"/>
        <v>1295.86212</v>
      </c>
      <c r="AN25" s="5">
        <f t="shared" si="18"/>
        <v>1295.86212</v>
      </c>
      <c r="AO25" s="36">
        <f t="shared" si="19"/>
        <v>579.8327508</v>
      </c>
      <c r="AQ25" s="36">
        <f t="shared" si="68"/>
        <v>0</v>
      </c>
      <c r="AR25" s="36">
        <f t="shared" si="20"/>
        <v>116.64912000000001</v>
      </c>
      <c r="AS25" s="5">
        <f t="shared" si="21"/>
        <v>116.64912000000001</v>
      </c>
      <c r="AT25" s="36">
        <f t="shared" si="22"/>
        <v>52.194580800000004</v>
      </c>
      <c r="AU25" s="5"/>
      <c r="AV25" s="36">
        <f t="shared" si="69"/>
        <v>0</v>
      </c>
      <c r="AW25" s="36">
        <f t="shared" si="23"/>
        <v>23866.61872</v>
      </c>
      <c r="AX25" s="5">
        <f t="shared" si="24"/>
        <v>23866.61872</v>
      </c>
      <c r="AY25" s="36">
        <f t="shared" si="25"/>
        <v>10679.1046448</v>
      </c>
      <c r="AZ25" s="5"/>
      <c r="BA25" s="36">
        <f t="shared" si="70"/>
        <v>0</v>
      </c>
      <c r="BB25" s="36">
        <f t="shared" si="26"/>
        <v>0.84812</v>
      </c>
      <c r="BC25" s="5">
        <f t="shared" si="27"/>
        <v>0.84812</v>
      </c>
      <c r="BD25" s="36">
        <f t="shared" si="28"/>
        <v>0.3794908</v>
      </c>
      <c r="BE25" s="5"/>
      <c r="BF25" s="36">
        <f t="shared" si="71"/>
        <v>0</v>
      </c>
      <c r="BG25" s="36">
        <f t="shared" si="29"/>
        <v>30485.021</v>
      </c>
      <c r="BH25" s="5">
        <f t="shared" si="30"/>
        <v>30485.021</v>
      </c>
      <c r="BI25" s="36">
        <f t="shared" si="31"/>
        <v>13640.50489</v>
      </c>
      <c r="BJ25" s="5"/>
      <c r="BK25" s="36">
        <f t="shared" si="72"/>
        <v>0</v>
      </c>
      <c r="BL25" s="36">
        <f t="shared" si="32"/>
        <v>71.9271</v>
      </c>
      <c r="BM25" s="5">
        <f t="shared" si="33"/>
        <v>71.9271</v>
      </c>
      <c r="BN25" s="36">
        <f t="shared" si="34"/>
        <v>32.183738999999996</v>
      </c>
      <c r="BO25" s="5"/>
      <c r="BP25" s="36">
        <f t="shared" si="73"/>
        <v>0</v>
      </c>
      <c r="BQ25" s="36">
        <f t="shared" si="35"/>
        <v>12782.57106</v>
      </c>
      <c r="BR25" s="5">
        <f t="shared" si="36"/>
        <v>12782.57106</v>
      </c>
      <c r="BS25" s="36">
        <f t="shared" si="37"/>
        <v>5719.5539754</v>
      </c>
      <c r="BT25" s="5"/>
      <c r="BU25" s="5">
        <f t="shared" si="74"/>
        <v>0</v>
      </c>
      <c r="BV25" s="5">
        <f t="shared" si="38"/>
        <v>64.52236</v>
      </c>
      <c r="BW25" s="5">
        <f t="shared" si="39"/>
        <v>64.52236</v>
      </c>
      <c r="BX25" s="36">
        <f t="shared" si="40"/>
        <v>28.8704924</v>
      </c>
      <c r="BY25" s="5"/>
      <c r="BZ25" s="36">
        <f t="shared" si="75"/>
        <v>0</v>
      </c>
      <c r="CA25" s="36">
        <f t="shared" si="41"/>
        <v>2508.67372</v>
      </c>
      <c r="CB25" s="5">
        <f t="shared" si="42"/>
        <v>2508.67372</v>
      </c>
      <c r="CC25" s="36">
        <f t="shared" si="43"/>
        <v>1122.5045948</v>
      </c>
      <c r="CD25" s="5"/>
      <c r="CE25" s="36">
        <f t="shared" si="76"/>
        <v>0</v>
      </c>
      <c r="CF25" s="36">
        <f t="shared" si="44"/>
        <v>1335.56066</v>
      </c>
      <c r="CG25" s="5">
        <f t="shared" si="45"/>
        <v>1335.56066</v>
      </c>
      <c r="CH25" s="36">
        <f t="shared" si="46"/>
        <v>597.5958394</v>
      </c>
      <c r="CI25" s="5"/>
      <c r="CJ25" s="5">
        <f t="shared" si="77"/>
        <v>0</v>
      </c>
      <c r="CK25" s="36">
        <f t="shared" si="47"/>
        <v>4351.96468</v>
      </c>
      <c r="CL25" s="36">
        <f t="shared" si="48"/>
        <v>4351.96468</v>
      </c>
      <c r="CM25" s="36">
        <f t="shared" si="49"/>
        <v>1947.2840612</v>
      </c>
      <c r="CN25" s="5"/>
      <c r="CO25" s="5">
        <f t="shared" si="78"/>
        <v>0</v>
      </c>
      <c r="CP25" s="36">
        <f t="shared" si="50"/>
        <v>38308.17774</v>
      </c>
      <c r="CQ25" s="36">
        <f t="shared" si="51"/>
        <v>38308.17774</v>
      </c>
      <c r="CR25" s="36">
        <f t="shared" si="52"/>
        <v>17140.971816600002</v>
      </c>
      <c r="CS25" s="5"/>
      <c r="CT25" s="36">
        <f t="shared" si="79"/>
        <v>0</v>
      </c>
      <c r="CU25" s="36">
        <f t="shared" si="53"/>
        <v>79310.86534</v>
      </c>
      <c r="CV25" s="5">
        <f t="shared" si="54"/>
        <v>79310.86534</v>
      </c>
      <c r="CW25" s="36">
        <f t="shared" si="55"/>
        <v>35487.600500600005</v>
      </c>
      <c r="CX25" s="5"/>
      <c r="CY25" s="5">
        <f t="shared" si="80"/>
        <v>0</v>
      </c>
      <c r="CZ25" s="5">
        <f t="shared" si="56"/>
        <v>3519.9915800000003</v>
      </c>
      <c r="DA25" s="5">
        <f t="shared" si="57"/>
        <v>3519.9915800000003</v>
      </c>
      <c r="DB25" s="36">
        <f t="shared" si="58"/>
        <v>1575.0181822000002</v>
      </c>
      <c r="DC25" s="5"/>
      <c r="DD25" s="36">
        <f t="shared" si="81"/>
        <v>0</v>
      </c>
      <c r="DE25" s="36">
        <f t="shared" si="59"/>
        <v>3904.4509</v>
      </c>
      <c r="DF25" s="5">
        <f t="shared" si="60"/>
        <v>3904.4509</v>
      </c>
      <c r="DG25" s="36">
        <f t="shared" si="61"/>
        <v>1747.044281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.75">
      <c r="A26" s="37">
        <v>46661</v>
      </c>
      <c r="D26" s="3">
        <v>326200</v>
      </c>
      <c r="E26" s="35">
        <f t="shared" si="0"/>
        <v>326200</v>
      </c>
      <c r="F26" s="35">
        <v>145958</v>
      </c>
      <c r="H26" s="36"/>
      <c r="I26" s="36">
        <f>'Academic Project '!I26</f>
        <v>49165.5164</v>
      </c>
      <c r="J26" s="36">
        <f t="shared" si="1"/>
        <v>49165.5164</v>
      </c>
      <c r="K26" s="36">
        <f>'Academic Project '!K26</f>
        <v>21999.081675999998</v>
      </c>
      <c r="M26" s="36"/>
      <c r="N26" s="35">
        <f t="shared" si="2"/>
        <v>277034.4836</v>
      </c>
      <c r="O26" s="5">
        <f t="shared" si="3"/>
        <v>277034.4836</v>
      </c>
      <c r="P26" s="35">
        <f t="shared" si="4"/>
        <v>123958.91832399998</v>
      </c>
      <c r="R26" s="36"/>
      <c r="S26" s="36">
        <f t="shared" si="5"/>
        <v>12503.27862</v>
      </c>
      <c r="T26" s="5">
        <f t="shared" si="6"/>
        <v>12503.27862</v>
      </c>
      <c r="U26" s="36">
        <f t="shared" si="7"/>
        <v>5594.5847358</v>
      </c>
      <c r="X26" s="36">
        <f t="shared" si="8"/>
        <v>22656.44934</v>
      </c>
      <c r="Y26" s="36">
        <f t="shared" si="9"/>
        <v>22656.44934</v>
      </c>
      <c r="Z26" s="36">
        <f t="shared" si="10"/>
        <v>10137.6150606</v>
      </c>
      <c r="AC26" s="5">
        <f t="shared" si="11"/>
        <v>18255.815619999998</v>
      </c>
      <c r="AD26" s="5">
        <f t="shared" si="12"/>
        <v>18255.815619999998</v>
      </c>
      <c r="AE26" s="36">
        <f t="shared" si="13"/>
        <v>8168.554065799999</v>
      </c>
      <c r="AH26" s="5">
        <f t="shared" si="14"/>
        <v>21695.2358</v>
      </c>
      <c r="AI26" s="5">
        <f t="shared" si="15"/>
        <v>21695.2358</v>
      </c>
      <c r="AJ26" s="36">
        <f t="shared" si="16"/>
        <v>9707.520622</v>
      </c>
      <c r="AL26" s="36"/>
      <c r="AM26" s="36">
        <f t="shared" si="17"/>
        <v>1295.86212</v>
      </c>
      <c r="AN26" s="5">
        <f t="shared" si="18"/>
        <v>1295.86212</v>
      </c>
      <c r="AO26" s="36">
        <f t="shared" si="19"/>
        <v>579.8327508</v>
      </c>
      <c r="AQ26" s="36"/>
      <c r="AR26" s="36">
        <f t="shared" si="20"/>
        <v>116.64912000000001</v>
      </c>
      <c r="AS26" s="5">
        <f t="shared" si="21"/>
        <v>116.64912000000001</v>
      </c>
      <c r="AT26" s="36">
        <f t="shared" si="22"/>
        <v>52.194580800000004</v>
      </c>
      <c r="AU26" s="5"/>
      <c r="AV26" s="36"/>
      <c r="AW26" s="36">
        <f t="shared" si="23"/>
        <v>23866.61872</v>
      </c>
      <c r="AX26" s="5">
        <f t="shared" si="24"/>
        <v>23866.61872</v>
      </c>
      <c r="AY26" s="36">
        <f t="shared" si="25"/>
        <v>10679.1046448</v>
      </c>
      <c r="AZ26" s="5"/>
      <c r="BA26" s="36"/>
      <c r="BB26" s="36">
        <f t="shared" si="26"/>
        <v>0.84812</v>
      </c>
      <c r="BC26" s="5">
        <f t="shared" si="27"/>
        <v>0.84812</v>
      </c>
      <c r="BD26" s="36">
        <f t="shared" si="28"/>
        <v>0.3794908</v>
      </c>
      <c r="BE26" s="5"/>
      <c r="BF26" s="36"/>
      <c r="BG26" s="36">
        <f t="shared" si="29"/>
        <v>30485.021</v>
      </c>
      <c r="BH26" s="5">
        <f t="shared" si="30"/>
        <v>30485.021</v>
      </c>
      <c r="BI26" s="36">
        <f t="shared" si="31"/>
        <v>13640.50489</v>
      </c>
      <c r="BJ26" s="5"/>
      <c r="BK26" s="36"/>
      <c r="BL26" s="36">
        <f t="shared" si="32"/>
        <v>71.9271</v>
      </c>
      <c r="BM26" s="5">
        <f t="shared" si="33"/>
        <v>71.9271</v>
      </c>
      <c r="BN26" s="36">
        <f t="shared" si="34"/>
        <v>32.183738999999996</v>
      </c>
      <c r="BO26" s="5"/>
      <c r="BP26" s="36"/>
      <c r="BQ26" s="36">
        <f t="shared" si="35"/>
        <v>12782.57106</v>
      </c>
      <c r="BR26" s="5">
        <f t="shared" si="36"/>
        <v>12782.57106</v>
      </c>
      <c r="BS26" s="36">
        <f t="shared" si="37"/>
        <v>5719.5539754</v>
      </c>
      <c r="BT26" s="5"/>
      <c r="BU26" s="5"/>
      <c r="BV26" s="5">
        <f t="shared" si="38"/>
        <v>64.52236</v>
      </c>
      <c r="BW26" s="5">
        <f t="shared" si="39"/>
        <v>64.52236</v>
      </c>
      <c r="BX26" s="36">
        <f t="shared" si="40"/>
        <v>28.8704924</v>
      </c>
      <c r="BY26" s="5"/>
      <c r="BZ26" s="36"/>
      <c r="CA26" s="36">
        <f t="shared" si="41"/>
        <v>2508.67372</v>
      </c>
      <c r="CB26" s="5">
        <f t="shared" si="42"/>
        <v>2508.67372</v>
      </c>
      <c r="CC26" s="36">
        <f t="shared" si="43"/>
        <v>1122.5045948</v>
      </c>
      <c r="CD26" s="5"/>
      <c r="CE26" s="36"/>
      <c r="CF26" s="36">
        <f t="shared" si="44"/>
        <v>1335.56066</v>
      </c>
      <c r="CG26" s="5">
        <f t="shared" si="45"/>
        <v>1335.56066</v>
      </c>
      <c r="CH26" s="36">
        <f t="shared" si="46"/>
        <v>597.5958394</v>
      </c>
      <c r="CI26" s="5"/>
      <c r="CJ26" s="5"/>
      <c r="CK26" s="36">
        <f t="shared" si="47"/>
        <v>4351.96468</v>
      </c>
      <c r="CL26" s="36">
        <f t="shared" si="48"/>
        <v>4351.96468</v>
      </c>
      <c r="CM26" s="36">
        <f t="shared" si="49"/>
        <v>1947.2840612</v>
      </c>
      <c r="CN26" s="5"/>
      <c r="CO26" s="5"/>
      <c r="CP26" s="36">
        <f t="shared" si="50"/>
        <v>38308.17774</v>
      </c>
      <c r="CQ26" s="36">
        <f t="shared" si="51"/>
        <v>38308.17774</v>
      </c>
      <c r="CR26" s="36">
        <f t="shared" si="52"/>
        <v>17140.971816600002</v>
      </c>
      <c r="CS26" s="5"/>
      <c r="CT26" s="36"/>
      <c r="CU26" s="36">
        <f t="shared" si="53"/>
        <v>79310.86534</v>
      </c>
      <c r="CV26" s="5">
        <f t="shared" si="54"/>
        <v>79310.86534</v>
      </c>
      <c r="CW26" s="36">
        <f t="shared" si="55"/>
        <v>35487.600500600005</v>
      </c>
      <c r="CX26" s="5"/>
      <c r="CY26" s="5"/>
      <c r="CZ26" s="5">
        <f t="shared" si="56"/>
        <v>3519.9915800000003</v>
      </c>
      <c r="DA26" s="5">
        <f t="shared" si="57"/>
        <v>3519.9915800000003</v>
      </c>
      <c r="DB26" s="36">
        <f t="shared" si="58"/>
        <v>1575.0181822000002</v>
      </c>
      <c r="DC26" s="5"/>
      <c r="DD26" s="36"/>
      <c r="DE26" s="36">
        <f t="shared" si="59"/>
        <v>3904.4509</v>
      </c>
      <c r="DF26" s="5">
        <f t="shared" si="60"/>
        <v>3904.4509</v>
      </c>
      <c r="DG26" s="36">
        <f t="shared" si="61"/>
        <v>1747.044281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.75">
      <c r="A27" s="37">
        <v>46844</v>
      </c>
      <c r="C27" s="3">
        <v>0</v>
      </c>
      <c r="D27" s="3">
        <v>326200</v>
      </c>
      <c r="E27" s="35">
        <f t="shared" si="0"/>
        <v>326200</v>
      </c>
      <c r="F27" s="35">
        <v>145958</v>
      </c>
      <c r="H27" s="36">
        <f>'Academic Project '!H27</f>
        <v>0</v>
      </c>
      <c r="I27" s="36">
        <f>'Academic Project '!I27</f>
        <v>49165.5164</v>
      </c>
      <c r="J27" s="36">
        <f t="shared" si="1"/>
        <v>49165.5164</v>
      </c>
      <c r="K27" s="36">
        <f>'Academic Project '!K27</f>
        <v>21999.081675999998</v>
      </c>
      <c r="M27" s="36">
        <f t="shared" si="62"/>
        <v>0</v>
      </c>
      <c r="N27" s="35">
        <f t="shared" si="2"/>
        <v>277034.4836</v>
      </c>
      <c r="O27" s="5">
        <f t="shared" si="3"/>
        <v>277034.4836</v>
      </c>
      <c r="P27" s="35">
        <f t="shared" si="4"/>
        <v>123958.91832399998</v>
      </c>
      <c r="R27" s="36">
        <f t="shared" si="63"/>
        <v>0</v>
      </c>
      <c r="S27" s="36">
        <f t="shared" si="5"/>
        <v>12503.27862</v>
      </c>
      <c r="T27" s="5">
        <f t="shared" si="6"/>
        <v>12503.27862</v>
      </c>
      <c r="U27" s="36">
        <f t="shared" si="7"/>
        <v>5594.5847358</v>
      </c>
      <c r="W27" s="5">
        <f t="shared" si="64"/>
        <v>0</v>
      </c>
      <c r="X27" s="36">
        <f t="shared" si="8"/>
        <v>22656.44934</v>
      </c>
      <c r="Y27" s="36">
        <f t="shared" si="9"/>
        <v>22656.44934</v>
      </c>
      <c r="Z27" s="36">
        <f t="shared" si="10"/>
        <v>10137.6150606</v>
      </c>
      <c r="AB27" s="5">
        <f t="shared" si="65"/>
        <v>0</v>
      </c>
      <c r="AC27" s="5">
        <f t="shared" si="11"/>
        <v>18255.815619999998</v>
      </c>
      <c r="AD27" s="5">
        <f t="shared" si="12"/>
        <v>18255.815619999998</v>
      </c>
      <c r="AE27" s="36">
        <f t="shared" si="13"/>
        <v>8168.554065799999</v>
      </c>
      <c r="AG27" s="5">
        <f t="shared" si="66"/>
        <v>0</v>
      </c>
      <c r="AH27" s="5">
        <f t="shared" si="14"/>
        <v>21695.2358</v>
      </c>
      <c r="AI27" s="5">
        <f t="shared" si="15"/>
        <v>21695.2358</v>
      </c>
      <c r="AJ27" s="36">
        <f t="shared" si="16"/>
        <v>9707.520622</v>
      </c>
      <c r="AL27" s="36">
        <f t="shared" si="67"/>
        <v>0</v>
      </c>
      <c r="AM27" s="36">
        <f t="shared" si="17"/>
        <v>1295.86212</v>
      </c>
      <c r="AN27" s="5">
        <f t="shared" si="18"/>
        <v>1295.86212</v>
      </c>
      <c r="AO27" s="36">
        <f t="shared" si="19"/>
        <v>579.8327508</v>
      </c>
      <c r="AQ27" s="36">
        <f t="shared" si="68"/>
        <v>0</v>
      </c>
      <c r="AR27" s="36">
        <f t="shared" si="20"/>
        <v>116.64912000000001</v>
      </c>
      <c r="AS27" s="5">
        <f t="shared" si="21"/>
        <v>116.64912000000001</v>
      </c>
      <c r="AT27" s="36">
        <f t="shared" si="22"/>
        <v>52.194580800000004</v>
      </c>
      <c r="AU27" s="5"/>
      <c r="AV27" s="36">
        <f t="shared" si="69"/>
        <v>0</v>
      </c>
      <c r="AW27" s="36">
        <f t="shared" si="23"/>
        <v>23866.61872</v>
      </c>
      <c r="AX27" s="5">
        <f t="shared" si="24"/>
        <v>23866.61872</v>
      </c>
      <c r="AY27" s="36">
        <f t="shared" si="25"/>
        <v>10679.1046448</v>
      </c>
      <c r="AZ27" s="5"/>
      <c r="BA27" s="36">
        <f t="shared" si="70"/>
        <v>0</v>
      </c>
      <c r="BB27" s="36">
        <f t="shared" si="26"/>
        <v>0.84812</v>
      </c>
      <c r="BC27" s="5">
        <f t="shared" si="27"/>
        <v>0.84812</v>
      </c>
      <c r="BD27" s="36">
        <f t="shared" si="28"/>
        <v>0.3794908</v>
      </c>
      <c r="BE27" s="5"/>
      <c r="BF27" s="36">
        <f t="shared" si="71"/>
        <v>0</v>
      </c>
      <c r="BG27" s="36">
        <f t="shared" si="29"/>
        <v>30485.021</v>
      </c>
      <c r="BH27" s="5">
        <f t="shared" si="30"/>
        <v>30485.021</v>
      </c>
      <c r="BI27" s="36">
        <f t="shared" si="31"/>
        <v>13640.50489</v>
      </c>
      <c r="BJ27" s="5"/>
      <c r="BK27" s="36">
        <f t="shared" si="72"/>
        <v>0</v>
      </c>
      <c r="BL27" s="36">
        <f t="shared" si="32"/>
        <v>71.9271</v>
      </c>
      <c r="BM27" s="5">
        <f t="shared" si="33"/>
        <v>71.9271</v>
      </c>
      <c r="BN27" s="36">
        <f t="shared" si="34"/>
        <v>32.183738999999996</v>
      </c>
      <c r="BO27" s="5"/>
      <c r="BP27" s="36">
        <f t="shared" si="73"/>
        <v>0</v>
      </c>
      <c r="BQ27" s="36">
        <f t="shared" si="35"/>
        <v>12782.57106</v>
      </c>
      <c r="BR27" s="5">
        <f t="shared" si="36"/>
        <v>12782.57106</v>
      </c>
      <c r="BS27" s="36">
        <f t="shared" si="37"/>
        <v>5719.5539754</v>
      </c>
      <c r="BT27" s="5"/>
      <c r="BU27" s="5">
        <f t="shared" si="74"/>
        <v>0</v>
      </c>
      <c r="BV27" s="5">
        <f t="shared" si="38"/>
        <v>64.52236</v>
      </c>
      <c r="BW27" s="5">
        <f t="shared" si="39"/>
        <v>64.52236</v>
      </c>
      <c r="BX27" s="36">
        <f t="shared" si="40"/>
        <v>28.8704924</v>
      </c>
      <c r="BY27" s="5"/>
      <c r="BZ27" s="36">
        <f t="shared" si="75"/>
        <v>0</v>
      </c>
      <c r="CA27" s="36">
        <f t="shared" si="41"/>
        <v>2508.67372</v>
      </c>
      <c r="CB27" s="5">
        <f t="shared" si="42"/>
        <v>2508.67372</v>
      </c>
      <c r="CC27" s="36">
        <f t="shared" si="43"/>
        <v>1122.5045948</v>
      </c>
      <c r="CD27" s="5"/>
      <c r="CE27" s="36">
        <f t="shared" si="76"/>
        <v>0</v>
      </c>
      <c r="CF27" s="36">
        <f t="shared" si="44"/>
        <v>1335.56066</v>
      </c>
      <c r="CG27" s="5">
        <f t="shared" si="45"/>
        <v>1335.56066</v>
      </c>
      <c r="CH27" s="36">
        <f t="shared" si="46"/>
        <v>597.5958394</v>
      </c>
      <c r="CI27" s="5"/>
      <c r="CJ27" s="5">
        <f t="shared" si="77"/>
        <v>0</v>
      </c>
      <c r="CK27" s="36">
        <f t="shared" si="47"/>
        <v>4351.96468</v>
      </c>
      <c r="CL27" s="36">
        <f t="shared" si="48"/>
        <v>4351.96468</v>
      </c>
      <c r="CM27" s="36">
        <f t="shared" si="49"/>
        <v>1947.2840612</v>
      </c>
      <c r="CN27" s="5"/>
      <c r="CO27" s="5">
        <f t="shared" si="78"/>
        <v>0</v>
      </c>
      <c r="CP27" s="36">
        <f t="shared" si="50"/>
        <v>38308.17774</v>
      </c>
      <c r="CQ27" s="36">
        <f t="shared" si="51"/>
        <v>38308.17774</v>
      </c>
      <c r="CR27" s="36">
        <f t="shared" si="52"/>
        <v>17140.971816600002</v>
      </c>
      <c r="CS27" s="5"/>
      <c r="CT27" s="36">
        <f t="shared" si="79"/>
        <v>0</v>
      </c>
      <c r="CU27" s="36">
        <f t="shared" si="53"/>
        <v>79310.86534</v>
      </c>
      <c r="CV27" s="5">
        <f t="shared" si="54"/>
        <v>79310.86534</v>
      </c>
      <c r="CW27" s="36">
        <f t="shared" si="55"/>
        <v>35487.600500600005</v>
      </c>
      <c r="CX27" s="5"/>
      <c r="CY27" s="5">
        <f t="shared" si="80"/>
        <v>0</v>
      </c>
      <c r="CZ27" s="5">
        <f t="shared" si="56"/>
        <v>3519.9915800000003</v>
      </c>
      <c r="DA27" s="5">
        <f t="shared" si="57"/>
        <v>3519.9915800000003</v>
      </c>
      <c r="DB27" s="36">
        <f t="shared" si="58"/>
        <v>1575.0181822000002</v>
      </c>
      <c r="DC27" s="5"/>
      <c r="DD27" s="36">
        <f t="shared" si="81"/>
        <v>0</v>
      </c>
      <c r="DE27" s="36">
        <f t="shared" si="59"/>
        <v>3904.4509</v>
      </c>
      <c r="DF27" s="5">
        <f t="shared" si="60"/>
        <v>3904.4509</v>
      </c>
      <c r="DG27" s="36">
        <f t="shared" si="61"/>
        <v>1747.044281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.75">
      <c r="A28" s="37">
        <v>47027</v>
      </c>
      <c r="D28" s="3">
        <v>326200</v>
      </c>
      <c r="E28" s="35">
        <f t="shared" si="0"/>
        <v>326200</v>
      </c>
      <c r="F28" s="35">
        <v>145958</v>
      </c>
      <c r="H28" s="36"/>
      <c r="I28" s="36">
        <f>'Academic Project '!I28</f>
        <v>49165.5164</v>
      </c>
      <c r="J28" s="36">
        <f t="shared" si="1"/>
        <v>49165.5164</v>
      </c>
      <c r="K28" s="36">
        <f>'Academic Project '!K28</f>
        <v>21999.081675999998</v>
      </c>
      <c r="M28" s="36"/>
      <c r="N28" s="35">
        <f t="shared" si="2"/>
        <v>277034.4836</v>
      </c>
      <c r="O28" s="5">
        <f t="shared" si="3"/>
        <v>277034.4836</v>
      </c>
      <c r="P28" s="35">
        <f t="shared" si="4"/>
        <v>123958.91832399998</v>
      </c>
      <c r="R28" s="36"/>
      <c r="S28" s="36">
        <f t="shared" si="5"/>
        <v>12503.27862</v>
      </c>
      <c r="T28" s="5">
        <f t="shared" si="6"/>
        <v>12503.27862</v>
      </c>
      <c r="U28" s="36">
        <f t="shared" si="7"/>
        <v>5594.5847358</v>
      </c>
      <c r="X28" s="36">
        <f t="shared" si="8"/>
        <v>22656.44934</v>
      </c>
      <c r="Y28" s="36">
        <f t="shared" si="9"/>
        <v>22656.44934</v>
      </c>
      <c r="Z28" s="36">
        <f t="shared" si="10"/>
        <v>10137.6150606</v>
      </c>
      <c r="AC28" s="5">
        <f t="shared" si="11"/>
        <v>18255.815619999998</v>
      </c>
      <c r="AD28" s="5">
        <f t="shared" si="12"/>
        <v>18255.815619999998</v>
      </c>
      <c r="AE28" s="36">
        <f t="shared" si="13"/>
        <v>8168.554065799999</v>
      </c>
      <c r="AH28" s="5">
        <f t="shared" si="14"/>
        <v>21695.2358</v>
      </c>
      <c r="AI28" s="5">
        <f t="shared" si="15"/>
        <v>21695.2358</v>
      </c>
      <c r="AJ28" s="36">
        <f t="shared" si="16"/>
        <v>9707.520622</v>
      </c>
      <c r="AL28" s="36"/>
      <c r="AM28" s="36">
        <f t="shared" si="17"/>
        <v>1295.86212</v>
      </c>
      <c r="AN28" s="5">
        <f t="shared" si="18"/>
        <v>1295.86212</v>
      </c>
      <c r="AO28" s="36">
        <f t="shared" si="19"/>
        <v>579.8327508</v>
      </c>
      <c r="AQ28" s="36"/>
      <c r="AR28" s="36">
        <f t="shared" si="20"/>
        <v>116.64912000000001</v>
      </c>
      <c r="AS28" s="5">
        <f t="shared" si="21"/>
        <v>116.64912000000001</v>
      </c>
      <c r="AT28" s="36">
        <f t="shared" si="22"/>
        <v>52.194580800000004</v>
      </c>
      <c r="AU28" s="5"/>
      <c r="AV28" s="36"/>
      <c r="AW28" s="36">
        <f t="shared" si="23"/>
        <v>23866.61872</v>
      </c>
      <c r="AX28" s="5">
        <f t="shared" si="24"/>
        <v>23866.61872</v>
      </c>
      <c r="AY28" s="36">
        <f t="shared" si="25"/>
        <v>10679.1046448</v>
      </c>
      <c r="AZ28" s="5"/>
      <c r="BA28" s="36"/>
      <c r="BB28" s="36">
        <f t="shared" si="26"/>
        <v>0.84812</v>
      </c>
      <c r="BC28" s="5">
        <f t="shared" si="27"/>
        <v>0.84812</v>
      </c>
      <c r="BD28" s="36">
        <f t="shared" si="28"/>
        <v>0.3794908</v>
      </c>
      <c r="BE28" s="5"/>
      <c r="BF28" s="36"/>
      <c r="BG28" s="36">
        <f t="shared" si="29"/>
        <v>30485.021</v>
      </c>
      <c r="BH28" s="5">
        <f t="shared" si="30"/>
        <v>30485.021</v>
      </c>
      <c r="BI28" s="36">
        <f t="shared" si="31"/>
        <v>13640.50489</v>
      </c>
      <c r="BJ28" s="5"/>
      <c r="BK28" s="36"/>
      <c r="BL28" s="36">
        <f t="shared" si="32"/>
        <v>71.9271</v>
      </c>
      <c r="BM28" s="5">
        <f t="shared" si="33"/>
        <v>71.9271</v>
      </c>
      <c r="BN28" s="36">
        <f t="shared" si="34"/>
        <v>32.183738999999996</v>
      </c>
      <c r="BO28" s="5"/>
      <c r="BP28" s="36"/>
      <c r="BQ28" s="36">
        <f t="shared" si="35"/>
        <v>12782.57106</v>
      </c>
      <c r="BR28" s="5">
        <f t="shared" si="36"/>
        <v>12782.57106</v>
      </c>
      <c r="BS28" s="36">
        <f t="shared" si="37"/>
        <v>5719.5539754</v>
      </c>
      <c r="BT28" s="5"/>
      <c r="BU28" s="5"/>
      <c r="BV28" s="5">
        <f t="shared" si="38"/>
        <v>64.52236</v>
      </c>
      <c r="BW28" s="5">
        <f t="shared" si="39"/>
        <v>64.52236</v>
      </c>
      <c r="BX28" s="36">
        <f t="shared" si="40"/>
        <v>28.8704924</v>
      </c>
      <c r="BY28" s="5"/>
      <c r="BZ28" s="36"/>
      <c r="CA28" s="36">
        <f t="shared" si="41"/>
        <v>2508.67372</v>
      </c>
      <c r="CB28" s="5">
        <f t="shared" si="42"/>
        <v>2508.67372</v>
      </c>
      <c r="CC28" s="36">
        <f t="shared" si="43"/>
        <v>1122.5045948</v>
      </c>
      <c r="CD28" s="5"/>
      <c r="CE28" s="36"/>
      <c r="CF28" s="36">
        <f t="shared" si="44"/>
        <v>1335.56066</v>
      </c>
      <c r="CG28" s="5">
        <f t="shared" si="45"/>
        <v>1335.56066</v>
      </c>
      <c r="CH28" s="36">
        <f t="shared" si="46"/>
        <v>597.5958394</v>
      </c>
      <c r="CI28" s="5"/>
      <c r="CJ28" s="5"/>
      <c r="CK28" s="36">
        <f t="shared" si="47"/>
        <v>4351.96468</v>
      </c>
      <c r="CL28" s="36">
        <f t="shared" si="48"/>
        <v>4351.96468</v>
      </c>
      <c r="CM28" s="36">
        <f t="shared" si="49"/>
        <v>1947.2840612</v>
      </c>
      <c r="CN28" s="5"/>
      <c r="CO28" s="5"/>
      <c r="CP28" s="36">
        <f t="shared" si="50"/>
        <v>38308.17774</v>
      </c>
      <c r="CQ28" s="36">
        <f t="shared" si="51"/>
        <v>38308.17774</v>
      </c>
      <c r="CR28" s="36">
        <f t="shared" si="52"/>
        <v>17140.971816600002</v>
      </c>
      <c r="CS28" s="5"/>
      <c r="CT28" s="36"/>
      <c r="CU28" s="36">
        <f t="shared" si="53"/>
        <v>79310.86534</v>
      </c>
      <c r="CV28" s="5">
        <f t="shared" si="54"/>
        <v>79310.86534</v>
      </c>
      <c r="CW28" s="36">
        <f t="shared" si="55"/>
        <v>35487.600500600005</v>
      </c>
      <c r="CX28" s="5"/>
      <c r="CY28" s="5"/>
      <c r="CZ28" s="5">
        <f t="shared" si="56"/>
        <v>3519.9915800000003</v>
      </c>
      <c r="DA28" s="5">
        <f t="shared" si="57"/>
        <v>3519.9915800000003</v>
      </c>
      <c r="DB28" s="36">
        <f t="shared" si="58"/>
        <v>1575.0181822000002</v>
      </c>
      <c r="DC28" s="5"/>
      <c r="DD28" s="36"/>
      <c r="DE28" s="36">
        <f t="shared" si="59"/>
        <v>3904.4509</v>
      </c>
      <c r="DF28" s="5">
        <f t="shared" si="60"/>
        <v>3904.4509</v>
      </c>
      <c r="DG28" s="36">
        <f t="shared" si="61"/>
        <v>1747.044281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.75">
      <c r="A29" s="37">
        <v>47209</v>
      </c>
      <c r="C29" s="3">
        <v>7795000</v>
      </c>
      <c r="D29" s="3">
        <v>326200</v>
      </c>
      <c r="E29" s="35">
        <f t="shared" si="0"/>
        <v>8121200</v>
      </c>
      <c r="F29" s="35">
        <v>145958</v>
      </c>
      <c r="H29" s="36">
        <f>'Academic Project '!H29</f>
        <v>1174877.99</v>
      </c>
      <c r="I29" s="36">
        <f>'Academic Project '!I29</f>
        <v>49165.5164</v>
      </c>
      <c r="J29" s="36">
        <f t="shared" si="1"/>
        <v>1224043.5064</v>
      </c>
      <c r="K29" s="36">
        <f>'Academic Project '!K29</f>
        <v>21999.081675999998</v>
      </c>
      <c r="M29" s="36">
        <f t="shared" si="62"/>
        <v>6620122.01</v>
      </c>
      <c r="N29" s="35">
        <f t="shared" si="2"/>
        <v>277034.4836</v>
      </c>
      <c r="O29" s="5">
        <f t="shared" si="3"/>
        <v>6897156.4936</v>
      </c>
      <c r="P29" s="35">
        <f t="shared" si="4"/>
        <v>123958.91832399998</v>
      </c>
      <c r="R29" s="36">
        <f t="shared" si="63"/>
        <v>298783.1295</v>
      </c>
      <c r="S29" s="36">
        <f t="shared" si="5"/>
        <v>12503.27862</v>
      </c>
      <c r="T29" s="5">
        <f t="shared" si="6"/>
        <v>311286.40812</v>
      </c>
      <c r="U29" s="36">
        <f t="shared" si="7"/>
        <v>5594.5847358</v>
      </c>
      <c r="W29" s="5">
        <f t="shared" si="64"/>
        <v>541407.1815</v>
      </c>
      <c r="X29" s="36">
        <f t="shared" si="8"/>
        <v>22656.44934</v>
      </c>
      <c r="Y29" s="36">
        <f t="shared" si="9"/>
        <v>564063.63084</v>
      </c>
      <c r="Z29" s="36">
        <f t="shared" si="10"/>
        <v>10137.6150606</v>
      </c>
      <c r="AB29" s="5">
        <f t="shared" si="65"/>
        <v>436247.9545</v>
      </c>
      <c r="AC29" s="5">
        <f t="shared" si="11"/>
        <v>18255.815619999998</v>
      </c>
      <c r="AD29" s="5">
        <f t="shared" si="12"/>
        <v>454503.77012</v>
      </c>
      <c r="AE29" s="36">
        <f t="shared" si="13"/>
        <v>8168.554065799999</v>
      </c>
      <c r="AG29" s="5">
        <f t="shared" si="66"/>
        <v>518437.65499999997</v>
      </c>
      <c r="AH29" s="5">
        <f t="shared" si="14"/>
        <v>21695.2358</v>
      </c>
      <c r="AI29" s="5">
        <f t="shared" si="15"/>
        <v>540132.8907999999</v>
      </c>
      <c r="AJ29" s="36">
        <f t="shared" si="16"/>
        <v>9707.520622</v>
      </c>
      <c r="AL29" s="36">
        <f t="shared" si="67"/>
        <v>30966.416999999998</v>
      </c>
      <c r="AM29" s="36">
        <f t="shared" si="17"/>
        <v>1295.86212</v>
      </c>
      <c r="AN29" s="5">
        <f t="shared" si="18"/>
        <v>32262.27912</v>
      </c>
      <c r="AO29" s="36">
        <f t="shared" si="19"/>
        <v>579.8327508</v>
      </c>
      <c r="AQ29" s="36">
        <f t="shared" si="68"/>
        <v>2787.492</v>
      </c>
      <c r="AR29" s="36">
        <f t="shared" si="20"/>
        <v>116.64912000000001</v>
      </c>
      <c r="AS29" s="5">
        <f t="shared" si="21"/>
        <v>2904.1411200000002</v>
      </c>
      <c r="AT29" s="36">
        <f t="shared" si="22"/>
        <v>52.194580800000004</v>
      </c>
      <c r="AU29" s="5"/>
      <c r="AV29" s="36">
        <f t="shared" si="69"/>
        <v>570325.852</v>
      </c>
      <c r="AW29" s="36">
        <f t="shared" si="23"/>
        <v>23866.61872</v>
      </c>
      <c r="AX29" s="5">
        <f t="shared" si="24"/>
        <v>594192.47072</v>
      </c>
      <c r="AY29" s="36">
        <f t="shared" si="25"/>
        <v>10679.1046448</v>
      </c>
      <c r="AZ29" s="5"/>
      <c r="BA29" s="36">
        <f t="shared" si="70"/>
        <v>20.267</v>
      </c>
      <c r="BB29" s="36">
        <f t="shared" si="26"/>
        <v>0.84812</v>
      </c>
      <c r="BC29" s="5">
        <f t="shared" si="27"/>
        <v>21.11512</v>
      </c>
      <c r="BD29" s="36">
        <f t="shared" si="28"/>
        <v>0.3794908</v>
      </c>
      <c r="BE29" s="5"/>
      <c r="BF29" s="36">
        <f t="shared" si="71"/>
        <v>728481.725</v>
      </c>
      <c r="BG29" s="36">
        <f t="shared" si="29"/>
        <v>30485.021</v>
      </c>
      <c r="BH29" s="5">
        <f t="shared" si="30"/>
        <v>758966.7459999999</v>
      </c>
      <c r="BI29" s="36">
        <f t="shared" si="31"/>
        <v>13640.50489</v>
      </c>
      <c r="BJ29" s="5"/>
      <c r="BK29" s="36">
        <f t="shared" si="72"/>
        <v>1718.7975</v>
      </c>
      <c r="BL29" s="36">
        <f t="shared" si="32"/>
        <v>71.9271</v>
      </c>
      <c r="BM29" s="5">
        <f t="shared" si="33"/>
        <v>1790.7246</v>
      </c>
      <c r="BN29" s="36">
        <f t="shared" si="34"/>
        <v>32.183738999999996</v>
      </c>
      <c r="BO29" s="5"/>
      <c r="BP29" s="36">
        <f t="shared" si="73"/>
        <v>305457.2085</v>
      </c>
      <c r="BQ29" s="36">
        <f t="shared" si="35"/>
        <v>12782.57106</v>
      </c>
      <c r="BR29" s="5">
        <f t="shared" si="36"/>
        <v>318239.77956</v>
      </c>
      <c r="BS29" s="36">
        <f t="shared" si="37"/>
        <v>5719.5539754</v>
      </c>
      <c r="BT29" s="5"/>
      <c r="BU29" s="5">
        <f t="shared" si="74"/>
        <v>1541.851</v>
      </c>
      <c r="BV29" s="5">
        <f t="shared" si="38"/>
        <v>64.52236</v>
      </c>
      <c r="BW29" s="5">
        <f t="shared" si="39"/>
        <v>1606.37336</v>
      </c>
      <c r="BX29" s="36">
        <f t="shared" si="40"/>
        <v>28.8704924</v>
      </c>
      <c r="BY29" s="5"/>
      <c r="BZ29" s="36">
        <f t="shared" si="75"/>
        <v>59948.227</v>
      </c>
      <c r="CA29" s="36">
        <f t="shared" si="41"/>
        <v>2508.67372</v>
      </c>
      <c r="CB29" s="5">
        <f t="shared" si="42"/>
        <v>62456.90072</v>
      </c>
      <c r="CC29" s="36">
        <f t="shared" si="43"/>
        <v>1122.5045948</v>
      </c>
      <c r="CD29" s="5"/>
      <c r="CE29" s="36">
        <f t="shared" si="76"/>
        <v>31915.0685</v>
      </c>
      <c r="CF29" s="36">
        <f t="shared" si="44"/>
        <v>1335.56066</v>
      </c>
      <c r="CG29" s="5">
        <f t="shared" si="45"/>
        <v>33250.629160000004</v>
      </c>
      <c r="CH29" s="36">
        <f t="shared" si="46"/>
        <v>597.5958394</v>
      </c>
      <c r="CI29" s="5"/>
      <c r="CJ29" s="5">
        <f t="shared" si="77"/>
        <v>103996.213</v>
      </c>
      <c r="CK29" s="36">
        <f t="shared" si="47"/>
        <v>4351.96468</v>
      </c>
      <c r="CL29" s="36">
        <f t="shared" si="48"/>
        <v>108348.17768000001</v>
      </c>
      <c r="CM29" s="36">
        <f t="shared" si="49"/>
        <v>1947.2840612</v>
      </c>
      <c r="CN29" s="5"/>
      <c r="CO29" s="5">
        <f t="shared" si="78"/>
        <v>915426.8715</v>
      </c>
      <c r="CP29" s="36">
        <f t="shared" si="50"/>
        <v>38308.17774</v>
      </c>
      <c r="CQ29" s="36">
        <f t="shared" si="51"/>
        <v>953735.04924</v>
      </c>
      <c r="CR29" s="36">
        <f t="shared" si="52"/>
        <v>17140.971816600002</v>
      </c>
      <c r="CS29" s="5"/>
      <c r="CT29" s="36">
        <f t="shared" si="79"/>
        <v>1895242.7815</v>
      </c>
      <c r="CU29" s="36">
        <f t="shared" si="53"/>
        <v>79310.86534</v>
      </c>
      <c r="CV29" s="5">
        <f t="shared" si="54"/>
        <v>1974553.64684</v>
      </c>
      <c r="CW29" s="36">
        <f t="shared" si="55"/>
        <v>35487.600500600005</v>
      </c>
      <c r="CX29" s="5"/>
      <c r="CY29" s="5">
        <f t="shared" si="80"/>
        <v>84115.06550000001</v>
      </c>
      <c r="CZ29" s="5">
        <f t="shared" si="56"/>
        <v>3519.9915800000003</v>
      </c>
      <c r="DA29" s="5">
        <f t="shared" si="57"/>
        <v>87635.05708000001</v>
      </c>
      <c r="DB29" s="36">
        <f t="shared" si="58"/>
        <v>1575.0181822000002</v>
      </c>
      <c r="DC29" s="5"/>
      <c r="DD29" s="36">
        <f t="shared" si="81"/>
        <v>93302.25249999999</v>
      </c>
      <c r="DE29" s="36">
        <f t="shared" si="59"/>
        <v>3904.4509</v>
      </c>
      <c r="DF29" s="5">
        <f t="shared" si="60"/>
        <v>97206.70339999998</v>
      </c>
      <c r="DG29" s="36">
        <f t="shared" si="61"/>
        <v>1747.044281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.75">
      <c r="A30" s="37">
        <v>47392</v>
      </c>
      <c r="D30" s="3">
        <v>170300</v>
      </c>
      <c r="E30" s="35">
        <f t="shared" si="0"/>
        <v>170300</v>
      </c>
      <c r="F30" s="35">
        <v>145958</v>
      </c>
      <c r="H30" s="36"/>
      <c r="I30" s="36">
        <f>'Academic Project '!I30</f>
        <v>25667.956599999998</v>
      </c>
      <c r="J30" s="36">
        <f t="shared" si="1"/>
        <v>25667.956599999998</v>
      </c>
      <c r="K30" s="36">
        <f>'Academic Project '!K30</f>
        <v>21999.081675999998</v>
      </c>
      <c r="M30" s="36"/>
      <c r="N30" s="35">
        <f t="shared" si="2"/>
        <v>144632.0434</v>
      </c>
      <c r="O30" s="5">
        <f t="shared" si="3"/>
        <v>144632.0434</v>
      </c>
      <c r="P30" s="35">
        <f t="shared" si="4"/>
        <v>123958.91832399998</v>
      </c>
      <c r="R30" s="36"/>
      <c r="S30" s="36">
        <f t="shared" si="5"/>
        <v>6527.61603</v>
      </c>
      <c r="T30" s="5">
        <f t="shared" si="6"/>
        <v>6527.61603</v>
      </c>
      <c r="U30" s="36">
        <f t="shared" si="7"/>
        <v>5594.5847358</v>
      </c>
      <c r="X30" s="36">
        <f t="shared" si="8"/>
        <v>11828.305709999999</v>
      </c>
      <c r="Y30" s="36">
        <f t="shared" si="9"/>
        <v>11828.305709999999</v>
      </c>
      <c r="Z30" s="36">
        <f t="shared" si="10"/>
        <v>10137.6150606</v>
      </c>
      <c r="AC30" s="5">
        <f t="shared" si="11"/>
        <v>9530.85653</v>
      </c>
      <c r="AD30" s="5">
        <f t="shared" si="12"/>
        <v>9530.85653</v>
      </c>
      <c r="AE30" s="36">
        <f t="shared" si="13"/>
        <v>8168.554065799999</v>
      </c>
      <c r="AH30" s="5">
        <f t="shared" si="14"/>
        <v>11326.4827</v>
      </c>
      <c r="AI30" s="5">
        <f t="shared" si="15"/>
        <v>11326.4827</v>
      </c>
      <c r="AJ30" s="36">
        <f t="shared" si="16"/>
        <v>9707.520622</v>
      </c>
      <c r="AL30" s="36"/>
      <c r="AM30" s="36">
        <f t="shared" si="17"/>
        <v>676.53378</v>
      </c>
      <c r="AN30" s="5">
        <f t="shared" si="18"/>
        <v>676.53378</v>
      </c>
      <c r="AO30" s="36">
        <f t="shared" si="19"/>
        <v>579.8327508</v>
      </c>
      <c r="AQ30" s="36"/>
      <c r="AR30" s="36">
        <f t="shared" si="20"/>
        <v>60.899280000000005</v>
      </c>
      <c r="AS30" s="5">
        <f t="shared" si="21"/>
        <v>60.899280000000005</v>
      </c>
      <c r="AT30" s="36">
        <f t="shared" si="22"/>
        <v>52.194580800000004</v>
      </c>
      <c r="AU30" s="5"/>
      <c r="AV30" s="36"/>
      <c r="AW30" s="36">
        <f t="shared" si="23"/>
        <v>12460.10168</v>
      </c>
      <c r="AX30" s="5">
        <f t="shared" si="24"/>
        <v>12460.10168</v>
      </c>
      <c r="AY30" s="36">
        <f t="shared" si="25"/>
        <v>10679.1046448</v>
      </c>
      <c r="AZ30" s="5"/>
      <c r="BA30" s="36"/>
      <c r="BB30" s="36">
        <f t="shared" si="26"/>
        <v>0.44278</v>
      </c>
      <c r="BC30" s="5">
        <f t="shared" si="27"/>
        <v>0.44278</v>
      </c>
      <c r="BD30" s="36">
        <f t="shared" si="28"/>
        <v>0.3794908</v>
      </c>
      <c r="BE30" s="5"/>
      <c r="BF30" s="36"/>
      <c r="BG30" s="36">
        <f t="shared" si="29"/>
        <v>15915.386499999999</v>
      </c>
      <c r="BH30" s="5">
        <f t="shared" si="30"/>
        <v>15915.386499999999</v>
      </c>
      <c r="BI30" s="36">
        <f t="shared" si="31"/>
        <v>13640.50489</v>
      </c>
      <c r="BJ30" s="5"/>
      <c r="BK30" s="36"/>
      <c r="BL30" s="36">
        <f t="shared" si="32"/>
        <v>37.55115</v>
      </c>
      <c r="BM30" s="5">
        <f t="shared" si="33"/>
        <v>37.55115</v>
      </c>
      <c r="BN30" s="36">
        <f t="shared" si="34"/>
        <v>32.183738999999996</v>
      </c>
      <c r="BO30" s="5"/>
      <c r="BP30" s="36"/>
      <c r="BQ30" s="36">
        <f t="shared" si="35"/>
        <v>6673.42689</v>
      </c>
      <c r="BR30" s="5">
        <f t="shared" si="36"/>
        <v>6673.42689</v>
      </c>
      <c r="BS30" s="36">
        <f t="shared" si="37"/>
        <v>5719.5539754</v>
      </c>
      <c r="BT30" s="5"/>
      <c r="BU30" s="5"/>
      <c r="BV30" s="5">
        <f t="shared" si="38"/>
        <v>33.685340000000004</v>
      </c>
      <c r="BW30" s="5">
        <f t="shared" si="39"/>
        <v>33.685340000000004</v>
      </c>
      <c r="BX30" s="36">
        <f t="shared" si="40"/>
        <v>28.8704924</v>
      </c>
      <c r="BY30" s="5"/>
      <c r="BZ30" s="36"/>
      <c r="CA30" s="36">
        <f t="shared" si="41"/>
        <v>1309.70918</v>
      </c>
      <c r="CB30" s="5">
        <f t="shared" si="42"/>
        <v>1309.70918</v>
      </c>
      <c r="CC30" s="36">
        <f t="shared" si="43"/>
        <v>1122.5045948</v>
      </c>
      <c r="CD30" s="5"/>
      <c r="CE30" s="36"/>
      <c r="CF30" s="36">
        <f t="shared" si="44"/>
        <v>697.2592900000001</v>
      </c>
      <c r="CG30" s="5">
        <f t="shared" si="45"/>
        <v>697.2592900000001</v>
      </c>
      <c r="CH30" s="36">
        <f t="shared" si="46"/>
        <v>597.5958394</v>
      </c>
      <c r="CI30" s="5"/>
      <c r="CJ30" s="5"/>
      <c r="CK30" s="36">
        <f t="shared" si="47"/>
        <v>2272.04042</v>
      </c>
      <c r="CL30" s="36">
        <f t="shared" si="48"/>
        <v>2272.04042</v>
      </c>
      <c r="CM30" s="36">
        <f t="shared" si="49"/>
        <v>1947.2840612</v>
      </c>
      <c r="CN30" s="5"/>
      <c r="CO30" s="5"/>
      <c r="CP30" s="36">
        <f t="shared" si="50"/>
        <v>19999.640310000003</v>
      </c>
      <c r="CQ30" s="36">
        <f t="shared" si="51"/>
        <v>19999.640310000003</v>
      </c>
      <c r="CR30" s="36">
        <f t="shared" si="52"/>
        <v>17140.971816600002</v>
      </c>
      <c r="CS30" s="5"/>
      <c r="CT30" s="36"/>
      <c r="CU30" s="36">
        <f t="shared" si="53"/>
        <v>41406.00971</v>
      </c>
      <c r="CV30" s="5">
        <f t="shared" si="54"/>
        <v>41406.00971</v>
      </c>
      <c r="CW30" s="36">
        <f t="shared" si="55"/>
        <v>35487.600500600005</v>
      </c>
      <c r="CX30" s="5"/>
      <c r="CY30" s="5"/>
      <c r="CZ30" s="5">
        <f t="shared" si="56"/>
        <v>1837.69027</v>
      </c>
      <c r="DA30" s="5">
        <f t="shared" si="57"/>
        <v>1837.69027</v>
      </c>
      <c r="DB30" s="36">
        <f t="shared" si="58"/>
        <v>1575.0181822000002</v>
      </c>
      <c r="DC30" s="5"/>
      <c r="DD30" s="36"/>
      <c r="DE30" s="36">
        <f t="shared" si="59"/>
        <v>2038.4058499999999</v>
      </c>
      <c r="DF30" s="5">
        <f t="shared" si="60"/>
        <v>2038.4058499999999</v>
      </c>
      <c r="DG30" s="36">
        <f t="shared" si="61"/>
        <v>1747.044281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.75">
      <c r="A31" s="37">
        <v>11049</v>
      </c>
      <c r="C31" s="3">
        <v>0</v>
      </c>
      <c r="D31" s="3">
        <v>170300</v>
      </c>
      <c r="E31" s="35">
        <f t="shared" si="0"/>
        <v>170300</v>
      </c>
      <c r="F31" s="35">
        <v>145958</v>
      </c>
      <c r="H31" s="36">
        <f>'Academic Project '!H31</f>
        <v>0</v>
      </c>
      <c r="I31" s="36">
        <f>'Academic Project '!I31</f>
        <v>25667.956599999998</v>
      </c>
      <c r="J31" s="36">
        <f t="shared" si="1"/>
        <v>25667.956599999998</v>
      </c>
      <c r="K31" s="36">
        <f>'Academic Project '!K31</f>
        <v>21999.081675999998</v>
      </c>
      <c r="M31" s="36">
        <f t="shared" si="62"/>
        <v>0</v>
      </c>
      <c r="N31" s="35">
        <f t="shared" si="2"/>
        <v>144632.0434</v>
      </c>
      <c r="O31" s="5">
        <f t="shared" si="3"/>
        <v>144632.0434</v>
      </c>
      <c r="P31" s="35">
        <f t="shared" si="4"/>
        <v>123958.91832399998</v>
      </c>
      <c r="R31" s="36">
        <f t="shared" si="63"/>
        <v>0</v>
      </c>
      <c r="S31" s="36">
        <f t="shared" si="5"/>
        <v>6527.61603</v>
      </c>
      <c r="T31" s="5">
        <f t="shared" si="6"/>
        <v>6527.61603</v>
      </c>
      <c r="U31" s="36">
        <f t="shared" si="7"/>
        <v>5594.5847358</v>
      </c>
      <c r="W31" s="5">
        <f t="shared" si="64"/>
        <v>0</v>
      </c>
      <c r="X31" s="36">
        <f t="shared" si="8"/>
        <v>11828.305709999999</v>
      </c>
      <c r="Y31" s="36">
        <f t="shared" si="9"/>
        <v>11828.305709999999</v>
      </c>
      <c r="Z31" s="36">
        <f t="shared" si="10"/>
        <v>10137.6150606</v>
      </c>
      <c r="AB31" s="5">
        <f t="shared" si="65"/>
        <v>0</v>
      </c>
      <c r="AC31" s="5">
        <f t="shared" si="11"/>
        <v>9530.85653</v>
      </c>
      <c r="AD31" s="5">
        <f t="shared" si="12"/>
        <v>9530.85653</v>
      </c>
      <c r="AE31" s="36">
        <f t="shared" si="13"/>
        <v>8168.554065799999</v>
      </c>
      <c r="AG31" s="5">
        <f t="shared" si="66"/>
        <v>0</v>
      </c>
      <c r="AH31" s="5">
        <f t="shared" si="14"/>
        <v>11326.4827</v>
      </c>
      <c r="AI31" s="5">
        <f t="shared" si="15"/>
        <v>11326.4827</v>
      </c>
      <c r="AJ31" s="36">
        <f t="shared" si="16"/>
        <v>9707.520622</v>
      </c>
      <c r="AL31" s="36">
        <f t="shared" si="67"/>
        <v>0</v>
      </c>
      <c r="AM31" s="36">
        <f t="shared" si="17"/>
        <v>676.53378</v>
      </c>
      <c r="AN31" s="5">
        <f t="shared" si="18"/>
        <v>676.53378</v>
      </c>
      <c r="AO31" s="36">
        <f t="shared" si="19"/>
        <v>579.8327508</v>
      </c>
      <c r="AQ31" s="36">
        <f t="shared" si="68"/>
        <v>0</v>
      </c>
      <c r="AR31" s="36">
        <f t="shared" si="20"/>
        <v>60.899280000000005</v>
      </c>
      <c r="AS31" s="5">
        <f t="shared" si="21"/>
        <v>60.899280000000005</v>
      </c>
      <c r="AT31" s="36">
        <f t="shared" si="22"/>
        <v>52.194580800000004</v>
      </c>
      <c r="AU31" s="5"/>
      <c r="AV31" s="36">
        <f t="shared" si="69"/>
        <v>0</v>
      </c>
      <c r="AW31" s="36">
        <f t="shared" si="23"/>
        <v>12460.10168</v>
      </c>
      <c r="AX31" s="5">
        <f t="shared" si="24"/>
        <v>12460.10168</v>
      </c>
      <c r="AY31" s="36">
        <f t="shared" si="25"/>
        <v>10679.1046448</v>
      </c>
      <c r="AZ31" s="5"/>
      <c r="BA31" s="36">
        <f t="shared" si="70"/>
        <v>0</v>
      </c>
      <c r="BB31" s="36">
        <f t="shared" si="26"/>
        <v>0.44278</v>
      </c>
      <c r="BC31" s="5">
        <f t="shared" si="27"/>
        <v>0.44278</v>
      </c>
      <c r="BD31" s="36">
        <f t="shared" si="28"/>
        <v>0.3794908</v>
      </c>
      <c r="BE31" s="5"/>
      <c r="BF31" s="36">
        <f t="shared" si="71"/>
        <v>0</v>
      </c>
      <c r="BG31" s="36">
        <f t="shared" si="29"/>
        <v>15915.386499999999</v>
      </c>
      <c r="BH31" s="5">
        <f t="shared" si="30"/>
        <v>15915.386499999999</v>
      </c>
      <c r="BI31" s="36">
        <f t="shared" si="31"/>
        <v>13640.50489</v>
      </c>
      <c r="BJ31" s="5"/>
      <c r="BK31" s="36">
        <f t="shared" si="72"/>
        <v>0</v>
      </c>
      <c r="BL31" s="36">
        <f t="shared" si="32"/>
        <v>37.55115</v>
      </c>
      <c r="BM31" s="5">
        <f t="shared" si="33"/>
        <v>37.55115</v>
      </c>
      <c r="BN31" s="36">
        <f t="shared" si="34"/>
        <v>32.183738999999996</v>
      </c>
      <c r="BO31" s="5"/>
      <c r="BP31" s="36">
        <f t="shared" si="73"/>
        <v>0</v>
      </c>
      <c r="BQ31" s="36">
        <f t="shared" si="35"/>
        <v>6673.42689</v>
      </c>
      <c r="BR31" s="5">
        <f t="shared" si="36"/>
        <v>6673.42689</v>
      </c>
      <c r="BS31" s="36">
        <f t="shared" si="37"/>
        <v>5719.5539754</v>
      </c>
      <c r="BT31" s="5"/>
      <c r="BU31" s="5">
        <f t="shared" si="74"/>
        <v>0</v>
      </c>
      <c r="BV31" s="5">
        <f t="shared" si="38"/>
        <v>33.685340000000004</v>
      </c>
      <c r="BW31" s="5">
        <f t="shared" si="39"/>
        <v>33.685340000000004</v>
      </c>
      <c r="BX31" s="36">
        <f t="shared" si="40"/>
        <v>28.8704924</v>
      </c>
      <c r="BY31" s="5"/>
      <c r="BZ31" s="36">
        <f t="shared" si="75"/>
        <v>0</v>
      </c>
      <c r="CA31" s="36">
        <f t="shared" si="41"/>
        <v>1309.70918</v>
      </c>
      <c r="CB31" s="5">
        <f t="shared" si="42"/>
        <v>1309.70918</v>
      </c>
      <c r="CC31" s="36">
        <f t="shared" si="43"/>
        <v>1122.5045948</v>
      </c>
      <c r="CD31" s="5"/>
      <c r="CE31" s="36">
        <f t="shared" si="76"/>
        <v>0</v>
      </c>
      <c r="CF31" s="36">
        <f t="shared" si="44"/>
        <v>697.2592900000001</v>
      </c>
      <c r="CG31" s="5">
        <f t="shared" si="45"/>
        <v>697.2592900000001</v>
      </c>
      <c r="CH31" s="36">
        <f t="shared" si="46"/>
        <v>597.5958394</v>
      </c>
      <c r="CI31" s="5"/>
      <c r="CJ31" s="5">
        <f t="shared" si="77"/>
        <v>0</v>
      </c>
      <c r="CK31" s="36">
        <f t="shared" si="47"/>
        <v>2272.04042</v>
      </c>
      <c r="CL31" s="36">
        <f t="shared" si="48"/>
        <v>2272.04042</v>
      </c>
      <c r="CM31" s="36">
        <f t="shared" si="49"/>
        <v>1947.2840612</v>
      </c>
      <c r="CN31" s="5"/>
      <c r="CO31" s="5">
        <f t="shared" si="78"/>
        <v>0</v>
      </c>
      <c r="CP31" s="36">
        <f t="shared" si="50"/>
        <v>19999.640310000003</v>
      </c>
      <c r="CQ31" s="36">
        <f t="shared" si="51"/>
        <v>19999.640310000003</v>
      </c>
      <c r="CR31" s="36">
        <f t="shared" si="52"/>
        <v>17140.971816600002</v>
      </c>
      <c r="CS31" s="5"/>
      <c r="CT31" s="36">
        <f t="shared" si="79"/>
        <v>0</v>
      </c>
      <c r="CU31" s="36">
        <f t="shared" si="53"/>
        <v>41406.00971</v>
      </c>
      <c r="CV31" s="5">
        <f t="shared" si="54"/>
        <v>41406.00971</v>
      </c>
      <c r="CW31" s="36">
        <f t="shared" si="55"/>
        <v>35487.600500600005</v>
      </c>
      <c r="CX31" s="5"/>
      <c r="CY31" s="5">
        <f t="shared" si="80"/>
        <v>0</v>
      </c>
      <c r="CZ31" s="5">
        <f t="shared" si="56"/>
        <v>1837.69027</v>
      </c>
      <c r="DA31" s="5">
        <f t="shared" si="57"/>
        <v>1837.69027</v>
      </c>
      <c r="DB31" s="36">
        <f t="shared" si="58"/>
        <v>1575.0181822000002</v>
      </c>
      <c r="DC31" s="5"/>
      <c r="DD31" s="36">
        <f t="shared" si="81"/>
        <v>0</v>
      </c>
      <c r="DE31" s="36">
        <f t="shared" si="59"/>
        <v>2038.4058499999999</v>
      </c>
      <c r="DF31" s="5">
        <f t="shared" si="60"/>
        <v>2038.4058499999999</v>
      </c>
      <c r="DG31" s="36">
        <f t="shared" si="61"/>
        <v>1747.044281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ht="12.75">
      <c r="A32" s="37">
        <v>11232</v>
      </c>
      <c r="D32" s="3">
        <v>170300</v>
      </c>
      <c r="E32" s="35">
        <f t="shared" si="0"/>
        <v>170300</v>
      </c>
      <c r="F32" s="35">
        <v>145958</v>
      </c>
      <c r="H32" s="36"/>
      <c r="I32" s="36">
        <f>'Academic Project '!I32</f>
        <v>25667.956599999998</v>
      </c>
      <c r="J32" s="36">
        <f t="shared" si="1"/>
        <v>25667.956599999998</v>
      </c>
      <c r="K32" s="36">
        <f>'Academic Project '!K32</f>
        <v>21999.081675999998</v>
      </c>
      <c r="M32" s="36"/>
      <c r="N32" s="35">
        <f t="shared" si="2"/>
        <v>144632.0434</v>
      </c>
      <c r="O32" s="5">
        <f t="shared" si="3"/>
        <v>144632.0434</v>
      </c>
      <c r="P32" s="35">
        <f t="shared" si="4"/>
        <v>123958.91832399998</v>
      </c>
      <c r="R32" s="36"/>
      <c r="S32" s="36">
        <f t="shared" si="5"/>
        <v>6527.61603</v>
      </c>
      <c r="T32" s="5">
        <f t="shared" si="6"/>
        <v>6527.61603</v>
      </c>
      <c r="U32" s="36">
        <f t="shared" si="7"/>
        <v>5594.5847358</v>
      </c>
      <c r="X32" s="36">
        <f t="shared" si="8"/>
        <v>11828.305709999999</v>
      </c>
      <c r="Y32" s="36">
        <f t="shared" si="9"/>
        <v>11828.305709999999</v>
      </c>
      <c r="Z32" s="36">
        <f t="shared" si="10"/>
        <v>10137.6150606</v>
      </c>
      <c r="AC32" s="5">
        <f t="shared" si="11"/>
        <v>9530.85653</v>
      </c>
      <c r="AD32" s="5">
        <f t="shared" si="12"/>
        <v>9530.85653</v>
      </c>
      <c r="AE32" s="36">
        <f t="shared" si="13"/>
        <v>8168.554065799999</v>
      </c>
      <c r="AH32" s="5">
        <f t="shared" si="14"/>
        <v>11326.4827</v>
      </c>
      <c r="AI32" s="5">
        <f t="shared" si="15"/>
        <v>11326.4827</v>
      </c>
      <c r="AJ32" s="36">
        <f t="shared" si="16"/>
        <v>9707.520622</v>
      </c>
      <c r="AL32" s="36"/>
      <c r="AM32" s="36">
        <f t="shared" si="17"/>
        <v>676.53378</v>
      </c>
      <c r="AN32" s="5">
        <f t="shared" si="18"/>
        <v>676.53378</v>
      </c>
      <c r="AO32" s="36">
        <f t="shared" si="19"/>
        <v>579.8327508</v>
      </c>
      <c r="AQ32" s="36"/>
      <c r="AR32" s="36">
        <f t="shared" si="20"/>
        <v>60.899280000000005</v>
      </c>
      <c r="AS32" s="5">
        <f t="shared" si="21"/>
        <v>60.899280000000005</v>
      </c>
      <c r="AT32" s="36">
        <f t="shared" si="22"/>
        <v>52.194580800000004</v>
      </c>
      <c r="AU32" s="5"/>
      <c r="AV32" s="36"/>
      <c r="AW32" s="36">
        <f t="shared" si="23"/>
        <v>12460.10168</v>
      </c>
      <c r="AX32" s="5">
        <f t="shared" si="24"/>
        <v>12460.10168</v>
      </c>
      <c r="AY32" s="36">
        <f t="shared" si="25"/>
        <v>10679.1046448</v>
      </c>
      <c r="AZ32" s="5"/>
      <c r="BA32" s="36"/>
      <c r="BB32" s="36">
        <f t="shared" si="26"/>
        <v>0.44278</v>
      </c>
      <c r="BC32" s="5">
        <f t="shared" si="27"/>
        <v>0.44278</v>
      </c>
      <c r="BD32" s="36">
        <f t="shared" si="28"/>
        <v>0.3794908</v>
      </c>
      <c r="BE32" s="5"/>
      <c r="BF32" s="36"/>
      <c r="BG32" s="36">
        <f t="shared" si="29"/>
        <v>15915.386499999999</v>
      </c>
      <c r="BH32" s="5">
        <f t="shared" si="30"/>
        <v>15915.386499999999</v>
      </c>
      <c r="BI32" s="36">
        <f t="shared" si="31"/>
        <v>13640.50489</v>
      </c>
      <c r="BJ32" s="5"/>
      <c r="BK32" s="36"/>
      <c r="BL32" s="36">
        <f t="shared" si="32"/>
        <v>37.55115</v>
      </c>
      <c r="BM32" s="5">
        <f t="shared" si="33"/>
        <v>37.55115</v>
      </c>
      <c r="BN32" s="36">
        <f t="shared" si="34"/>
        <v>32.183738999999996</v>
      </c>
      <c r="BO32" s="5"/>
      <c r="BP32" s="36"/>
      <c r="BQ32" s="36">
        <f t="shared" si="35"/>
        <v>6673.42689</v>
      </c>
      <c r="BR32" s="5">
        <f t="shared" si="36"/>
        <v>6673.42689</v>
      </c>
      <c r="BS32" s="36">
        <f t="shared" si="37"/>
        <v>5719.5539754</v>
      </c>
      <c r="BT32" s="5"/>
      <c r="BU32" s="5"/>
      <c r="BV32" s="5">
        <f t="shared" si="38"/>
        <v>33.685340000000004</v>
      </c>
      <c r="BW32" s="5">
        <f t="shared" si="39"/>
        <v>33.685340000000004</v>
      </c>
      <c r="BX32" s="36">
        <f t="shared" si="40"/>
        <v>28.8704924</v>
      </c>
      <c r="BY32" s="5"/>
      <c r="BZ32" s="36"/>
      <c r="CA32" s="36">
        <f t="shared" si="41"/>
        <v>1309.70918</v>
      </c>
      <c r="CB32" s="5">
        <f t="shared" si="42"/>
        <v>1309.70918</v>
      </c>
      <c r="CC32" s="36">
        <f t="shared" si="43"/>
        <v>1122.5045948</v>
      </c>
      <c r="CD32" s="5"/>
      <c r="CE32" s="36"/>
      <c r="CF32" s="36">
        <f t="shared" si="44"/>
        <v>697.2592900000001</v>
      </c>
      <c r="CG32" s="5">
        <f t="shared" si="45"/>
        <v>697.2592900000001</v>
      </c>
      <c r="CH32" s="36">
        <f t="shared" si="46"/>
        <v>597.5958394</v>
      </c>
      <c r="CI32" s="5"/>
      <c r="CJ32" s="5"/>
      <c r="CK32" s="36">
        <f t="shared" si="47"/>
        <v>2272.04042</v>
      </c>
      <c r="CL32" s="36">
        <f t="shared" si="48"/>
        <v>2272.04042</v>
      </c>
      <c r="CM32" s="36">
        <f t="shared" si="49"/>
        <v>1947.2840612</v>
      </c>
      <c r="CN32" s="5"/>
      <c r="CO32" s="5"/>
      <c r="CP32" s="36">
        <f t="shared" si="50"/>
        <v>19999.640310000003</v>
      </c>
      <c r="CQ32" s="36">
        <f t="shared" si="51"/>
        <v>19999.640310000003</v>
      </c>
      <c r="CR32" s="36">
        <f t="shared" si="52"/>
        <v>17140.971816600002</v>
      </c>
      <c r="CS32" s="5"/>
      <c r="CT32" s="36"/>
      <c r="CU32" s="36">
        <f t="shared" si="53"/>
        <v>41406.00971</v>
      </c>
      <c r="CV32" s="5">
        <f t="shared" si="54"/>
        <v>41406.00971</v>
      </c>
      <c r="CW32" s="36">
        <f t="shared" si="55"/>
        <v>35487.600500600005</v>
      </c>
      <c r="CX32" s="5"/>
      <c r="CY32" s="5"/>
      <c r="CZ32" s="5">
        <f t="shared" si="56"/>
        <v>1837.69027</v>
      </c>
      <c r="DA32" s="5">
        <f t="shared" si="57"/>
        <v>1837.69027</v>
      </c>
      <c r="DB32" s="36">
        <f t="shared" si="58"/>
        <v>1575.0181822000002</v>
      </c>
      <c r="DC32" s="5"/>
      <c r="DD32" s="36"/>
      <c r="DE32" s="36">
        <f t="shared" si="59"/>
        <v>2038.4058499999999</v>
      </c>
      <c r="DF32" s="5">
        <f t="shared" si="60"/>
        <v>2038.4058499999999</v>
      </c>
      <c r="DG32" s="36">
        <f t="shared" si="61"/>
        <v>1747.044281</v>
      </c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2.75">
      <c r="A33" s="37">
        <v>11414</v>
      </c>
      <c r="C33" s="3">
        <v>8515000</v>
      </c>
      <c r="D33" s="3">
        <v>170300</v>
      </c>
      <c r="E33" s="35">
        <f t="shared" si="0"/>
        <v>8685300</v>
      </c>
      <c r="F33" s="35">
        <v>145958</v>
      </c>
      <c r="H33" s="36">
        <f>'Academic Project '!H33</f>
        <v>1283397.8299999998</v>
      </c>
      <c r="I33" s="36">
        <f>'Academic Project '!I33</f>
        <v>25667.956599999998</v>
      </c>
      <c r="J33" s="36">
        <f t="shared" si="1"/>
        <v>1309065.7865999998</v>
      </c>
      <c r="K33" s="36">
        <f>'Academic Project '!K33</f>
        <v>21999.081675999998</v>
      </c>
      <c r="M33" s="36">
        <f t="shared" si="62"/>
        <v>7231602.170000002</v>
      </c>
      <c r="N33" s="35">
        <f t="shared" si="2"/>
        <v>144632.0434</v>
      </c>
      <c r="O33" s="5">
        <f t="shared" si="3"/>
        <v>7376234.213400002</v>
      </c>
      <c r="P33" s="35">
        <f t="shared" si="4"/>
        <v>123958.91832399998</v>
      </c>
      <c r="R33" s="36">
        <f t="shared" si="63"/>
        <v>326380.8015</v>
      </c>
      <c r="S33" s="36">
        <f t="shared" si="5"/>
        <v>6527.61603</v>
      </c>
      <c r="T33" s="5">
        <f t="shared" si="6"/>
        <v>332908.41753</v>
      </c>
      <c r="U33" s="36">
        <f t="shared" si="7"/>
        <v>5594.5847358</v>
      </c>
      <c r="W33" s="5">
        <f t="shared" si="64"/>
        <v>591415.2855</v>
      </c>
      <c r="X33" s="36">
        <f t="shared" si="8"/>
        <v>11828.305709999999</v>
      </c>
      <c r="Y33" s="36">
        <f t="shared" si="9"/>
        <v>603243.59121</v>
      </c>
      <c r="Z33" s="36">
        <f t="shared" si="10"/>
        <v>10137.6150606</v>
      </c>
      <c r="AB33" s="5">
        <f t="shared" si="65"/>
        <v>476542.82649999997</v>
      </c>
      <c r="AC33" s="5">
        <f t="shared" si="11"/>
        <v>9530.85653</v>
      </c>
      <c r="AD33" s="5">
        <f t="shared" si="12"/>
        <v>486073.68302999996</v>
      </c>
      <c r="AE33" s="36">
        <f t="shared" si="13"/>
        <v>8168.554065799999</v>
      </c>
      <c r="AG33" s="5">
        <f t="shared" si="66"/>
        <v>566324.135</v>
      </c>
      <c r="AH33" s="5">
        <f t="shared" si="14"/>
        <v>11326.4827</v>
      </c>
      <c r="AI33" s="5">
        <f t="shared" si="15"/>
        <v>577650.6177000001</v>
      </c>
      <c r="AJ33" s="36">
        <f t="shared" si="16"/>
        <v>9707.520622</v>
      </c>
      <c r="AL33" s="36">
        <f t="shared" si="67"/>
        <v>33826.689</v>
      </c>
      <c r="AM33" s="36">
        <f t="shared" si="17"/>
        <v>676.53378</v>
      </c>
      <c r="AN33" s="5">
        <f t="shared" si="18"/>
        <v>34503.22278</v>
      </c>
      <c r="AO33" s="36">
        <f t="shared" si="19"/>
        <v>579.8327508</v>
      </c>
      <c r="AQ33" s="36">
        <f t="shared" si="68"/>
        <v>3044.964</v>
      </c>
      <c r="AR33" s="36">
        <f t="shared" si="20"/>
        <v>60.899280000000005</v>
      </c>
      <c r="AS33" s="5">
        <f t="shared" si="21"/>
        <v>3105.86328</v>
      </c>
      <c r="AT33" s="36">
        <f t="shared" si="22"/>
        <v>52.194580800000004</v>
      </c>
      <c r="AU33" s="5"/>
      <c r="AV33" s="36">
        <f t="shared" si="69"/>
        <v>623005.084</v>
      </c>
      <c r="AW33" s="36">
        <f t="shared" si="23"/>
        <v>12460.10168</v>
      </c>
      <c r="AX33" s="5">
        <f t="shared" si="24"/>
        <v>635465.18568</v>
      </c>
      <c r="AY33" s="36">
        <f t="shared" si="25"/>
        <v>10679.1046448</v>
      </c>
      <c r="AZ33" s="5"/>
      <c r="BA33" s="36">
        <f t="shared" si="70"/>
        <v>22.139</v>
      </c>
      <c r="BB33" s="36">
        <f t="shared" si="26"/>
        <v>0.44278</v>
      </c>
      <c r="BC33" s="5">
        <f t="shared" si="27"/>
        <v>22.58178</v>
      </c>
      <c r="BD33" s="36">
        <f t="shared" si="28"/>
        <v>0.3794908</v>
      </c>
      <c r="BE33" s="5"/>
      <c r="BF33" s="36">
        <f t="shared" si="71"/>
        <v>795769.325</v>
      </c>
      <c r="BG33" s="36">
        <f t="shared" si="29"/>
        <v>15915.386499999999</v>
      </c>
      <c r="BH33" s="5">
        <f t="shared" si="30"/>
        <v>811684.7115</v>
      </c>
      <c r="BI33" s="36">
        <f t="shared" si="31"/>
        <v>13640.50489</v>
      </c>
      <c r="BJ33" s="5"/>
      <c r="BK33" s="36">
        <f t="shared" si="72"/>
        <v>1877.5575</v>
      </c>
      <c r="BL33" s="36">
        <f t="shared" si="32"/>
        <v>37.55115</v>
      </c>
      <c r="BM33" s="5">
        <f t="shared" si="33"/>
        <v>1915.10865</v>
      </c>
      <c r="BN33" s="36">
        <f t="shared" si="34"/>
        <v>32.183738999999996</v>
      </c>
      <c r="BO33" s="5"/>
      <c r="BP33" s="36">
        <f t="shared" si="73"/>
        <v>333671.3445</v>
      </c>
      <c r="BQ33" s="36">
        <f t="shared" si="35"/>
        <v>6673.42689</v>
      </c>
      <c r="BR33" s="5">
        <f t="shared" si="36"/>
        <v>340344.77139</v>
      </c>
      <c r="BS33" s="36">
        <f t="shared" si="37"/>
        <v>5719.5539754</v>
      </c>
      <c r="BT33" s="5"/>
      <c r="BU33" s="5">
        <f t="shared" si="74"/>
        <v>1684.267</v>
      </c>
      <c r="BV33" s="5">
        <f t="shared" si="38"/>
        <v>33.685340000000004</v>
      </c>
      <c r="BW33" s="5">
        <f t="shared" si="39"/>
        <v>1717.95234</v>
      </c>
      <c r="BX33" s="36">
        <f t="shared" si="40"/>
        <v>28.8704924</v>
      </c>
      <c r="BY33" s="5"/>
      <c r="BZ33" s="36">
        <f t="shared" si="75"/>
        <v>65485.458999999995</v>
      </c>
      <c r="CA33" s="36">
        <f t="shared" si="41"/>
        <v>1309.70918</v>
      </c>
      <c r="CB33" s="5">
        <f t="shared" si="42"/>
        <v>66795.16818</v>
      </c>
      <c r="CC33" s="36">
        <f t="shared" si="43"/>
        <v>1122.5045948</v>
      </c>
      <c r="CD33" s="5"/>
      <c r="CE33" s="36">
        <f t="shared" si="76"/>
        <v>34862.9645</v>
      </c>
      <c r="CF33" s="36">
        <f t="shared" si="44"/>
        <v>697.2592900000001</v>
      </c>
      <c r="CG33" s="5">
        <f t="shared" si="45"/>
        <v>35560.223790000004</v>
      </c>
      <c r="CH33" s="36">
        <f t="shared" si="46"/>
        <v>597.5958394</v>
      </c>
      <c r="CI33" s="5"/>
      <c r="CJ33" s="5">
        <f t="shared" si="77"/>
        <v>113602.021</v>
      </c>
      <c r="CK33" s="36">
        <f t="shared" si="47"/>
        <v>2272.04042</v>
      </c>
      <c r="CL33" s="36">
        <f t="shared" si="48"/>
        <v>115874.06142</v>
      </c>
      <c r="CM33" s="36">
        <f t="shared" si="49"/>
        <v>1947.2840612</v>
      </c>
      <c r="CN33" s="5"/>
      <c r="CO33" s="5">
        <f t="shared" si="78"/>
        <v>999982.0155000001</v>
      </c>
      <c r="CP33" s="36">
        <f t="shared" si="50"/>
        <v>19999.640310000003</v>
      </c>
      <c r="CQ33" s="36">
        <f t="shared" si="51"/>
        <v>1019981.6558100001</v>
      </c>
      <c r="CR33" s="36">
        <f t="shared" si="52"/>
        <v>17140.971816600002</v>
      </c>
      <c r="CS33" s="5"/>
      <c r="CT33" s="36">
        <f t="shared" si="79"/>
        <v>2070300.4855000002</v>
      </c>
      <c r="CU33" s="36">
        <f t="shared" si="53"/>
        <v>41406.00971</v>
      </c>
      <c r="CV33" s="5">
        <f t="shared" si="54"/>
        <v>2111706.4952100003</v>
      </c>
      <c r="CW33" s="36">
        <f t="shared" si="55"/>
        <v>35487.600500600005</v>
      </c>
      <c r="CX33" s="5"/>
      <c r="CY33" s="5">
        <f t="shared" si="80"/>
        <v>91884.5135</v>
      </c>
      <c r="CZ33" s="5">
        <f t="shared" si="56"/>
        <v>1837.69027</v>
      </c>
      <c r="DA33" s="5">
        <f t="shared" si="57"/>
        <v>93722.20377000001</v>
      </c>
      <c r="DB33" s="36">
        <f t="shared" si="58"/>
        <v>1575.0181822000002</v>
      </c>
      <c r="DC33" s="5"/>
      <c r="DD33" s="36">
        <f t="shared" si="81"/>
        <v>101920.2925</v>
      </c>
      <c r="DE33" s="36">
        <f t="shared" si="59"/>
        <v>2038.4058499999999</v>
      </c>
      <c r="DF33" s="5">
        <f t="shared" si="60"/>
        <v>103958.69834999999</v>
      </c>
      <c r="DG33" s="36">
        <f t="shared" si="61"/>
        <v>1747.044281</v>
      </c>
      <c r="DH33" s="5"/>
      <c r="DI33" s="36"/>
      <c r="DJ33" s="36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2:131" ht="12.75">
      <c r="B34" s="34"/>
      <c r="C34" s="35"/>
      <c r="D34" s="35"/>
      <c r="E34" s="35"/>
      <c r="F34" s="35"/>
      <c r="H34" s="36"/>
      <c r="I34" s="36"/>
      <c r="J34" s="36"/>
      <c r="K34" s="35"/>
      <c r="M34" s="36"/>
      <c r="N34" s="35"/>
      <c r="O34" s="5"/>
      <c r="P34" s="35"/>
      <c r="R34" s="36"/>
      <c r="S34" s="36"/>
      <c r="T34" s="5"/>
      <c r="U34" s="35"/>
      <c r="X34" s="36"/>
      <c r="Y34" s="36"/>
      <c r="Z34" s="35"/>
      <c r="AE34" s="35"/>
      <c r="AJ34" s="35"/>
      <c r="AL34" s="36"/>
      <c r="AM34" s="36"/>
      <c r="AN34" s="5"/>
      <c r="AO34" s="35"/>
      <c r="AQ34" s="36"/>
      <c r="AR34" s="36"/>
      <c r="AS34" s="5"/>
      <c r="AT34" s="35"/>
      <c r="AU34" s="5"/>
      <c r="AV34" s="36"/>
      <c r="AW34" s="36"/>
      <c r="AX34" s="5"/>
      <c r="AY34" s="35"/>
      <c r="AZ34" s="5"/>
      <c r="BA34" s="36"/>
      <c r="BB34" s="36"/>
      <c r="BC34" s="5"/>
      <c r="BD34" s="35"/>
      <c r="BE34" s="5"/>
      <c r="BF34" s="36"/>
      <c r="BG34" s="36"/>
      <c r="BH34" s="5"/>
      <c r="BI34" s="35"/>
      <c r="BJ34" s="5"/>
      <c r="BK34" s="36"/>
      <c r="BL34" s="36"/>
      <c r="BM34" s="5"/>
      <c r="BN34" s="35"/>
      <c r="BO34" s="5"/>
      <c r="BP34" s="36"/>
      <c r="BQ34" s="36"/>
      <c r="BR34" s="5"/>
      <c r="BS34" s="35"/>
      <c r="BT34" s="5"/>
      <c r="BU34" s="5"/>
      <c r="BV34" s="5"/>
      <c r="BW34" s="5"/>
      <c r="BX34" s="35"/>
      <c r="BY34" s="5"/>
      <c r="BZ34" s="36"/>
      <c r="CA34" s="36"/>
      <c r="CB34" s="5"/>
      <c r="CC34" s="35"/>
      <c r="CD34" s="5"/>
      <c r="CE34" s="36"/>
      <c r="CF34" s="36"/>
      <c r="CG34" s="5"/>
      <c r="CH34" s="35"/>
      <c r="CI34" s="5"/>
      <c r="CJ34" s="5"/>
      <c r="CK34" s="36"/>
      <c r="CL34" s="36"/>
      <c r="CM34" s="35"/>
      <c r="CN34" s="5"/>
      <c r="CO34" s="5"/>
      <c r="CP34" s="36"/>
      <c r="CQ34" s="36"/>
      <c r="CR34" s="35"/>
      <c r="CS34" s="5"/>
      <c r="CT34" s="36"/>
      <c r="CU34" s="36"/>
      <c r="CV34" s="5"/>
      <c r="CW34" s="35"/>
      <c r="CX34" s="5"/>
      <c r="CY34" s="5"/>
      <c r="CZ34" s="5"/>
      <c r="DA34" s="5"/>
      <c r="DB34" s="35"/>
      <c r="DC34" s="5"/>
      <c r="DD34" s="36"/>
      <c r="DE34" s="36"/>
      <c r="DF34" s="5"/>
      <c r="DG34" s="35"/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ht="13.5" thickBot="1">
      <c r="A35" s="38" t="s">
        <v>16</v>
      </c>
      <c r="C35" s="39">
        <f>SUM(C8:C34)</f>
        <v>38120000</v>
      </c>
      <c r="D35" s="39">
        <f>SUM(D8:D34)</f>
        <v>10566650</v>
      </c>
      <c r="E35" s="39">
        <f>SUM(E8:E34)</f>
        <v>48686650</v>
      </c>
      <c r="F35" s="39">
        <f>SUM(F8:F34)</f>
        <v>3794908</v>
      </c>
      <c r="H35" s="39">
        <f>SUM(H8:H34)</f>
        <v>5745522.64</v>
      </c>
      <c r="I35" s="39">
        <f>SUM(I8:I34)</f>
        <v>1592626.6213</v>
      </c>
      <c r="J35" s="39">
        <f>SUM(J8:J34)</f>
        <v>7338149.261300001</v>
      </c>
      <c r="K35" s="39">
        <f>SUM(K8:K34)</f>
        <v>571976.1235759998</v>
      </c>
      <c r="M35" s="39">
        <f>SUM(M8:M34)</f>
        <v>32374477.36</v>
      </c>
      <c r="N35" s="39">
        <f>SUM(N8:N34)</f>
        <v>8974023.378700003</v>
      </c>
      <c r="O35" s="39">
        <f>SUM(O8:O34)</f>
        <v>41348500.73870001</v>
      </c>
      <c r="P35" s="39">
        <f>SUM(P8:P34)</f>
        <v>3222931.8764240015</v>
      </c>
      <c r="R35" s="39">
        <f>SUM(R8:R34)</f>
        <v>1461143.412</v>
      </c>
      <c r="S35" s="39">
        <f>SUM(S8:S34)</f>
        <v>405020.7511649998</v>
      </c>
      <c r="T35" s="39">
        <f>SUM(T8:T34)</f>
        <v>1866164.1631649998</v>
      </c>
      <c r="U35" s="39">
        <f>SUM(U8:U34)</f>
        <v>145459.20313080002</v>
      </c>
      <c r="W35" s="39">
        <f>SUM(W8:W34)</f>
        <v>2647651.284</v>
      </c>
      <c r="X35" s="39">
        <f>SUM(X8:X34)</f>
        <v>733914.0724050003</v>
      </c>
      <c r="Y35" s="39">
        <f>SUM(Y8:Y34)</f>
        <v>3381565.3564049993</v>
      </c>
      <c r="Z35" s="39">
        <f>SUM(Z8:Z34)</f>
        <v>263577.9915755998</v>
      </c>
      <c r="AB35" s="39">
        <f>SUM(AB8:AB34)</f>
        <v>2133389.6119999997</v>
      </c>
      <c r="AC35" s="39">
        <f>SUM(AC8:AC34)</f>
        <v>591363.623915</v>
      </c>
      <c r="AD35" s="39">
        <f>SUM(AD8:AD34)</f>
        <v>2724753.235914999</v>
      </c>
      <c r="AE35" s="39">
        <f>SUM(AE8:AE34)</f>
        <v>212382.40571080003</v>
      </c>
      <c r="AG35" s="39">
        <f>SUM(AG8:AG34)</f>
        <v>2535323.08</v>
      </c>
      <c r="AH35" s="39">
        <f>SUM(AH8:AH34)</f>
        <v>702777.3248500004</v>
      </c>
      <c r="AI35" s="39">
        <f>SUM(AI8:AI34)</f>
        <v>3238100.4048499987</v>
      </c>
      <c r="AJ35" s="39">
        <f>SUM(AJ8:AJ34)</f>
        <v>252395.5361720001</v>
      </c>
      <c r="AL35" s="39">
        <f>SUM(AL8:AL34)</f>
        <v>151435.512</v>
      </c>
      <c r="AM35" s="39">
        <f>SUM(AM8:AM34)</f>
        <v>41977.07378999998</v>
      </c>
      <c r="AN35" s="39">
        <f>SUM(AN8:AN34)</f>
        <v>193412.58579000004</v>
      </c>
      <c r="AO35" s="39">
        <f>SUM(AO8:AO34)</f>
        <v>15075.651520800004</v>
      </c>
      <c r="AQ35" s="39">
        <f>SUM(AQ8:AQ34)</f>
        <v>13631.712</v>
      </c>
      <c r="AR35" s="39">
        <f>SUM(AR8:AR34)</f>
        <v>3778.634040000001</v>
      </c>
      <c r="AS35" s="39">
        <f>SUM(AS8:AS34)</f>
        <v>17410.34604</v>
      </c>
      <c r="AT35" s="39">
        <f>SUM(AT8:AT34)</f>
        <v>1357.0591008000006</v>
      </c>
      <c r="AU35" s="5"/>
      <c r="AV35" s="39">
        <f>SUM(AV8:AV34)</f>
        <v>2789072.6720000003</v>
      </c>
      <c r="AW35" s="39">
        <f>SUM(AW8:AW34)</f>
        <v>773115.2872400002</v>
      </c>
      <c r="AX35" s="39">
        <f>SUM(AX8:AX34)</f>
        <v>3562187.959240001</v>
      </c>
      <c r="AY35" s="39">
        <f>SUM(AY8:AY34)</f>
        <v>277656.72076480015</v>
      </c>
      <c r="AZ35" s="5"/>
      <c r="BA35" s="39">
        <f>SUM(BA8:BA34)</f>
        <v>99.112</v>
      </c>
      <c r="BB35" s="39">
        <f>SUM(BB8:BB34)</f>
        <v>27.473290000000013</v>
      </c>
      <c r="BC35" s="39">
        <f>SUM(BC8:BC34)</f>
        <v>126.58528999999996</v>
      </c>
      <c r="BD35" s="39">
        <f>SUM(BD8:BD34)</f>
        <v>9.866760799999998</v>
      </c>
      <c r="BE35" s="5"/>
      <c r="BF35" s="39">
        <f>SUM(BF8:BF34)</f>
        <v>3562504.5999999996</v>
      </c>
      <c r="BG35" s="39">
        <f>SUM(BG8:BG34)</f>
        <v>987506.2757499996</v>
      </c>
      <c r="BH35" s="39">
        <f>SUM(BH8:BH34)</f>
        <v>4550010.8757500015</v>
      </c>
      <c r="BI35" s="39">
        <f>SUM(BI8:BI34)</f>
        <v>354653.12714</v>
      </c>
      <c r="BJ35" s="5"/>
      <c r="BK35" s="39">
        <f>SUM(BK8:BK34)</f>
        <v>8405.46</v>
      </c>
      <c r="BL35" s="39">
        <f>SUM(BL8:BL34)</f>
        <v>2329.946324999998</v>
      </c>
      <c r="BM35" s="39">
        <f>SUM(BM8:BM34)</f>
        <v>10735.406324999998</v>
      </c>
      <c r="BN35" s="39">
        <f>SUM(BN8:BN34)</f>
        <v>836.7772139999994</v>
      </c>
      <c r="BO35" s="5"/>
      <c r="BP35" s="39">
        <f>SUM(BP8:BP34)</f>
        <v>1493781.756</v>
      </c>
      <c r="BQ35" s="39">
        <f>SUM(BQ8:BQ34)</f>
        <v>414067.91689499986</v>
      </c>
      <c r="BR35" s="39">
        <f>SUM(BR8:BR34)</f>
        <v>1907849.6728949999</v>
      </c>
      <c r="BS35" s="39">
        <f>SUM(BS8:BS34)</f>
        <v>148708.40336040003</v>
      </c>
      <c r="BT35" s="5"/>
      <c r="BU35" s="39">
        <f>SUM(BU8:BU34)</f>
        <v>7540.136</v>
      </c>
      <c r="BV35" s="39">
        <f>SUM(BV8:BV34)</f>
        <v>2090.0833699999994</v>
      </c>
      <c r="BW35" s="39">
        <f>SUM(BW8:BW34)</f>
        <v>9630.21937</v>
      </c>
      <c r="BX35" s="39">
        <f>SUM(BX8:BX34)</f>
        <v>750.6328023999998</v>
      </c>
      <c r="BY35" s="5"/>
      <c r="BZ35" s="39">
        <f>SUM(BZ8:BZ34)</f>
        <v>293165.67199999996</v>
      </c>
      <c r="CA35" s="39">
        <f>SUM(CA8:CA34)</f>
        <v>81263.87849000005</v>
      </c>
      <c r="CB35" s="39">
        <f>SUM(CB8:CB34)</f>
        <v>374429.5504899999</v>
      </c>
      <c r="CC35" s="39">
        <f>SUM(CC8:CC34)</f>
        <v>29185.11946480001</v>
      </c>
      <c r="CD35" s="5"/>
      <c r="CE35" s="39">
        <f>SUM(CE8:CE34)</f>
        <v>156074.71600000001</v>
      </c>
      <c r="CF35" s="39">
        <f>SUM(CF8:CF34)</f>
        <v>43263.035095000014</v>
      </c>
      <c r="CG35" s="39">
        <f>SUM(CG8:CG34)</f>
        <v>199337.751095</v>
      </c>
      <c r="CH35" s="39">
        <f>SUM(CH8:CH34)</f>
        <v>15537.491824400011</v>
      </c>
      <c r="CI35" s="5"/>
      <c r="CJ35" s="39">
        <f>SUM(CJ8:CJ34)</f>
        <v>508574.168</v>
      </c>
      <c r="CK35" s="39">
        <f>SUM(CK8:CK34)</f>
        <v>140973.90431000004</v>
      </c>
      <c r="CL35" s="39">
        <f>SUM(CL8:CL34)</f>
        <v>649548.0723099997</v>
      </c>
      <c r="CM35" s="39">
        <f>SUM(CM8:CM34)</f>
        <v>50629.3855912</v>
      </c>
      <c r="CN35" s="5"/>
      <c r="CO35" s="39">
        <f>SUM(CO8:CO34)</f>
        <v>4476725.124</v>
      </c>
      <c r="CP35" s="39">
        <f>SUM(CP8:CP34)</f>
        <v>1240923.0727049992</v>
      </c>
      <c r="CQ35" s="39">
        <f>SUM(CQ8:CQ34)</f>
        <v>5717648.196705002</v>
      </c>
      <c r="CR35" s="39">
        <f>SUM(CR8:CR34)</f>
        <v>445665.2672316002</v>
      </c>
      <c r="CS35" s="5"/>
      <c r="CT35" s="39">
        <f>SUM(CT8:CT34)</f>
        <v>9268332.884</v>
      </c>
      <c r="CU35" s="39">
        <f>SUM(CU8:CU34)</f>
        <v>2569129.844405</v>
      </c>
      <c r="CV35" s="39">
        <f>SUM(CV8:CV34)</f>
        <v>11837462.728405003</v>
      </c>
      <c r="CW35" s="39">
        <f>SUM(CW8:CW34)</f>
        <v>922677.6130155995</v>
      </c>
      <c r="CX35" s="5"/>
      <c r="CY35" s="39">
        <f>SUM(CY8:CY34)</f>
        <v>411349.108</v>
      </c>
      <c r="CZ35" s="39">
        <f>SUM(CZ8:CZ34)</f>
        <v>114023.66348500003</v>
      </c>
      <c r="DA35" s="39">
        <f>SUM(DA8:DA34)</f>
        <v>525372.7714849998</v>
      </c>
      <c r="DB35" s="39">
        <f>SUM(DB8:DB34)</f>
        <v>40950.47273720002</v>
      </c>
      <c r="DC35" s="5"/>
      <c r="DD35" s="39">
        <f>SUM(DD8:DD34)</f>
        <v>456277.33999999997</v>
      </c>
      <c r="DE35" s="39">
        <f>SUM(DE8:DE34)</f>
        <v>126477.51717499996</v>
      </c>
      <c r="DF35" s="39">
        <f>SUM(DF8:DF34)</f>
        <v>582754.8571749999</v>
      </c>
      <c r="DG35" s="39">
        <f>SUM(DG8:DG34)</f>
        <v>45423.15130600001</v>
      </c>
      <c r="DH35" s="5"/>
      <c r="DI35" s="39">
        <f>SUM(DI8:DI34)</f>
        <v>0</v>
      </c>
      <c r="DJ35" s="39">
        <f>SUM(DJ8:DJ34)</f>
        <v>0</v>
      </c>
      <c r="DK35" s="39">
        <f>SUM(DK8:DK34)</f>
        <v>0</v>
      </c>
      <c r="DL35" s="3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8:131" ht="13.5" thickTop="1">
      <c r="R36" s="5"/>
      <c r="S36" s="5"/>
      <c r="T36" s="5"/>
      <c r="U36" s="5"/>
      <c r="AL36" s="5"/>
      <c r="AM36" s="5"/>
      <c r="AN36" s="5"/>
      <c r="AO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3:131" ht="12.75">
      <c r="C37" s="3">
        <f>H35+M35</f>
        <v>38120000</v>
      </c>
      <c r="D37" s="3">
        <f>I35+N35</f>
        <v>10566650.000000004</v>
      </c>
      <c r="E37" s="3">
        <f>J35+O35</f>
        <v>48686650.000000015</v>
      </c>
      <c r="F37" s="3">
        <f>K35+P35</f>
        <v>3794908.0000000014</v>
      </c>
      <c r="N37" s="5"/>
      <c r="R37" s="5"/>
      <c r="S37" s="5"/>
      <c r="T37" s="5"/>
      <c r="U37" s="5"/>
      <c r="AL37" s="5"/>
      <c r="AM37" s="5"/>
      <c r="AN37" s="5"/>
      <c r="AO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8:131" ht="12.75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8:131" ht="12.75"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8:131" ht="12.75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8:131" ht="12.75"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:131" ht="12.75">
      <c r="A42"/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ht="12.75">
      <c r="A43"/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ht="12.75">
      <c r="A44"/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:131" ht="12.75">
      <c r="A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ht="12.75">
      <c r="A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ht="12.75">
      <c r="A48"/>
      <c r="C48"/>
      <c r="D48"/>
      <c r="E48"/>
      <c r="F48"/>
      <c r="H48"/>
      <c r="I48"/>
      <c r="J48"/>
      <c r="K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ht="12.75">
      <c r="A49"/>
      <c r="C49"/>
      <c r="D49"/>
      <c r="E49"/>
      <c r="F49"/>
      <c r="G49"/>
      <c r="H49"/>
      <c r="I49"/>
      <c r="J49"/>
      <c r="K49"/>
      <c r="L49"/>
      <c r="Q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2.75">
      <c r="A50"/>
      <c r="C50"/>
      <c r="D50"/>
      <c r="E50"/>
      <c r="F50"/>
      <c r="G50"/>
      <c r="H50"/>
      <c r="I50"/>
      <c r="J50"/>
      <c r="K50"/>
      <c r="L50"/>
      <c r="Q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3:131" ht="12.75"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3:131" ht="12.75"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3:131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3:131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3:131" ht="12.75"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3:131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1:131" ht="12.75">
      <c r="A75"/>
      <c r="C75"/>
      <c r="D75"/>
      <c r="E75"/>
      <c r="F75"/>
      <c r="G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1:131" ht="12.75">
      <c r="A76"/>
      <c r="C76"/>
      <c r="D76"/>
      <c r="E76"/>
      <c r="F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1:131" ht="12.75">
      <c r="A77"/>
      <c r="C77"/>
      <c r="D77"/>
      <c r="E77"/>
      <c r="F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1:131" ht="12.75">
      <c r="A78"/>
      <c r="C78"/>
      <c r="D78"/>
      <c r="E78"/>
      <c r="F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1:131" ht="12.75">
      <c r="A79"/>
      <c r="C79"/>
      <c r="D79"/>
      <c r="E79"/>
      <c r="F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1:131" ht="12.75">
      <c r="A80"/>
      <c r="C80"/>
      <c r="D80"/>
      <c r="E80"/>
      <c r="F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1:131" ht="12.75">
      <c r="A81"/>
      <c r="C81"/>
      <c r="D81"/>
      <c r="E81"/>
      <c r="F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1:131" ht="12.75">
      <c r="A82"/>
      <c r="C82"/>
      <c r="D82"/>
      <c r="E82"/>
      <c r="F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1:131" ht="12.75">
      <c r="A83"/>
      <c r="C83"/>
      <c r="D83"/>
      <c r="E83"/>
      <c r="F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:131" ht="12.75">
      <c r="A84"/>
      <c r="C84"/>
      <c r="D84"/>
      <c r="E84"/>
      <c r="F84"/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:131" ht="12.75">
      <c r="A85"/>
      <c r="C85"/>
      <c r="D85"/>
      <c r="E85"/>
      <c r="F85"/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:131" ht="12.75">
      <c r="A86"/>
      <c r="C86"/>
      <c r="D86"/>
      <c r="E86"/>
      <c r="F86"/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:131" ht="12.75">
      <c r="A87"/>
      <c r="C87"/>
      <c r="D87"/>
      <c r="E87"/>
      <c r="F87"/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:131" ht="12.75">
      <c r="A88"/>
      <c r="C88"/>
      <c r="D88"/>
      <c r="E88"/>
      <c r="F88"/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:131" ht="12.75">
      <c r="A89"/>
      <c r="C89"/>
      <c r="D89"/>
      <c r="E89"/>
      <c r="F89"/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:131" ht="12.75">
      <c r="A90"/>
      <c r="C90"/>
      <c r="D90"/>
      <c r="E90"/>
      <c r="F90"/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:131" ht="12.75">
      <c r="A91"/>
      <c r="C91"/>
      <c r="D91"/>
      <c r="E91"/>
      <c r="F91"/>
      <c r="G91"/>
      <c r="H91"/>
      <c r="I91"/>
      <c r="J91"/>
      <c r="K91"/>
      <c r="L91"/>
      <c r="Q91"/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:131" ht="12.75">
      <c r="A92"/>
      <c r="C92"/>
      <c r="D92"/>
      <c r="E92"/>
      <c r="F92"/>
      <c r="G92"/>
      <c r="H92"/>
      <c r="I92"/>
      <c r="J92"/>
      <c r="K92"/>
      <c r="L92"/>
      <c r="Q92"/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:131" ht="12.75">
      <c r="A93"/>
      <c r="C93"/>
      <c r="D93"/>
      <c r="E93"/>
      <c r="F93"/>
      <c r="G93"/>
      <c r="H93"/>
      <c r="I93"/>
      <c r="J93"/>
      <c r="K93"/>
      <c r="L93"/>
      <c r="Q93"/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:131" ht="12.75">
      <c r="A94"/>
      <c r="C94"/>
      <c r="D94"/>
      <c r="E94"/>
      <c r="F94"/>
      <c r="G94"/>
      <c r="H94"/>
      <c r="I94"/>
      <c r="J94"/>
      <c r="K94"/>
      <c r="L94"/>
      <c r="Q94"/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:131" ht="12.75">
      <c r="A95"/>
      <c r="C95"/>
      <c r="D95"/>
      <c r="E95"/>
      <c r="F95"/>
      <c r="G95"/>
      <c r="H95"/>
      <c r="I95"/>
      <c r="J95"/>
      <c r="K95"/>
      <c r="L95"/>
      <c r="Q95"/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:131" ht="12.75">
      <c r="A96"/>
      <c r="C96"/>
      <c r="D96"/>
      <c r="E96"/>
      <c r="F96"/>
      <c r="G96"/>
      <c r="H96"/>
      <c r="I96"/>
      <c r="J96"/>
      <c r="K96"/>
      <c r="L96"/>
      <c r="Q96"/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:131" ht="12.75">
      <c r="A97"/>
      <c r="C97"/>
      <c r="D97"/>
      <c r="E97"/>
      <c r="F97"/>
      <c r="G97"/>
      <c r="H97"/>
      <c r="I97"/>
      <c r="J97"/>
      <c r="K97"/>
      <c r="L97"/>
      <c r="Q97"/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:131" ht="12.75">
      <c r="A98"/>
      <c r="C98"/>
      <c r="D98"/>
      <c r="E98"/>
      <c r="F98"/>
      <c r="G98"/>
      <c r="H98"/>
      <c r="I98"/>
      <c r="J98"/>
      <c r="K98"/>
      <c r="L98"/>
      <c r="Q98"/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:131" ht="12.75">
      <c r="A99"/>
      <c r="C99"/>
      <c r="D99"/>
      <c r="E99"/>
      <c r="F99"/>
      <c r="G99"/>
      <c r="H99"/>
      <c r="I99"/>
      <c r="J99"/>
      <c r="K99"/>
      <c r="L99"/>
      <c r="Q99"/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:131" ht="12.75">
      <c r="A100"/>
      <c r="C100"/>
      <c r="D100"/>
      <c r="E100"/>
      <c r="F100"/>
      <c r="G100"/>
      <c r="H100"/>
      <c r="I100"/>
      <c r="J100"/>
      <c r="K100"/>
      <c r="L100"/>
      <c r="Q100"/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:131" ht="12.75">
      <c r="A101"/>
      <c r="C101"/>
      <c r="D101"/>
      <c r="E101"/>
      <c r="F101"/>
      <c r="G101"/>
      <c r="H101"/>
      <c r="I101"/>
      <c r="J101"/>
      <c r="K101"/>
      <c r="L101"/>
      <c r="Q101"/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:131" ht="12.75">
      <c r="A102"/>
      <c r="C102"/>
      <c r="D102"/>
      <c r="E102"/>
      <c r="F102"/>
      <c r="G102"/>
      <c r="H102"/>
      <c r="I102"/>
      <c r="J102"/>
      <c r="K102"/>
      <c r="L102"/>
      <c r="Q102"/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:131" ht="12.75">
      <c r="A103"/>
      <c r="C103"/>
      <c r="D103"/>
      <c r="E103"/>
      <c r="F103"/>
      <c r="G103"/>
      <c r="H103"/>
      <c r="I103"/>
      <c r="J103"/>
      <c r="K103"/>
      <c r="L103"/>
      <c r="Q103"/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:131" ht="12.75">
      <c r="A104"/>
      <c r="C104"/>
      <c r="D104"/>
      <c r="E104"/>
      <c r="F104"/>
      <c r="G104"/>
      <c r="H104"/>
      <c r="I104"/>
      <c r="J104"/>
      <c r="K104"/>
      <c r="L104"/>
      <c r="Q104"/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:131" ht="12.75">
      <c r="A105"/>
      <c r="C105"/>
      <c r="D105"/>
      <c r="E105"/>
      <c r="F105"/>
      <c r="G105"/>
      <c r="H105"/>
      <c r="I105"/>
      <c r="J105"/>
      <c r="K105"/>
      <c r="L105"/>
      <c r="Q105"/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:131" ht="12.75">
      <c r="A106"/>
      <c r="C106"/>
      <c r="D106"/>
      <c r="E106"/>
      <c r="F106"/>
      <c r="G106"/>
      <c r="H106"/>
      <c r="I106"/>
      <c r="J106"/>
      <c r="K106"/>
      <c r="L106"/>
      <c r="Q106"/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:131" ht="12.75">
      <c r="A107"/>
      <c r="C107"/>
      <c r="D107"/>
      <c r="E107"/>
      <c r="F107"/>
      <c r="G107"/>
      <c r="H107"/>
      <c r="I107"/>
      <c r="J107"/>
      <c r="K107"/>
      <c r="L107"/>
      <c r="Q107"/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:131" ht="12.75">
      <c r="A108"/>
      <c r="C108"/>
      <c r="D108"/>
      <c r="E108"/>
      <c r="F108"/>
      <c r="G108"/>
      <c r="H108"/>
      <c r="I108"/>
      <c r="J108"/>
      <c r="K108"/>
      <c r="L108"/>
      <c r="Q108"/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:131" ht="12.75">
      <c r="A109"/>
      <c r="C109"/>
      <c r="D109"/>
      <c r="E109"/>
      <c r="F109"/>
      <c r="G109"/>
      <c r="H109"/>
      <c r="I109"/>
      <c r="J109"/>
      <c r="K109"/>
      <c r="L109"/>
      <c r="Q109"/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:131" ht="12.75">
      <c r="A110"/>
      <c r="C110"/>
      <c r="D110"/>
      <c r="E110"/>
      <c r="F110"/>
      <c r="G110"/>
      <c r="H110"/>
      <c r="I110"/>
      <c r="J110"/>
      <c r="K110"/>
      <c r="L110"/>
      <c r="Q110"/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:131" ht="12.75">
      <c r="A111"/>
      <c r="C111"/>
      <c r="D111"/>
      <c r="E111"/>
      <c r="F111"/>
      <c r="G111"/>
      <c r="H111"/>
      <c r="I111"/>
      <c r="J111"/>
      <c r="K111"/>
      <c r="L111"/>
      <c r="Q111"/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:131" ht="12.75">
      <c r="A112"/>
      <c r="C112"/>
      <c r="D112"/>
      <c r="E112"/>
      <c r="F112"/>
      <c r="G112"/>
      <c r="H112"/>
      <c r="I112"/>
      <c r="J112"/>
      <c r="K112"/>
      <c r="L112"/>
      <c r="Q112"/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:131" ht="12.75">
      <c r="A113"/>
      <c r="C113"/>
      <c r="D113"/>
      <c r="E113"/>
      <c r="F113"/>
      <c r="G113"/>
      <c r="H113"/>
      <c r="I113"/>
      <c r="J113"/>
      <c r="K113"/>
      <c r="L113"/>
      <c r="Q113"/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:131" ht="12.75">
      <c r="A114"/>
      <c r="C114"/>
      <c r="D114"/>
      <c r="E114"/>
      <c r="F114"/>
      <c r="G114"/>
      <c r="H114"/>
      <c r="I114"/>
      <c r="J114"/>
      <c r="K114"/>
      <c r="L114"/>
      <c r="Q114"/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:131" ht="12.75">
      <c r="A115"/>
      <c r="C115"/>
      <c r="D115"/>
      <c r="E115"/>
      <c r="F115"/>
      <c r="G115"/>
      <c r="H115"/>
      <c r="I115"/>
      <c r="J115"/>
      <c r="K115"/>
      <c r="L115"/>
      <c r="Q115"/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:131" ht="12.75">
      <c r="A116"/>
      <c r="C116"/>
      <c r="D116"/>
      <c r="E116"/>
      <c r="F116"/>
      <c r="G116"/>
      <c r="H116"/>
      <c r="I116"/>
      <c r="J116"/>
      <c r="K116"/>
      <c r="L116"/>
      <c r="Q116"/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:131" ht="12.75">
      <c r="A117"/>
      <c r="C117"/>
      <c r="D117"/>
      <c r="E117"/>
      <c r="F117"/>
      <c r="G117"/>
      <c r="H117"/>
      <c r="I117"/>
      <c r="J117"/>
      <c r="K117"/>
      <c r="L117"/>
      <c r="Q117"/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:131" ht="12.75">
      <c r="A118"/>
      <c r="C118"/>
      <c r="D118"/>
      <c r="E118"/>
      <c r="F118"/>
      <c r="G118"/>
      <c r="H118"/>
      <c r="I118"/>
      <c r="J118"/>
      <c r="K118"/>
      <c r="L118"/>
      <c r="Q118"/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:131" ht="12.75">
      <c r="A119"/>
      <c r="C119"/>
      <c r="D119"/>
      <c r="E119"/>
      <c r="F119"/>
      <c r="G119"/>
      <c r="H119"/>
      <c r="I119"/>
      <c r="J119"/>
      <c r="K119"/>
      <c r="L119"/>
      <c r="Q119"/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:131" ht="12.75">
      <c r="A120"/>
      <c r="C120"/>
      <c r="D120"/>
      <c r="E120"/>
      <c r="F120"/>
      <c r="G120"/>
      <c r="H120"/>
      <c r="I120"/>
      <c r="J120"/>
      <c r="K120"/>
      <c r="L120"/>
      <c r="Q120"/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:131" ht="12.75">
      <c r="A121"/>
      <c r="C121"/>
      <c r="D121"/>
      <c r="E121"/>
      <c r="F121"/>
      <c r="G121"/>
      <c r="H121"/>
      <c r="I121"/>
      <c r="J121"/>
      <c r="K121"/>
      <c r="L121"/>
      <c r="Q121"/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:131" ht="12.75">
      <c r="A122"/>
      <c r="C122"/>
      <c r="D122"/>
      <c r="E122"/>
      <c r="F122"/>
      <c r="G122"/>
      <c r="H122"/>
      <c r="I122"/>
      <c r="J122"/>
      <c r="K122"/>
      <c r="L122"/>
      <c r="Q122"/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:131" ht="12.75">
      <c r="A123"/>
      <c r="C123"/>
      <c r="D123"/>
      <c r="E123"/>
      <c r="F123"/>
      <c r="G123"/>
      <c r="H123"/>
      <c r="I123"/>
      <c r="J123"/>
      <c r="K123"/>
      <c r="L123"/>
      <c r="Q123"/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:131" ht="12.75">
      <c r="A124"/>
      <c r="C124"/>
      <c r="D124"/>
      <c r="E124"/>
      <c r="F124"/>
      <c r="G124"/>
      <c r="H124"/>
      <c r="I124"/>
      <c r="J124"/>
      <c r="K124"/>
      <c r="L124"/>
      <c r="Q124"/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:131" ht="12.75">
      <c r="A125"/>
      <c r="C125"/>
      <c r="D125"/>
      <c r="E125"/>
      <c r="F125"/>
      <c r="G125"/>
      <c r="H125"/>
      <c r="I125"/>
      <c r="J125"/>
      <c r="K125"/>
      <c r="L125"/>
      <c r="Q125"/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:131" ht="12.75">
      <c r="A126"/>
      <c r="C126"/>
      <c r="D126"/>
      <c r="E126"/>
      <c r="F126"/>
      <c r="G126"/>
      <c r="H126"/>
      <c r="I126"/>
      <c r="J126"/>
      <c r="K126"/>
      <c r="L126"/>
      <c r="Q126"/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:131" ht="12.75">
      <c r="A127"/>
      <c r="C127"/>
      <c r="D127"/>
      <c r="E127"/>
      <c r="F127"/>
      <c r="G127"/>
      <c r="H127"/>
      <c r="I127"/>
      <c r="J127"/>
      <c r="K127"/>
      <c r="L127"/>
      <c r="Q127"/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:131" ht="12.75">
      <c r="A128"/>
      <c r="C128"/>
      <c r="D128"/>
      <c r="E128"/>
      <c r="F128"/>
      <c r="G128"/>
      <c r="H128"/>
      <c r="I128"/>
      <c r="J128"/>
      <c r="K128"/>
      <c r="L128"/>
      <c r="Q128"/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:131" ht="12.75">
      <c r="A129"/>
      <c r="C129"/>
      <c r="D129"/>
      <c r="E129"/>
      <c r="F129"/>
      <c r="G129"/>
      <c r="H129"/>
      <c r="I129"/>
      <c r="J129"/>
      <c r="K129"/>
      <c r="L129"/>
      <c r="Q129"/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:131" ht="12.75">
      <c r="A130"/>
      <c r="C130"/>
      <c r="D130"/>
      <c r="E130"/>
      <c r="F130"/>
      <c r="G130"/>
      <c r="H130"/>
      <c r="I130"/>
      <c r="J130"/>
      <c r="K130"/>
      <c r="L130"/>
      <c r="Q130"/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:131" ht="12.75">
      <c r="A131"/>
      <c r="C131"/>
      <c r="D131"/>
      <c r="E131"/>
      <c r="F131"/>
      <c r="G131"/>
      <c r="H131"/>
      <c r="I131"/>
      <c r="J131"/>
      <c r="K131"/>
      <c r="L131"/>
      <c r="Q131"/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:131" ht="12.75">
      <c r="A132"/>
      <c r="C132"/>
      <c r="D132"/>
      <c r="E132"/>
      <c r="F132"/>
      <c r="G132"/>
      <c r="H132"/>
      <c r="I132"/>
      <c r="J132"/>
      <c r="K132"/>
      <c r="L132"/>
      <c r="Q132"/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:131" ht="12.75">
      <c r="A133"/>
      <c r="C133"/>
      <c r="D133"/>
      <c r="E133"/>
      <c r="F133"/>
      <c r="G133"/>
      <c r="H133"/>
      <c r="I133"/>
      <c r="J133"/>
      <c r="K133"/>
      <c r="L133"/>
      <c r="Q133"/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:131" ht="12.75">
      <c r="A134"/>
      <c r="C134"/>
      <c r="D134"/>
      <c r="E134"/>
      <c r="F134"/>
      <c r="G134"/>
      <c r="H134"/>
      <c r="I134"/>
      <c r="J134"/>
      <c r="K134"/>
      <c r="L134"/>
      <c r="Q134"/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:131" ht="12.75">
      <c r="A135"/>
      <c r="C135"/>
      <c r="D135"/>
      <c r="E135"/>
      <c r="F135"/>
      <c r="G135"/>
      <c r="H135"/>
      <c r="I135"/>
      <c r="J135"/>
      <c r="K135"/>
      <c r="L135"/>
      <c r="Q135"/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:131" ht="12.75">
      <c r="A136"/>
      <c r="C136"/>
      <c r="D136"/>
      <c r="E136"/>
      <c r="F136"/>
      <c r="G136"/>
      <c r="H136"/>
      <c r="I136"/>
      <c r="J136"/>
      <c r="K136"/>
      <c r="L136"/>
      <c r="Q136"/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:131" ht="12.75">
      <c r="A137"/>
      <c r="C137"/>
      <c r="D137"/>
      <c r="E137"/>
      <c r="F137"/>
      <c r="G137"/>
      <c r="H137"/>
      <c r="I137"/>
      <c r="J137"/>
      <c r="K137"/>
      <c r="L137"/>
      <c r="Q137"/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:131" ht="12.75">
      <c r="A138"/>
      <c r="C138"/>
      <c r="D138"/>
      <c r="E138"/>
      <c r="F138"/>
      <c r="G138"/>
      <c r="H138"/>
      <c r="I138"/>
      <c r="J138"/>
      <c r="K138"/>
      <c r="L138"/>
      <c r="Q138"/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:131" ht="12.75">
      <c r="A139"/>
      <c r="C139"/>
      <c r="D139"/>
      <c r="E139"/>
      <c r="F139"/>
      <c r="G139"/>
      <c r="H139"/>
      <c r="I139"/>
      <c r="J139"/>
      <c r="K139"/>
      <c r="L139"/>
      <c r="Q139"/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:131" ht="12.75">
      <c r="A140"/>
      <c r="C140"/>
      <c r="D140"/>
      <c r="E140"/>
      <c r="F140"/>
      <c r="G140"/>
      <c r="H140"/>
      <c r="I140"/>
      <c r="J140"/>
      <c r="K140"/>
      <c r="L140"/>
      <c r="Q140"/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:131" ht="12.75">
      <c r="A141"/>
      <c r="C141"/>
      <c r="D141"/>
      <c r="E141"/>
      <c r="F141"/>
      <c r="G141"/>
      <c r="H141"/>
      <c r="I141"/>
      <c r="J141"/>
      <c r="K141"/>
      <c r="L141"/>
      <c r="Q141"/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:131" ht="12.75">
      <c r="A142"/>
      <c r="C142"/>
      <c r="D142"/>
      <c r="E142"/>
      <c r="F142"/>
      <c r="G142"/>
      <c r="H142"/>
      <c r="I142"/>
      <c r="J142"/>
      <c r="K142"/>
      <c r="L142"/>
      <c r="Q142"/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:131" ht="12.75">
      <c r="A143"/>
      <c r="C143"/>
      <c r="D143"/>
      <c r="E143"/>
      <c r="F143"/>
      <c r="G143"/>
      <c r="H143"/>
      <c r="I143"/>
      <c r="J143"/>
      <c r="K143"/>
      <c r="L143"/>
      <c r="Q143"/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:131" ht="12.75">
      <c r="A144"/>
      <c r="C144"/>
      <c r="D144"/>
      <c r="E144"/>
      <c r="F144"/>
      <c r="G144"/>
      <c r="H144"/>
      <c r="I144"/>
      <c r="J144"/>
      <c r="K144"/>
      <c r="L144"/>
      <c r="Q144"/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:131" ht="12.75">
      <c r="A145"/>
      <c r="C145"/>
      <c r="D145"/>
      <c r="E145"/>
      <c r="F145"/>
      <c r="G145"/>
      <c r="H145"/>
      <c r="I145"/>
      <c r="J145"/>
      <c r="K145"/>
      <c r="L145"/>
      <c r="Q145"/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:131" ht="12.75">
      <c r="A146"/>
      <c r="C146"/>
      <c r="D146"/>
      <c r="E146"/>
      <c r="F146"/>
      <c r="G146"/>
      <c r="H146"/>
      <c r="I146"/>
      <c r="J146"/>
      <c r="K146"/>
      <c r="L146"/>
      <c r="Q146"/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:131" ht="12.75">
      <c r="A147"/>
      <c r="C147"/>
      <c r="D147"/>
      <c r="E147"/>
      <c r="F147"/>
      <c r="G147"/>
      <c r="H147"/>
      <c r="I147"/>
      <c r="J147"/>
      <c r="K147"/>
      <c r="L147"/>
      <c r="Q147"/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:131" ht="12.75">
      <c r="A148"/>
      <c r="C148"/>
      <c r="D148"/>
      <c r="E148"/>
      <c r="F148"/>
      <c r="G148"/>
      <c r="H148"/>
      <c r="I148"/>
      <c r="J148"/>
      <c r="K148"/>
      <c r="L148"/>
      <c r="Q148"/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:131" ht="12.75">
      <c r="A149"/>
      <c r="C149"/>
      <c r="D149"/>
      <c r="E149"/>
      <c r="F149"/>
      <c r="G149"/>
      <c r="H149"/>
      <c r="I149"/>
      <c r="J149"/>
      <c r="K149"/>
      <c r="L149"/>
      <c r="Q149"/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:131" ht="12.75">
      <c r="A150"/>
      <c r="C150"/>
      <c r="D150"/>
      <c r="E150"/>
      <c r="F150"/>
      <c r="G150"/>
      <c r="H150"/>
      <c r="I150"/>
      <c r="J150"/>
      <c r="K150"/>
      <c r="L150"/>
      <c r="Q150"/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:131" ht="12.75">
      <c r="A151"/>
      <c r="C151"/>
      <c r="D151"/>
      <c r="E151"/>
      <c r="F151"/>
      <c r="G151"/>
      <c r="H151"/>
      <c r="I151"/>
      <c r="J151"/>
      <c r="K151"/>
      <c r="L151"/>
      <c r="Q151"/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:131" ht="12.75">
      <c r="A152"/>
      <c r="C152"/>
      <c r="D152"/>
      <c r="E152"/>
      <c r="F152"/>
      <c r="G152"/>
      <c r="H152"/>
      <c r="I152"/>
      <c r="J152"/>
      <c r="K152"/>
      <c r="L152"/>
      <c r="Q152"/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:131" ht="12.75">
      <c r="A153"/>
      <c r="C153"/>
      <c r="D153"/>
      <c r="E153"/>
      <c r="F153"/>
      <c r="G153"/>
      <c r="H153"/>
      <c r="I153"/>
      <c r="J153"/>
      <c r="K153"/>
      <c r="L153"/>
      <c r="Q153"/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:131" ht="12.75">
      <c r="A154"/>
      <c r="C154"/>
      <c r="D154"/>
      <c r="E154"/>
      <c r="F154"/>
      <c r="G154"/>
      <c r="H154"/>
      <c r="I154"/>
      <c r="J154"/>
      <c r="K154"/>
      <c r="L154"/>
      <c r="Q154"/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:131" ht="12.75">
      <c r="A155"/>
      <c r="C155"/>
      <c r="D155"/>
      <c r="E155"/>
      <c r="F155"/>
      <c r="G155"/>
      <c r="H155"/>
      <c r="I155"/>
      <c r="J155"/>
      <c r="K155"/>
      <c r="L155"/>
      <c r="Q155"/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:131" ht="12.75">
      <c r="A156"/>
      <c r="C156"/>
      <c r="D156"/>
      <c r="E156"/>
      <c r="F156"/>
      <c r="G156"/>
      <c r="H156"/>
      <c r="I156"/>
      <c r="J156"/>
      <c r="K156"/>
      <c r="L156"/>
      <c r="Q156"/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:131" ht="12.75">
      <c r="A157"/>
      <c r="C157"/>
      <c r="D157"/>
      <c r="E157"/>
      <c r="F157"/>
      <c r="G157"/>
      <c r="H157"/>
      <c r="I157"/>
      <c r="J157"/>
      <c r="K157"/>
      <c r="L157"/>
      <c r="Q157"/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:131" ht="12.75">
      <c r="A158"/>
      <c r="C158"/>
      <c r="D158"/>
      <c r="E158"/>
      <c r="F158"/>
      <c r="G158"/>
      <c r="H158"/>
      <c r="I158"/>
      <c r="J158"/>
      <c r="K158"/>
      <c r="L158"/>
      <c r="Q158"/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:131" ht="12.75">
      <c r="A159"/>
      <c r="C159"/>
      <c r="D159"/>
      <c r="E159"/>
      <c r="F159"/>
      <c r="G159"/>
      <c r="H159"/>
      <c r="I159"/>
      <c r="J159"/>
      <c r="K159"/>
      <c r="L159"/>
      <c r="Q159"/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:131" ht="12.75">
      <c r="A160"/>
      <c r="C160"/>
      <c r="D160"/>
      <c r="E160"/>
      <c r="F160"/>
      <c r="G160"/>
      <c r="H160"/>
      <c r="I160"/>
      <c r="J160"/>
      <c r="K160"/>
      <c r="L160"/>
      <c r="Q160"/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:131" ht="12.75">
      <c r="A161"/>
      <c r="C161"/>
      <c r="D161"/>
      <c r="E161"/>
      <c r="F161"/>
      <c r="G161"/>
      <c r="H161"/>
      <c r="I161"/>
      <c r="J161"/>
      <c r="K161"/>
      <c r="L161"/>
      <c r="Q161"/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:131" ht="12.75">
      <c r="A162"/>
      <c r="C162"/>
      <c r="D162"/>
      <c r="E162"/>
      <c r="F162"/>
      <c r="G162"/>
      <c r="H162"/>
      <c r="I162"/>
      <c r="J162"/>
      <c r="K162"/>
      <c r="L162"/>
      <c r="Q162"/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:131" ht="12.75">
      <c r="A163"/>
      <c r="C163"/>
      <c r="D163"/>
      <c r="E163"/>
      <c r="F163"/>
      <c r="G163"/>
      <c r="H163"/>
      <c r="I163"/>
      <c r="J163"/>
      <c r="K163"/>
      <c r="L163"/>
      <c r="Q163"/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:131" ht="12.75">
      <c r="A164"/>
      <c r="C164"/>
      <c r="D164"/>
      <c r="E164"/>
      <c r="F164"/>
      <c r="G164"/>
      <c r="H164"/>
      <c r="I164"/>
      <c r="J164"/>
      <c r="K164"/>
      <c r="L164"/>
      <c r="Q164"/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:131" ht="12.75">
      <c r="A165"/>
      <c r="C165"/>
      <c r="D165"/>
      <c r="E165"/>
      <c r="F165"/>
      <c r="G165"/>
      <c r="H165"/>
      <c r="I165"/>
      <c r="J165"/>
      <c r="K165"/>
      <c r="L165"/>
      <c r="Q165"/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:131" ht="12.75">
      <c r="A166"/>
      <c r="C166"/>
      <c r="D166"/>
      <c r="E166"/>
      <c r="F166"/>
      <c r="G166"/>
      <c r="H166"/>
      <c r="I166"/>
      <c r="J166"/>
      <c r="K166"/>
      <c r="L166"/>
      <c r="Q166"/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:131" ht="12.75">
      <c r="A167"/>
      <c r="C167"/>
      <c r="D167"/>
      <c r="E167"/>
      <c r="F167"/>
      <c r="G167"/>
      <c r="H167"/>
      <c r="I167"/>
      <c r="J167"/>
      <c r="K167"/>
      <c r="L167"/>
      <c r="Q167"/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:131" ht="12.75">
      <c r="A168"/>
      <c r="C168"/>
      <c r="D168"/>
      <c r="E168"/>
      <c r="F168"/>
      <c r="G168"/>
      <c r="H168"/>
      <c r="I168"/>
      <c r="J168"/>
      <c r="K168"/>
      <c r="L168"/>
      <c r="Q168"/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:131" ht="12.75">
      <c r="A169"/>
      <c r="C169"/>
      <c r="D169"/>
      <c r="E169"/>
      <c r="F169"/>
      <c r="G169"/>
      <c r="H169"/>
      <c r="I169"/>
      <c r="J169"/>
      <c r="K169"/>
      <c r="L169"/>
      <c r="Q169"/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:131" ht="12.75">
      <c r="A170"/>
      <c r="C170"/>
      <c r="D170"/>
      <c r="E170"/>
      <c r="F170"/>
      <c r="G170"/>
      <c r="H170"/>
      <c r="I170"/>
      <c r="J170"/>
      <c r="K170"/>
      <c r="L170"/>
      <c r="Q170"/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:131" ht="12.75">
      <c r="A171"/>
      <c r="C171"/>
      <c r="D171"/>
      <c r="E171"/>
      <c r="F171"/>
      <c r="G171"/>
      <c r="H171"/>
      <c r="I171"/>
      <c r="J171"/>
      <c r="K171"/>
      <c r="L171"/>
      <c r="Q171"/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:131" ht="12.75">
      <c r="A172"/>
      <c r="C172"/>
      <c r="D172"/>
      <c r="E172"/>
      <c r="F172"/>
      <c r="G172"/>
      <c r="H172"/>
      <c r="I172"/>
      <c r="J172"/>
      <c r="K172"/>
      <c r="L172"/>
      <c r="Q172"/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:131" ht="12.75">
      <c r="A173"/>
      <c r="C173"/>
      <c r="D173"/>
      <c r="E173"/>
      <c r="F173"/>
      <c r="G173"/>
      <c r="H173"/>
      <c r="I173"/>
      <c r="J173"/>
      <c r="K173"/>
      <c r="L173"/>
      <c r="Q173"/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:131" ht="12.75">
      <c r="A174"/>
      <c r="C174"/>
      <c r="D174"/>
      <c r="E174"/>
      <c r="F174"/>
      <c r="G174"/>
      <c r="H174"/>
      <c r="I174"/>
      <c r="J174"/>
      <c r="K174"/>
      <c r="L174"/>
      <c r="Q174"/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:131" ht="12.75">
      <c r="A175"/>
      <c r="C175"/>
      <c r="D175"/>
      <c r="E175"/>
      <c r="F175"/>
      <c r="G175"/>
      <c r="H175"/>
      <c r="I175"/>
      <c r="J175"/>
      <c r="K175"/>
      <c r="L175"/>
      <c r="Q175"/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:131" ht="12.75">
      <c r="A176"/>
      <c r="C176"/>
      <c r="D176"/>
      <c r="E176"/>
      <c r="F176"/>
      <c r="G176"/>
      <c r="H176"/>
      <c r="I176"/>
      <c r="J176"/>
      <c r="K176"/>
      <c r="L176"/>
      <c r="Q176"/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:131" ht="12.75">
      <c r="A177"/>
      <c r="C177"/>
      <c r="D177"/>
      <c r="E177"/>
      <c r="F177"/>
      <c r="G177"/>
      <c r="H177"/>
      <c r="I177"/>
      <c r="J177"/>
      <c r="K177"/>
      <c r="L177"/>
      <c r="Q177"/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:131" ht="12.75">
      <c r="A178"/>
      <c r="C178"/>
      <c r="D178"/>
      <c r="E178"/>
      <c r="F178"/>
      <c r="G178"/>
      <c r="H178"/>
      <c r="I178"/>
      <c r="J178"/>
      <c r="K178"/>
      <c r="L178"/>
      <c r="Q178"/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:131" ht="12.75">
      <c r="A179"/>
      <c r="C179"/>
      <c r="D179"/>
      <c r="E179"/>
      <c r="F179"/>
      <c r="G179"/>
      <c r="H179"/>
      <c r="I179"/>
      <c r="J179"/>
      <c r="K179"/>
      <c r="L179"/>
      <c r="Q179"/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:131" ht="12.75">
      <c r="A180"/>
      <c r="C180"/>
      <c r="D180"/>
      <c r="E180"/>
      <c r="F180"/>
      <c r="G180"/>
      <c r="H180"/>
      <c r="I180"/>
      <c r="J180"/>
      <c r="K180"/>
      <c r="L180"/>
      <c r="Q180"/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:131" ht="12.75">
      <c r="A181"/>
      <c r="C181"/>
      <c r="D181"/>
      <c r="E181"/>
      <c r="F181"/>
      <c r="G181"/>
      <c r="H181"/>
      <c r="I181"/>
      <c r="J181"/>
      <c r="K181"/>
      <c r="L181"/>
      <c r="Q181"/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:131" ht="12.75">
      <c r="A182"/>
      <c r="C182"/>
      <c r="D182"/>
      <c r="E182"/>
      <c r="F182"/>
      <c r="G182"/>
      <c r="H182"/>
      <c r="I182"/>
      <c r="J182"/>
      <c r="K182"/>
      <c r="L182"/>
      <c r="Q182"/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:131" ht="12.75">
      <c r="A183"/>
      <c r="C183"/>
      <c r="D183"/>
      <c r="E183"/>
      <c r="F183"/>
      <c r="G183"/>
      <c r="H183"/>
      <c r="I183"/>
      <c r="J183"/>
      <c r="K183"/>
      <c r="L183"/>
      <c r="Q183"/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:131" ht="12.75">
      <c r="A184"/>
      <c r="C184"/>
      <c r="D184"/>
      <c r="E184"/>
      <c r="F184"/>
      <c r="G184"/>
      <c r="H184"/>
      <c r="I184"/>
      <c r="J184"/>
      <c r="K184"/>
      <c r="L184"/>
      <c r="Q184"/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:131" ht="12.75">
      <c r="A185"/>
      <c r="C185"/>
      <c r="D185"/>
      <c r="E185"/>
      <c r="F185"/>
      <c r="G185"/>
      <c r="H185"/>
      <c r="I185"/>
      <c r="J185"/>
      <c r="K185"/>
      <c r="L185"/>
      <c r="Q185"/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:131" ht="12.75">
      <c r="A186"/>
      <c r="C186"/>
      <c r="D186"/>
      <c r="E186"/>
      <c r="F186"/>
      <c r="G186"/>
      <c r="H186"/>
      <c r="I186"/>
      <c r="J186"/>
      <c r="K186"/>
      <c r="L186"/>
      <c r="Q186"/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:131" ht="12.75">
      <c r="A187"/>
      <c r="C187"/>
      <c r="D187"/>
      <c r="E187"/>
      <c r="F187"/>
      <c r="G187"/>
      <c r="H187"/>
      <c r="I187"/>
      <c r="J187"/>
      <c r="K187"/>
      <c r="L187"/>
      <c r="Q187"/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:131" ht="12.75">
      <c r="A188"/>
      <c r="C188"/>
      <c r="D188"/>
      <c r="E188"/>
      <c r="F188"/>
      <c r="G188"/>
      <c r="H188"/>
      <c r="I188"/>
      <c r="J188"/>
      <c r="K188"/>
      <c r="L188"/>
      <c r="Q188"/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:131" ht="12.75">
      <c r="A189"/>
      <c r="C189"/>
      <c r="D189"/>
      <c r="E189"/>
      <c r="F189"/>
      <c r="G189"/>
      <c r="H189"/>
      <c r="I189"/>
      <c r="J189"/>
      <c r="K189"/>
      <c r="L189"/>
      <c r="Q189"/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:131" ht="12.75">
      <c r="A190"/>
      <c r="C190"/>
      <c r="D190"/>
      <c r="E190"/>
      <c r="F190"/>
      <c r="G190"/>
      <c r="H190"/>
      <c r="I190"/>
      <c r="J190"/>
      <c r="K190"/>
      <c r="L190"/>
      <c r="Q190"/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:131" ht="12.75">
      <c r="A191"/>
      <c r="C191"/>
      <c r="D191"/>
      <c r="E191"/>
      <c r="F191"/>
      <c r="G191"/>
      <c r="H191"/>
      <c r="I191"/>
      <c r="J191"/>
      <c r="K191"/>
      <c r="L191"/>
      <c r="Q191"/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:131" ht="12.75">
      <c r="A192"/>
      <c r="C192"/>
      <c r="D192"/>
      <c r="E192"/>
      <c r="F192"/>
      <c r="G192"/>
      <c r="H192"/>
      <c r="I192"/>
      <c r="J192"/>
      <c r="K192"/>
      <c r="L192"/>
      <c r="Q192"/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:131" ht="12.75">
      <c r="A193"/>
      <c r="C193"/>
      <c r="D193"/>
      <c r="E193"/>
      <c r="F193"/>
      <c r="G193"/>
      <c r="H193"/>
      <c r="I193"/>
      <c r="J193"/>
      <c r="K193"/>
      <c r="L193"/>
      <c r="Q193"/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:131" ht="12.75">
      <c r="A194"/>
      <c r="C194"/>
      <c r="D194"/>
      <c r="E194"/>
      <c r="F194"/>
      <c r="G194"/>
      <c r="H194"/>
      <c r="I194"/>
      <c r="J194"/>
      <c r="K194"/>
      <c r="L194"/>
      <c r="Q194"/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:131" ht="12.75">
      <c r="A195"/>
      <c r="C195"/>
      <c r="D195"/>
      <c r="E195"/>
      <c r="F195"/>
      <c r="G195"/>
      <c r="H195"/>
      <c r="I195"/>
      <c r="J195"/>
      <c r="K195"/>
      <c r="L195"/>
      <c r="Q195"/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:131" ht="12.75">
      <c r="A196"/>
      <c r="C196"/>
      <c r="D196"/>
      <c r="E196"/>
      <c r="F196"/>
      <c r="G196"/>
      <c r="H196"/>
      <c r="I196"/>
      <c r="J196"/>
      <c r="K196"/>
      <c r="L196"/>
      <c r="Q196"/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:131" ht="12.75">
      <c r="A197"/>
      <c r="C197"/>
      <c r="D197"/>
      <c r="E197"/>
      <c r="F197"/>
      <c r="G197"/>
      <c r="H197"/>
      <c r="I197"/>
      <c r="J197"/>
      <c r="K197"/>
      <c r="L197"/>
      <c r="Q197"/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:131" ht="12.75">
      <c r="A198"/>
      <c r="C198"/>
      <c r="D198"/>
      <c r="E198"/>
      <c r="F198"/>
      <c r="G198"/>
      <c r="H198"/>
      <c r="I198"/>
      <c r="J198"/>
      <c r="K198"/>
      <c r="L198"/>
      <c r="Q198"/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:131" ht="12.75">
      <c r="A199"/>
      <c r="C199"/>
      <c r="D199"/>
      <c r="E199"/>
      <c r="F199"/>
      <c r="G199"/>
      <c r="H199"/>
      <c r="I199"/>
      <c r="J199"/>
      <c r="K199"/>
      <c r="L199"/>
      <c r="Q199"/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:131" ht="12.75">
      <c r="A200"/>
      <c r="C200"/>
      <c r="D200"/>
      <c r="E200"/>
      <c r="F200"/>
      <c r="G200"/>
      <c r="H200"/>
      <c r="I200"/>
      <c r="J200"/>
      <c r="K200"/>
      <c r="L200"/>
      <c r="Q200"/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:131" ht="12.75">
      <c r="A201"/>
      <c r="C201"/>
      <c r="D201"/>
      <c r="E201"/>
      <c r="F201"/>
      <c r="G201"/>
      <c r="H201"/>
      <c r="I201"/>
      <c r="J201"/>
      <c r="K201"/>
      <c r="L201"/>
      <c r="Q201"/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:131" ht="12.75">
      <c r="A202"/>
      <c r="C202"/>
      <c r="D202"/>
      <c r="E202"/>
      <c r="F202"/>
      <c r="G202"/>
      <c r="H202"/>
      <c r="I202"/>
      <c r="J202"/>
      <c r="K202"/>
      <c r="L202"/>
      <c r="Q202"/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:131" ht="12.75">
      <c r="A203"/>
      <c r="C203"/>
      <c r="D203"/>
      <c r="E203"/>
      <c r="F203"/>
      <c r="G203"/>
      <c r="H203"/>
      <c r="I203"/>
      <c r="J203"/>
      <c r="K203"/>
      <c r="L203"/>
      <c r="Q203"/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:131" ht="12.75">
      <c r="A204"/>
      <c r="C204"/>
      <c r="D204"/>
      <c r="E204"/>
      <c r="F204"/>
      <c r="G204"/>
      <c r="H204"/>
      <c r="I204"/>
      <c r="J204"/>
      <c r="K204"/>
      <c r="L204"/>
      <c r="Q204"/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:131" ht="12.75">
      <c r="A205"/>
      <c r="C205"/>
      <c r="D205"/>
      <c r="E205"/>
      <c r="F205"/>
      <c r="G205"/>
      <c r="H205"/>
      <c r="I205"/>
      <c r="J205"/>
      <c r="K205"/>
      <c r="L205"/>
      <c r="Q205"/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:131" ht="12.75">
      <c r="A206"/>
      <c r="C206"/>
      <c r="D206"/>
      <c r="E206"/>
      <c r="F206"/>
      <c r="G206"/>
      <c r="H206"/>
      <c r="I206"/>
      <c r="J206"/>
      <c r="K206"/>
      <c r="L206"/>
      <c r="Q206"/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:131" ht="12.75">
      <c r="A207"/>
      <c r="C207"/>
      <c r="D207"/>
      <c r="E207"/>
      <c r="F207"/>
      <c r="G207"/>
      <c r="H207"/>
      <c r="I207"/>
      <c r="J207"/>
      <c r="K207"/>
      <c r="L207"/>
      <c r="Q207"/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:131" ht="12.75">
      <c r="A208"/>
      <c r="C208"/>
      <c r="D208"/>
      <c r="E208"/>
      <c r="F208"/>
      <c r="G208"/>
      <c r="H208"/>
      <c r="I208"/>
      <c r="J208"/>
      <c r="K208"/>
      <c r="L208"/>
      <c r="Q208"/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:131" ht="12.75">
      <c r="A209"/>
      <c r="C209"/>
      <c r="D209"/>
      <c r="E209"/>
      <c r="F209"/>
      <c r="G209"/>
      <c r="H209"/>
      <c r="I209"/>
      <c r="J209"/>
      <c r="K209"/>
      <c r="L209"/>
      <c r="Q209"/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:131" ht="12.75">
      <c r="A210"/>
      <c r="C210"/>
      <c r="D210"/>
      <c r="E210"/>
      <c r="F210"/>
      <c r="G210"/>
      <c r="H210"/>
      <c r="I210"/>
      <c r="J210"/>
      <c r="K210"/>
      <c r="L210"/>
      <c r="Q210"/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:131" ht="12.75">
      <c r="A211"/>
      <c r="C211"/>
      <c r="D211"/>
      <c r="E211"/>
      <c r="F211"/>
      <c r="G211"/>
      <c r="H211"/>
      <c r="I211"/>
      <c r="J211"/>
      <c r="K211"/>
      <c r="L211"/>
      <c r="Q211"/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:131" ht="12.75">
      <c r="A212"/>
      <c r="C212"/>
      <c r="D212"/>
      <c r="E212"/>
      <c r="F212"/>
      <c r="G212"/>
      <c r="H212"/>
      <c r="I212"/>
      <c r="J212"/>
      <c r="K212"/>
      <c r="L212"/>
      <c r="Q212"/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:131" ht="12.75">
      <c r="A213"/>
      <c r="C213"/>
      <c r="D213"/>
      <c r="E213"/>
      <c r="F213"/>
      <c r="G213"/>
      <c r="H213"/>
      <c r="I213"/>
      <c r="J213"/>
      <c r="K213"/>
      <c r="L213"/>
      <c r="Q213"/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:131" ht="12.75">
      <c r="A214"/>
      <c r="C214"/>
      <c r="D214"/>
      <c r="E214"/>
      <c r="F214"/>
      <c r="G214"/>
      <c r="H214"/>
      <c r="I214"/>
      <c r="J214"/>
      <c r="K214"/>
      <c r="L214"/>
      <c r="Q214"/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:131" ht="12.75">
      <c r="A215"/>
      <c r="C215"/>
      <c r="D215"/>
      <c r="E215"/>
      <c r="F215"/>
      <c r="G215"/>
      <c r="H215"/>
      <c r="I215"/>
      <c r="J215"/>
      <c r="K215"/>
      <c r="L215"/>
      <c r="Q215"/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:131" ht="12.75">
      <c r="A216"/>
      <c r="C216"/>
      <c r="D216"/>
      <c r="E216"/>
      <c r="F216"/>
      <c r="G216"/>
      <c r="H216"/>
      <c r="I216"/>
      <c r="J216"/>
      <c r="K216"/>
      <c r="L216"/>
      <c r="Q216"/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:131" ht="12.75">
      <c r="A217"/>
      <c r="C217"/>
      <c r="D217"/>
      <c r="E217"/>
      <c r="F217"/>
      <c r="G217"/>
      <c r="H217"/>
      <c r="I217"/>
      <c r="J217"/>
      <c r="K217"/>
      <c r="L217"/>
      <c r="Q217"/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:131" ht="12.75">
      <c r="A218"/>
      <c r="C218"/>
      <c r="D218"/>
      <c r="E218"/>
      <c r="F218"/>
      <c r="G218"/>
      <c r="H218"/>
      <c r="I218"/>
      <c r="J218"/>
      <c r="K218"/>
      <c r="L218"/>
      <c r="Q218"/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:131" ht="12.75">
      <c r="A219"/>
      <c r="C219"/>
      <c r="D219"/>
      <c r="E219"/>
      <c r="F219"/>
      <c r="G219"/>
      <c r="H219"/>
      <c r="I219"/>
      <c r="J219"/>
      <c r="K219"/>
      <c r="L219"/>
      <c r="Q219"/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:131" ht="12.75">
      <c r="A220"/>
      <c r="C220"/>
      <c r="D220"/>
      <c r="E220"/>
      <c r="F220"/>
      <c r="G220"/>
      <c r="H220"/>
      <c r="I220"/>
      <c r="J220"/>
      <c r="K220"/>
      <c r="L220"/>
      <c r="Q220"/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:131" ht="12.75">
      <c r="A221"/>
      <c r="C221"/>
      <c r="D221"/>
      <c r="E221"/>
      <c r="F221"/>
      <c r="G221"/>
      <c r="H221"/>
      <c r="I221"/>
      <c r="J221"/>
      <c r="K221"/>
      <c r="L221"/>
      <c r="Q221"/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:131" ht="12.75">
      <c r="A222"/>
      <c r="C222"/>
      <c r="D222"/>
      <c r="E222"/>
      <c r="F222"/>
      <c r="G222"/>
      <c r="H222"/>
      <c r="I222"/>
      <c r="J222"/>
      <c r="K222"/>
      <c r="L222"/>
      <c r="Q222"/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:131" ht="12.75">
      <c r="A223"/>
      <c r="C223"/>
      <c r="D223"/>
      <c r="E223"/>
      <c r="F223"/>
      <c r="G223"/>
      <c r="H223"/>
      <c r="I223"/>
      <c r="J223"/>
      <c r="K223"/>
      <c r="L223"/>
      <c r="Q223"/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:131" ht="12.75">
      <c r="A224"/>
      <c r="C224"/>
      <c r="D224"/>
      <c r="E224"/>
      <c r="F224"/>
      <c r="G224"/>
      <c r="H224"/>
      <c r="I224"/>
      <c r="J224"/>
      <c r="K224"/>
      <c r="L224"/>
      <c r="Q224"/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:131" ht="12.75">
      <c r="A225"/>
      <c r="C225"/>
      <c r="D225"/>
      <c r="E225"/>
      <c r="F225"/>
      <c r="G225"/>
      <c r="H225"/>
      <c r="I225"/>
      <c r="J225"/>
      <c r="K225"/>
      <c r="L225"/>
      <c r="Q225"/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:131" ht="12.75">
      <c r="A226"/>
      <c r="C226"/>
      <c r="D226"/>
      <c r="E226"/>
      <c r="F226"/>
      <c r="G226"/>
      <c r="H226"/>
      <c r="I226"/>
      <c r="J226"/>
      <c r="K226"/>
      <c r="L226"/>
      <c r="Q226"/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:131" ht="12.75">
      <c r="A227"/>
      <c r="C227"/>
      <c r="D227"/>
      <c r="E227"/>
      <c r="F227"/>
      <c r="G227"/>
      <c r="H227"/>
      <c r="I227"/>
      <c r="J227"/>
      <c r="K227"/>
      <c r="L227"/>
      <c r="Q227"/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:131" ht="12.75">
      <c r="A228"/>
      <c r="C228"/>
      <c r="D228"/>
      <c r="E228"/>
      <c r="F228"/>
      <c r="G228"/>
      <c r="H228"/>
      <c r="I228"/>
      <c r="J228"/>
      <c r="K228"/>
      <c r="L228"/>
      <c r="Q228"/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:131" ht="12.75">
      <c r="A229"/>
      <c r="C229"/>
      <c r="D229"/>
      <c r="E229"/>
      <c r="F229"/>
      <c r="G229"/>
      <c r="H229"/>
      <c r="I229"/>
      <c r="J229"/>
      <c r="K229"/>
      <c r="L229"/>
      <c r="Q229"/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:131" ht="12.75">
      <c r="A230"/>
      <c r="C230"/>
      <c r="D230"/>
      <c r="E230"/>
      <c r="F230"/>
      <c r="G230"/>
      <c r="H230"/>
      <c r="I230"/>
      <c r="J230"/>
      <c r="K230"/>
      <c r="L230"/>
      <c r="Q230"/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:131" ht="12.75">
      <c r="A231"/>
      <c r="C231"/>
      <c r="D231"/>
      <c r="E231"/>
      <c r="F231"/>
      <c r="G231"/>
      <c r="H231"/>
      <c r="I231"/>
      <c r="J231"/>
      <c r="K231"/>
      <c r="L231"/>
      <c r="Q231"/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:131" ht="12.75">
      <c r="A232"/>
      <c r="C232"/>
      <c r="D232"/>
      <c r="E232"/>
      <c r="F232"/>
      <c r="G232"/>
      <c r="H232"/>
      <c r="I232"/>
      <c r="J232"/>
      <c r="K232"/>
      <c r="L232"/>
      <c r="Q232"/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:131" ht="12.75">
      <c r="A233"/>
      <c r="C233"/>
      <c r="D233"/>
      <c r="E233"/>
      <c r="F233"/>
      <c r="G233"/>
      <c r="H233"/>
      <c r="I233"/>
      <c r="J233"/>
      <c r="K233"/>
      <c r="L233"/>
      <c r="Q233"/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:131" ht="12.75">
      <c r="A234"/>
      <c r="C234"/>
      <c r="D234"/>
      <c r="E234"/>
      <c r="F234"/>
      <c r="G234"/>
      <c r="H234"/>
      <c r="I234"/>
      <c r="J234"/>
      <c r="K234"/>
      <c r="L234"/>
      <c r="Q234"/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:131" ht="12.75">
      <c r="A235"/>
      <c r="C235"/>
      <c r="D235"/>
      <c r="E235"/>
      <c r="F235"/>
      <c r="G235"/>
      <c r="H235"/>
      <c r="I235"/>
      <c r="J235"/>
      <c r="K235"/>
      <c r="L235"/>
      <c r="Q235"/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:131" ht="12.75">
      <c r="A236"/>
      <c r="C236"/>
      <c r="D236"/>
      <c r="E236"/>
      <c r="F236"/>
      <c r="G236"/>
      <c r="H236"/>
      <c r="I236"/>
      <c r="J236"/>
      <c r="K236"/>
      <c r="L236"/>
      <c r="Q236"/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:131" ht="12.75">
      <c r="A237"/>
      <c r="C237"/>
      <c r="D237"/>
      <c r="E237"/>
      <c r="F237"/>
      <c r="G237"/>
      <c r="H237"/>
      <c r="I237"/>
      <c r="J237"/>
      <c r="K237"/>
      <c r="L237"/>
      <c r="Q237"/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:131" ht="12.75">
      <c r="A238"/>
      <c r="C238"/>
      <c r="D238"/>
      <c r="E238"/>
      <c r="F238"/>
      <c r="G238"/>
      <c r="H238"/>
      <c r="I238"/>
      <c r="J238"/>
      <c r="K238"/>
      <c r="L238"/>
      <c r="Q238"/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:131" ht="12.75">
      <c r="A239"/>
      <c r="C239"/>
      <c r="D239"/>
      <c r="E239"/>
      <c r="F239"/>
      <c r="G239"/>
      <c r="H239"/>
      <c r="I239"/>
      <c r="J239"/>
      <c r="K239"/>
      <c r="L239"/>
      <c r="Q239"/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:131" ht="12.75">
      <c r="A240"/>
      <c r="C240"/>
      <c r="D240"/>
      <c r="E240"/>
      <c r="F240"/>
      <c r="G240"/>
      <c r="H240"/>
      <c r="I240"/>
      <c r="J240"/>
      <c r="K240"/>
      <c r="L240"/>
      <c r="Q240"/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:131" ht="12.75">
      <c r="A241"/>
      <c r="C241"/>
      <c r="D241"/>
      <c r="E241"/>
      <c r="F241"/>
      <c r="G241"/>
      <c r="H241"/>
      <c r="I241"/>
      <c r="J241"/>
      <c r="K241"/>
      <c r="L241"/>
      <c r="Q241"/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:131" ht="12.75">
      <c r="A242"/>
      <c r="C242"/>
      <c r="D242"/>
      <c r="E242"/>
      <c r="F242"/>
      <c r="G242"/>
      <c r="H242"/>
      <c r="I242"/>
      <c r="J242"/>
      <c r="K242"/>
      <c r="L242"/>
      <c r="Q242"/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:131" ht="12.75">
      <c r="A243"/>
      <c r="C243"/>
      <c r="D243"/>
      <c r="E243"/>
      <c r="F243"/>
      <c r="G243"/>
      <c r="H243"/>
      <c r="I243"/>
      <c r="J243"/>
      <c r="K243"/>
      <c r="L243"/>
      <c r="Q243"/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:131" ht="12.75">
      <c r="A244"/>
      <c r="C244"/>
      <c r="D244"/>
      <c r="E244"/>
      <c r="F244"/>
      <c r="G244"/>
      <c r="H244"/>
      <c r="I244"/>
      <c r="J244"/>
      <c r="K244"/>
      <c r="L244"/>
      <c r="Q244"/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:131" ht="12.75">
      <c r="A245"/>
      <c r="C245"/>
      <c r="D245"/>
      <c r="E245"/>
      <c r="F245"/>
      <c r="G245"/>
      <c r="H245"/>
      <c r="I245"/>
      <c r="J245"/>
      <c r="K245"/>
      <c r="L245"/>
      <c r="Q245"/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:131" ht="12.75">
      <c r="A246"/>
      <c r="C246"/>
      <c r="D246"/>
      <c r="E246"/>
      <c r="F246"/>
      <c r="G246"/>
      <c r="H246"/>
      <c r="I246"/>
      <c r="J246"/>
      <c r="K246"/>
      <c r="L246"/>
      <c r="Q246"/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:131" ht="12.75">
      <c r="A247"/>
      <c r="C247"/>
      <c r="D247"/>
      <c r="E247"/>
      <c r="F247"/>
      <c r="G247"/>
      <c r="H247"/>
      <c r="I247"/>
      <c r="J247"/>
      <c r="K247"/>
      <c r="L247"/>
      <c r="Q247"/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:131" ht="12.75">
      <c r="A248"/>
      <c r="C248"/>
      <c r="D248"/>
      <c r="E248"/>
      <c r="F248"/>
      <c r="G248"/>
      <c r="H248"/>
      <c r="I248"/>
      <c r="J248"/>
      <c r="K248"/>
      <c r="L248"/>
      <c r="Q248"/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:131" ht="12.75">
      <c r="A249"/>
      <c r="C249"/>
      <c r="D249"/>
      <c r="E249"/>
      <c r="F249"/>
      <c r="G249"/>
      <c r="H249"/>
      <c r="I249"/>
      <c r="J249"/>
      <c r="K249"/>
      <c r="L249"/>
      <c r="Q249"/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:131" ht="12.75">
      <c r="A250"/>
      <c r="C250"/>
      <c r="D250"/>
      <c r="E250"/>
      <c r="F250"/>
      <c r="G250"/>
      <c r="H250"/>
      <c r="I250"/>
      <c r="J250"/>
      <c r="K250"/>
      <c r="L250"/>
      <c r="Q250"/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:131" ht="12.75">
      <c r="A251"/>
      <c r="C251"/>
      <c r="D251"/>
      <c r="E251"/>
      <c r="F251"/>
      <c r="G251"/>
      <c r="H251"/>
      <c r="I251"/>
      <c r="J251"/>
      <c r="K251"/>
      <c r="L251"/>
      <c r="Q251"/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:131" ht="12.75">
      <c r="A252"/>
      <c r="C252"/>
      <c r="D252"/>
      <c r="E252"/>
      <c r="F252"/>
      <c r="G252"/>
      <c r="H252"/>
      <c r="I252"/>
      <c r="J252"/>
      <c r="K252"/>
      <c r="L252"/>
      <c r="Q252"/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:131" ht="12.75">
      <c r="A253"/>
      <c r="C253"/>
      <c r="D253"/>
      <c r="E253"/>
      <c r="F253"/>
      <c r="G253"/>
      <c r="H253"/>
      <c r="I253"/>
      <c r="J253"/>
      <c r="K253"/>
      <c r="L253"/>
      <c r="Q253"/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:131" ht="12.75">
      <c r="A254"/>
      <c r="C254"/>
      <c r="D254"/>
      <c r="E254"/>
      <c r="F254"/>
      <c r="G254"/>
      <c r="H254"/>
      <c r="I254"/>
      <c r="J254"/>
      <c r="K254"/>
      <c r="L254"/>
      <c r="Q254"/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:131" ht="12.75">
      <c r="A255"/>
      <c r="C255"/>
      <c r="D255"/>
      <c r="E255"/>
      <c r="F255"/>
      <c r="G255"/>
      <c r="H255"/>
      <c r="I255"/>
      <c r="J255"/>
      <c r="K255"/>
      <c r="L255"/>
      <c r="Q255"/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:131" ht="12.75">
      <c r="A256"/>
      <c r="C256"/>
      <c r="D256"/>
      <c r="E256"/>
      <c r="F256"/>
      <c r="G256"/>
      <c r="H256"/>
      <c r="I256"/>
      <c r="J256"/>
      <c r="K256"/>
      <c r="L256"/>
      <c r="Q256"/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:131" ht="12.75">
      <c r="A257"/>
      <c r="C257"/>
      <c r="D257"/>
      <c r="E257"/>
      <c r="F257"/>
      <c r="G257"/>
      <c r="H257"/>
      <c r="I257"/>
      <c r="J257"/>
      <c r="K257"/>
      <c r="L257"/>
      <c r="Q257"/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:131" ht="12.75">
      <c r="A258"/>
      <c r="C258"/>
      <c r="D258"/>
      <c r="E258"/>
      <c r="F258"/>
      <c r="G258"/>
      <c r="H258"/>
      <c r="I258"/>
      <c r="J258"/>
      <c r="K258"/>
      <c r="L258"/>
      <c r="Q258"/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:131" ht="12.75">
      <c r="A259"/>
      <c r="C259"/>
      <c r="D259"/>
      <c r="E259"/>
      <c r="F259"/>
      <c r="G259"/>
      <c r="H259"/>
      <c r="I259"/>
      <c r="J259"/>
      <c r="K259"/>
      <c r="L259"/>
      <c r="Q259"/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:131" ht="12.75">
      <c r="A260"/>
      <c r="C260"/>
      <c r="D260"/>
      <c r="E260"/>
      <c r="F260"/>
      <c r="G260"/>
      <c r="H260"/>
      <c r="I260"/>
      <c r="J260"/>
      <c r="K260"/>
      <c r="L260"/>
      <c r="Q260"/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:131" ht="12.75">
      <c r="A261"/>
      <c r="C261"/>
      <c r="D261"/>
      <c r="E261"/>
      <c r="F261"/>
      <c r="G261"/>
      <c r="H261"/>
      <c r="I261"/>
      <c r="J261"/>
      <c r="K261"/>
      <c r="L261"/>
      <c r="Q261"/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:131" ht="12.75">
      <c r="A262"/>
      <c r="C262"/>
      <c r="D262"/>
      <c r="E262"/>
      <c r="F262"/>
      <c r="G262"/>
      <c r="H262"/>
      <c r="I262"/>
      <c r="J262"/>
      <c r="K262"/>
      <c r="L262"/>
      <c r="Q262"/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:131" ht="12.75">
      <c r="A263"/>
      <c r="C263"/>
      <c r="D263"/>
      <c r="E263"/>
      <c r="F263"/>
      <c r="G263"/>
      <c r="H263"/>
      <c r="I263"/>
      <c r="J263"/>
      <c r="K263"/>
      <c r="L263"/>
      <c r="Q263"/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:131" ht="12.75">
      <c r="A264"/>
      <c r="C264"/>
      <c r="D264"/>
      <c r="E264"/>
      <c r="F264"/>
      <c r="G264"/>
      <c r="H264"/>
      <c r="I264"/>
      <c r="J264"/>
      <c r="K264"/>
      <c r="L264"/>
      <c r="Q264"/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:131" ht="12.75">
      <c r="A265"/>
      <c r="C265"/>
      <c r="D265"/>
      <c r="E265"/>
      <c r="F265"/>
      <c r="G265"/>
      <c r="H265"/>
      <c r="I265"/>
      <c r="J265"/>
      <c r="K265"/>
      <c r="L265"/>
      <c r="Q265"/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:131" ht="12.75">
      <c r="A266"/>
      <c r="C266"/>
      <c r="D266"/>
      <c r="E266"/>
      <c r="F266"/>
      <c r="G266"/>
      <c r="H266"/>
      <c r="I266"/>
      <c r="J266"/>
      <c r="K266"/>
      <c r="L266"/>
      <c r="Q266"/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:131" ht="12.75">
      <c r="A267"/>
      <c r="C267"/>
      <c r="D267"/>
      <c r="E267"/>
      <c r="F267"/>
      <c r="G267"/>
      <c r="H267"/>
      <c r="I267"/>
      <c r="J267"/>
      <c r="K267"/>
      <c r="L267"/>
      <c r="Q267"/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:131" ht="12.75">
      <c r="A268"/>
      <c r="C268"/>
      <c r="D268"/>
      <c r="E268"/>
      <c r="F268"/>
      <c r="G268"/>
      <c r="H268"/>
      <c r="I268"/>
      <c r="J268"/>
      <c r="K268"/>
      <c r="L268"/>
      <c r="Q268"/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:131" ht="12.75">
      <c r="A269"/>
      <c r="C269"/>
      <c r="D269"/>
      <c r="E269"/>
      <c r="F269"/>
      <c r="G269"/>
      <c r="H269"/>
      <c r="I269"/>
      <c r="J269"/>
      <c r="K269"/>
      <c r="L269"/>
      <c r="Q269"/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:131" ht="12.75">
      <c r="A270"/>
      <c r="C270"/>
      <c r="D270"/>
      <c r="E270"/>
      <c r="F270"/>
      <c r="G270"/>
      <c r="H270"/>
      <c r="I270"/>
      <c r="J270"/>
      <c r="K270"/>
      <c r="L270"/>
      <c r="Q270"/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:131" ht="12.75">
      <c r="A271"/>
      <c r="C271"/>
      <c r="D271"/>
      <c r="E271"/>
      <c r="F271"/>
      <c r="G271"/>
      <c r="H271"/>
      <c r="I271"/>
      <c r="J271"/>
      <c r="K271"/>
      <c r="L271"/>
      <c r="Q271"/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:131" ht="12.75">
      <c r="A272"/>
      <c r="C272"/>
      <c r="D272"/>
      <c r="E272"/>
      <c r="F272"/>
      <c r="G272"/>
      <c r="H272"/>
      <c r="I272"/>
      <c r="J272"/>
      <c r="K272"/>
      <c r="L272"/>
      <c r="Q272"/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:131" ht="12.75">
      <c r="A273"/>
      <c r="C273"/>
      <c r="D273"/>
      <c r="E273"/>
      <c r="F273"/>
      <c r="G273"/>
      <c r="H273"/>
      <c r="I273"/>
      <c r="J273"/>
      <c r="K273"/>
      <c r="L273"/>
      <c r="Q273"/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:131" ht="12.75">
      <c r="A274"/>
      <c r="C274"/>
      <c r="D274"/>
      <c r="E274"/>
      <c r="F274"/>
      <c r="G274"/>
      <c r="H274"/>
      <c r="I274"/>
      <c r="J274"/>
      <c r="K274"/>
      <c r="L274"/>
      <c r="Q274"/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:131" ht="12.75">
      <c r="A275"/>
      <c r="C275"/>
      <c r="D275"/>
      <c r="E275"/>
      <c r="F275"/>
      <c r="G275"/>
      <c r="H275"/>
      <c r="I275"/>
      <c r="J275"/>
      <c r="K275"/>
      <c r="L275"/>
      <c r="Q275"/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:131" ht="12.75">
      <c r="A276"/>
      <c r="C276"/>
      <c r="D276"/>
      <c r="E276"/>
      <c r="F276"/>
      <c r="G276"/>
      <c r="H276"/>
      <c r="I276"/>
      <c r="J276"/>
      <c r="K276"/>
      <c r="L276"/>
      <c r="Q276"/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:131" ht="12.75">
      <c r="A277"/>
      <c r="C277"/>
      <c r="D277"/>
      <c r="E277"/>
      <c r="F277"/>
      <c r="G277"/>
      <c r="H277"/>
      <c r="I277"/>
      <c r="J277"/>
      <c r="K277"/>
      <c r="L277"/>
      <c r="Q277"/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:131" ht="12.75">
      <c r="A278"/>
      <c r="C278"/>
      <c r="D278"/>
      <c r="E278"/>
      <c r="F278"/>
      <c r="G278"/>
      <c r="H278"/>
      <c r="I278"/>
      <c r="J278"/>
      <c r="K278"/>
      <c r="L278"/>
      <c r="Q278"/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:131" ht="12.75">
      <c r="A279"/>
      <c r="C279"/>
      <c r="D279"/>
      <c r="E279"/>
      <c r="F279"/>
      <c r="G279"/>
      <c r="H279"/>
      <c r="I279"/>
      <c r="J279"/>
      <c r="K279"/>
      <c r="L279"/>
      <c r="Q279"/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:131" ht="12.75">
      <c r="A280"/>
      <c r="C280"/>
      <c r="D280"/>
      <c r="E280"/>
      <c r="F280"/>
      <c r="G280"/>
      <c r="H280"/>
      <c r="I280"/>
      <c r="J280"/>
      <c r="K280"/>
      <c r="L280"/>
      <c r="Q280"/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:131" ht="12.75">
      <c r="A281"/>
      <c r="C281"/>
      <c r="D281"/>
      <c r="E281"/>
      <c r="F281"/>
      <c r="G281"/>
      <c r="H281"/>
      <c r="I281"/>
      <c r="J281"/>
      <c r="K281"/>
      <c r="L281"/>
      <c r="Q281"/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:131" ht="12.75">
      <c r="A282"/>
      <c r="C282"/>
      <c r="D282"/>
      <c r="E282"/>
      <c r="F282"/>
      <c r="G282"/>
      <c r="H282"/>
      <c r="I282"/>
      <c r="J282"/>
      <c r="K282"/>
      <c r="L282"/>
      <c r="Q282"/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:131" ht="12.75">
      <c r="A283"/>
      <c r="C283"/>
      <c r="D283"/>
      <c r="E283"/>
      <c r="F283"/>
      <c r="G283"/>
      <c r="H283"/>
      <c r="I283"/>
      <c r="J283"/>
      <c r="K283"/>
      <c r="L283"/>
      <c r="Q283"/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:131" ht="12.75">
      <c r="A284"/>
      <c r="C284"/>
      <c r="D284"/>
      <c r="E284"/>
      <c r="F284"/>
      <c r="G284"/>
      <c r="H284"/>
      <c r="I284"/>
      <c r="J284"/>
      <c r="K284"/>
      <c r="L284"/>
      <c r="Q284"/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:131" ht="12.75">
      <c r="A285"/>
      <c r="C285"/>
      <c r="D285"/>
      <c r="E285"/>
      <c r="F285"/>
      <c r="G285"/>
      <c r="H285"/>
      <c r="I285"/>
      <c r="J285"/>
      <c r="K285"/>
      <c r="L285"/>
      <c r="Q285"/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:131" ht="12.75">
      <c r="A286"/>
      <c r="C286"/>
      <c r="D286"/>
      <c r="E286"/>
      <c r="F286"/>
      <c r="G286"/>
      <c r="H286"/>
      <c r="I286"/>
      <c r="J286"/>
      <c r="K286"/>
      <c r="L286"/>
      <c r="Q286"/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:131" ht="12.75">
      <c r="A287"/>
      <c r="C287"/>
      <c r="D287"/>
      <c r="E287"/>
      <c r="F287"/>
      <c r="G287"/>
      <c r="H287"/>
      <c r="I287"/>
      <c r="J287"/>
      <c r="K287"/>
      <c r="L287"/>
      <c r="Q287"/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:131" ht="12.75">
      <c r="A288"/>
      <c r="C288"/>
      <c r="D288"/>
      <c r="E288"/>
      <c r="F288"/>
      <c r="G288"/>
      <c r="H288"/>
      <c r="I288"/>
      <c r="J288"/>
      <c r="K288"/>
      <c r="L288"/>
      <c r="Q288"/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:131" ht="12.75">
      <c r="A289"/>
      <c r="C289"/>
      <c r="D289"/>
      <c r="E289"/>
      <c r="F289"/>
      <c r="G289"/>
      <c r="H289"/>
      <c r="I289"/>
      <c r="J289"/>
      <c r="K289"/>
      <c r="L289"/>
      <c r="Q289"/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:131" ht="12.75">
      <c r="A290"/>
      <c r="C290"/>
      <c r="D290"/>
      <c r="E290"/>
      <c r="F290"/>
      <c r="G290"/>
      <c r="H290"/>
      <c r="I290"/>
      <c r="J290"/>
      <c r="K290"/>
      <c r="L290"/>
      <c r="Q290"/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:131" ht="12.75">
      <c r="A291"/>
      <c r="C291"/>
      <c r="D291"/>
      <c r="E291"/>
      <c r="F291"/>
      <c r="G291"/>
      <c r="H291"/>
      <c r="I291"/>
      <c r="J291"/>
      <c r="K291"/>
      <c r="L291"/>
      <c r="Q291"/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:131" ht="12.75">
      <c r="A292"/>
      <c r="C292"/>
      <c r="D292"/>
      <c r="E292"/>
      <c r="F292"/>
      <c r="G292"/>
      <c r="H292"/>
      <c r="I292"/>
      <c r="J292"/>
      <c r="K292"/>
      <c r="L292"/>
      <c r="Q292"/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:131" ht="12.75">
      <c r="A293"/>
      <c r="C293"/>
      <c r="D293"/>
      <c r="E293"/>
      <c r="F293"/>
      <c r="G293"/>
      <c r="H293"/>
      <c r="I293"/>
      <c r="J293"/>
      <c r="K293"/>
      <c r="L293"/>
      <c r="Q293"/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:131" ht="12.75">
      <c r="A294"/>
      <c r="C294"/>
      <c r="D294"/>
      <c r="E294"/>
      <c r="F294"/>
      <c r="G294"/>
      <c r="H294"/>
      <c r="I294"/>
      <c r="J294"/>
      <c r="K294"/>
      <c r="L294"/>
      <c r="Q294"/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:131" ht="12.75">
      <c r="A295"/>
      <c r="C295"/>
      <c r="D295"/>
      <c r="E295"/>
      <c r="F295"/>
      <c r="G295"/>
      <c r="H295"/>
      <c r="I295"/>
      <c r="J295"/>
      <c r="K295"/>
      <c r="L295"/>
      <c r="Q295"/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:131" ht="12.75">
      <c r="A296"/>
      <c r="C296"/>
      <c r="D296"/>
      <c r="E296"/>
      <c r="F296"/>
      <c r="G296"/>
      <c r="H296"/>
      <c r="I296"/>
      <c r="J296"/>
      <c r="K296"/>
      <c r="L296"/>
      <c r="Q296"/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:131" ht="12.75">
      <c r="A297"/>
      <c r="C297"/>
      <c r="D297"/>
      <c r="E297"/>
      <c r="F297"/>
      <c r="G297"/>
      <c r="H297"/>
      <c r="I297"/>
      <c r="J297"/>
      <c r="K297"/>
      <c r="L297"/>
      <c r="Q297"/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:131" ht="12.75">
      <c r="A298"/>
      <c r="C298"/>
      <c r="D298"/>
      <c r="E298"/>
      <c r="F298"/>
      <c r="G298"/>
      <c r="H298"/>
      <c r="I298"/>
      <c r="J298"/>
      <c r="K298"/>
      <c r="L298"/>
      <c r="Q298"/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:131" ht="12.75">
      <c r="A299"/>
      <c r="C299"/>
      <c r="D299"/>
      <c r="E299"/>
      <c r="F299"/>
      <c r="G299"/>
      <c r="H299"/>
      <c r="I299"/>
      <c r="J299"/>
      <c r="K299"/>
      <c r="L299"/>
      <c r="Q299"/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:131" ht="12.75">
      <c r="A300"/>
      <c r="C300"/>
      <c r="D300"/>
      <c r="E300"/>
      <c r="F300"/>
      <c r="G300"/>
      <c r="H300"/>
      <c r="I300"/>
      <c r="J300"/>
      <c r="K300"/>
      <c r="L300"/>
      <c r="Q300"/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:131" ht="12.75">
      <c r="A301"/>
      <c r="C301"/>
      <c r="D301"/>
      <c r="E301"/>
      <c r="F301"/>
      <c r="G301"/>
      <c r="H301"/>
      <c r="I301"/>
      <c r="J301"/>
      <c r="K301"/>
      <c r="L301"/>
      <c r="Q301"/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:131" ht="12.75">
      <c r="A302"/>
      <c r="C302"/>
      <c r="D302"/>
      <c r="E302"/>
      <c r="F302"/>
      <c r="G302"/>
      <c r="H302"/>
      <c r="I302"/>
      <c r="J302"/>
      <c r="K302"/>
      <c r="L302"/>
      <c r="Q302"/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:131" ht="12.75">
      <c r="A303"/>
      <c r="C303"/>
      <c r="D303"/>
      <c r="E303"/>
      <c r="F303"/>
      <c r="G303"/>
      <c r="H303"/>
      <c r="I303"/>
      <c r="J303"/>
      <c r="K303"/>
      <c r="L303"/>
      <c r="Q303"/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:131" ht="12.75">
      <c r="A304"/>
      <c r="C304"/>
      <c r="D304"/>
      <c r="E304"/>
      <c r="F304"/>
      <c r="G304"/>
      <c r="H304"/>
      <c r="I304"/>
      <c r="J304"/>
      <c r="K304"/>
      <c r="L304"/>
      <c r="Q304"/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:131" ht="12.75">
      <c r="A305"/>
      <c r="C305"/>
      <c r="D305"/>
      <c r="E305"/>
      <c r="F305"/>
      <c r="G305"/>
      <c r="H305"/>
      <c r="I305"/>
      <c r="J305"/>
      <c r="K305"/>
      <c r="L305"/>
      <c r="Q305"/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:131" ht="12.75">
      <c r="A306"/>
      <c r="C306"/>
      <c r="D306"/>
      <c r="E306"/>
      <c r="F306"/>
      <c r="G306"/>
      <c r="H306"/>
      <c r="I306"/>
      <c r="J306"/>
      <c r="K306"/>
      <c r="L306"/>
      <c r="Q306"/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:131" ht="12.75">
      <c r="A307"/>
      <c r="C307"/>
      <c r="D307"/>
      <c r="E307"/>
      <c r="F307"/>
      <c r="G307"/>
      <c r="H307"/>
      <c r="I307"/>
      <c r="J307"/>
      <c r="K307"/>
      <c r="L307"/>
      <c r="Q307"/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:131" ht="12.75">
      <c r="A308"/>
      <c r="C308"/>
      <c r="D308"/>
      <c r="E308"/>
      <c r="F308"/>
      <c r="G308"/>
      <c r="H308"/>
      <c r="I308"/>
      <c r="J308"/>
      <c r="K308"/>
      <c r="L308"/>
      <c r="Q308"/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:131" ht="12.75">
      <c r="A309"/>
      <c r="C309"/>
      <c r="D309"/>
      <c r="E309"/>
      <c r="F309"/>
      <c r="G309"/>
      <c r="H309"/>
      <c r="I309"/>
      <c r="J309"/>
      <c r="K309"/>
      <c r="L309"/>
      <c r="Q309"/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:131" ht="12.75">
      <c r="A310"/>
      <c r="C310"/>
      <c r="D310"/>
      <c r="E310"/>
      <c r="F310"/>
      <c r="G310"/>
      <c r="H310"/>
      <c r="I310"/>
      <c r="J310"/>
      <c r="K310"/>
      <c r="L310"/>
      <c r="Q310"/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:131" ht="12.75">
      <c r="A311"/>
      <c r="C311"/>
      <c r="D311"/>
      <c r="E311"/>
      <c r="F311"/>
      <c r="G311"/>
      <c r="H311"/>
      <c r="I311"/>
      <c r="J311"/>
      <c r="K311"/>
      <c r="L311"/>
      <c r="Q311"/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:131" ht="12.75">
      <c r="A312"/>
      <c r="C312"/>
      <c r="D312"/>
      <c r="E312"/>
      <c r="F312"/>
      <c r="G312"/>
      <c r="H312"/>
      <c r="I312"/>
      <c r="J312"/>
      <c r="K312"/>
      <c r="L312"/>
      <c r="Q312"/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:131" ht="12.75">
      <c r="A313"/>
      <c r="C313"/>
      <c r="D313"/>
      <c r="E313"/>
      <c r="F313"/>
      <c r="G313"/>
      <c r="H313"/>
      <c r="I313"/>
      <c r="J313"/>
      <c r="K313"/>
      <c r="L313"/>
      <c r="Q313"/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:131" ht="12.75">
      <c r="A314"/>
      <c r="C314"/>
      <c r="D314"/>
      <c r="E314"/>
      <c r="F314"/>
      <c r="G314"/>
      <c r="H314"/>
      <c r="I314"/>
      <c r="J314"/>
      <c r="K314"/>
      <c r="L314"/>
      <c r="Q314"/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:131" ht="12.75">
      <c r="A315"/>
      <c r="C315"/>
      <c r="D315"/>
      <c r="E315"/>
      <c r="F315"/>
      <c r="G315"/>
      <c r="H315"/>
      <c r="I315"/>
      <c r="J315"/>
      <c r="K315"/>
      <c r="L315"/>
      <c r="Q315"/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:131" ht="12.75">
      <c r="A316"/>
      <c r="C316"/>
      <c r="D316"/>
      <c r="E316"/>
      <c r="F316"/>
      <c r="G316"/>
      <c r="H316"/>
      <c r="I316"/>
      <c r="J316"/>
      <c r="K316"/>
      <c r="L316"/>
      <c r="Q316"/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:131" ht="12.75">
      <c r="A317"/>
      <c r="C317"/>
      <c r="D317"/>
      <c r="E317"/>
      <c r="F317"/>
      <c r="G317"/>
      <c r="H317"/>
      <c r="I317"/>
      <c r="J317"/>
      <c r="K317"/>
      <c r="L317"/>
      <c r="Q317"/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:131" ht="12.75">
      <c r="A318"/>
      <c r="C318"/>
      <c r="D318"/>
      <c r="E318"/>
      <c r="F318"/>
      <c r="G318"/>
      <c r="H318"/>
      <c r="I318"/>
      <c r="J318"/>
      <c r="K318"/>
      <c r="L318"/>
      <c r="Q318"/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:131" ht="12.75">
      <c r="A319"/>
      <c r="C319"/>
      <c r="D319"/>
      <c r="E319"/>
      <c r="F319"/>
      <c r="G319"/>
      <c r="H319"/>
      <c r="I319"/>
      <c r="J319"/>
      <c r="K319"/>
      <c r="L319"/>
      <c r="Q319"/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:131" ht="12.75">
      <c r="A320"/>
      <c r="C320"/>
      <c r="D320"/>
      <c r="E320"/>
      <c r="F320"/>
      <c r="G320"/>
      <c r="H320"/>
      <c r="I320"/>
      <c r="J320"/>
      <c r="K320"/>
      <c r="L320"/>
      <c r="Q320"/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:131" ht="12.75">
      <c r="A321"/>
      <c r="C321"/>
      <c r="D321"/>
      <c r="E321"/>
      <c r="F321"/>
      <c r="G321"/>
      <c r="H321"/>
      <c r="I321"/>
      <c r="J321"/>
      <c r="K321"/>
      <c r="L321"/>
      <c r="Q321"/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:131" ht="12.75">
      <c r="A322"/>
      <c r="C322"/>
      <c r="D322"/>
      <c r="E322"/>
      <c r="F322"/>
      <c r="G322"/>
      <c r="H322"/>
      <c r="I322"/>
      <c r="J322"/>
      <c r="K322"/>
      <c r="L322"/>
      <c r="Q322"/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:131" ht="12.75">
      <c r="A323"/>
      <c r="C323"/>
      <c r="D323"/>
      <c r="E323"/>
      <c r="F323"/>
      <c r="G323"/>
      <c r="H323"/>
      <c r="I323"/>
      <c r="J323"/>
      <c r="K323"/>
      <c r="L323"/>
      <c r="Q323"/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:131" ht="12.75">
      <c r="A324"/>
      <c r="C324"/>
      <c r="D324"/>
      <c r="E324"/>
      <c r="F324"/>
      <c r="G324"/>
      <c r="H324"/>
      <c r="I324"/>
      <c r="J324"/>
      <c r="K324"/>
      <c r="L324"/>
      <c r="Q324"/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:131" ht="12.75">
      <c r="A325"/>
      <c r="C325"/>
      <c r="D325"/>
      <c r="E325"/>
      <c r="F325"/>
      <c r="G325"/>
      <c r="H325"/>
      <c r="I325"/>
      <c r="J325"/>
      <c r="K325"/>
      <c r="L325"/>
      <c r="Q325"/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:131" ht="12.75">
      <c r="A326"/>
      <c r="C326"/>
      <c r="D326"/>
      <c r="E326"/>
      <c r="F326"/>
      <c r="G326"/>
      <c r="H326"/>
      <c r="I326"/>
      <c r="J326"/>
      <c r="K326"/>
      <c r="L326"/>
      <c r="Q326"/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:131" ht="12.75">
      <c r="A327"/>
      <c r="C327"/>
      <c r="D327"/>
      <c r="E327"/>
      <c r="F327"/>
      <c r="G327"/>
      <c r="H327"/>
      <c r="I327"/>
      <c r="J327"/>
      <c r="K327"/>
      <c r="L327"/>
      <c r="Q327"/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:131" ht="12.75">
      <c r="A328"/>
      <c r="C328"/>
      <c r="D328"/>
      <c r="E328"/>
      <c r="F328"/>
      <c r="G328"/>
      <c r="H328"/>
      <c r="I328"/>
      <c r="J328"/>
      <c r="K328"/>
      <c r="L328"/>
      <c r="Q328"/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:131" ht="12.75">
      <c r="A329"/>
      <c r="C329"/>
      <c r="D329"/>
      <c r="E329"/>
      <c r="F329"/>
      <c r="G329"/>
      <c r="H329"/>
      <c r="I329"/>
      <c r="J329"/>
      <c r="K329"/>
      <c r="L329"/>
      <c r="Q329"/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:131" ht="12.75">
      <c r="A330"/>
      <c r="C330"/>
      <c r="D330"/>
      <c r="E330"/>
      <c r="F330"/>
      <c r="G330"/>
      <c r="H330"/>
      <c r="I330"/>
      <c r="J330"/>
      <c r="K330"/>
      <c r="L330"/>
      <c r="Q330"/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:131" ht="12.75">
      <c r="A331"/>
      <c r="C331"/>
      <c r="D331"/>
      <c r="E331"/>
      <c r="F331"/>
      <c r="G331"/>
      <c r="H331"/>
      <c r="I331"/>
      <c r="J331"/>
      <c r="K331"/>
      <c r="L331"/>
      <c r="Q331"/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:131" ht="12.75">
      <c r="A332"/>
      <c r="C332"/>
      <c r="D332"/>
      <c r="E332"/>
      <c r="F332"/>
      <c r="G332"/>
      <c r="H332"/>
      <c r="I332"/>
      <c r="J332"/>
      <c r="K332"/>
      <c r="L332"/>
      <c r="Q332"/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:131" ht="12.75">
      <c r="A333"/>
      <c r="C333"/>
      <c r="D333"/>
      <c r="E333"/>
      <c r="F333"/>
      <c r="G333"/>
      <c r="H333"/>
      <c r="I333"/>
      <c r="J333"/>
      <c r="K333"/>
      <c r="L333"/>
      <c r="Q333"/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:131" ht="12.75">
      <c r="A334"/>
      <c r="C334"/>
      <c r="D334"/>
      <c r="E334"/>
      <c r="F334"/>
      <c r="G334"/>
      <c r="H334"/>
      <c r="I334"/>
      <c r="J334"/>
      <c r="K334"/>
      <c r="L334"/>
      <c r="Q334"/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:131" ht="12.75">
      <c r="A335"/>
      <c r="C335"/>
      <c r="D335"/>
      <c r="E335"/>
      <c r="F335"/>
      <c r="G335"/>
      <c r="H335"/>
      <c r="I335"/>
      <c r="J335"/>
      <c r="K335"/>
      <c r="L335"/>
      <c r="Q335"/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:131" ht="12.75">
      <c r="A336"/>
      <c r="C336"/>
      <c r="D336"/>
      <c r="E336"/>
      <c r="F336"/>
      <c r="G336"/>
      <c r="H336"/>
      <c r="I336"/>
      <c r="J336"/>
      <c r="K336"/>
      <c r="L336"/>
      <c r="Q336"/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:131" ht="12.75">
      <c r="A337"/>
      <c r="C337"/>
      <c r="D337"/>
      <c r="E337"/>
      <c r="F337"/>
      <c r="G337"/>
      <c r="H337"/>
      <c r="I337"/>
      <c r="J337"/>
      <c r="K337"/>
      <c r="L337"/>
      <c r="Q337"/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:131" ht="12.75">
      <c r="A338"/>
      <c r="C338"/>
      <c r="D338"/>
      <c r="E338"/>
      <c r="F338"/>
      <c r="G338"/>
      <c r="H338"/>
      <c r="I338"/>
      <c r="J338"/>
      <c r="K338"/>
      <c r="L338"/>
      <c r="Q338"/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:131" ht="12.75">
      <c r="A339"/>
      <c r="C339"/>
      <c r="D339"/>
      <c r="E339"/>
      <c r="F339"/>
      <c r="G339"/>
      <c r="H339"/>
      <c r="I339"/>
      <c r="J339"/>
      <c r="K339"/>
      <c r="L339"/>
      <c r="Q339"/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:131" ht="12.75">
      <c r="A340"/>
      <c r="C340"/>
      <c r="D340"/>
      <c r="E340"/>
      <c r="F340"/>
      <c r="G340"/>
      <c r="H340"/>
      <c r="I340"/>
      <c r="J340"/>
      <c r="K340"/>
      <c r="L340"/>
      <c r="Q340"/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:131" ht="12.75">
      <c r="A341"/>
      <c r="C341"/>
      <c r="D341"/>
      <c r="E341"/>
      <c r="F341"/>
      <c r="G341"/>
      <c r="H341"/>
      <c r="I341"/>
      <c r="J341"/>
      <c r="K341"/>
      <c r="L341"/>
      <c r="Q341"/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:131" ht="12.75">
      <c r="A342"/>
      <c r="C342"/>
      <c r="D342"/>
      <c r="E342"/>
      <c r="F342"/>
      <c r="G342"/>
      <c r="H342"/>
      <c r="I342"/>
      <c r="J342"/>
      <c r="K342"/>
      <c r="L342"/>
      <c r="Q342"/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:131" ht="12.75">
      <c r="A343"/>
      <c r="C343"/>
      <c r="D343"/>
      <c r="E343"/>
      <c r="F343"/>
      <c r="G343"/>
      <c r="H343"/>
      <c r="I343"/>
      <c r="J343"/>
      <c r="K343"/>
      <c r="L343"/>
      <c r="Q343"/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:131" ht="12.75">
      <c r="A344"/>
      <c r="C344"/>
      <c r="D344"/>
      <c r="E344"/>
      <c r="F344"/>
      <c r="G344"/>
      <c r="H344"/>
      <c r="I344"/>
      <c r="J344"/>
      <c r="K344"/>
      <c r="L344"/>
      <c r="Q344"/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:131" ht="12.75">
      <c r="A345"/>
      <c r="C345"/>
      <c r="D345"/>
      <c r="E345"/>
      <c r="F345"/>
      <c r="G345"/>
      <c r="H345"/>
      <c r="I345"/>
      <c r="J345"/>
      <c r="K345"/>
      <c r="L345"/>
      <c r="Q345"/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:131" ht="12.75">
      <c r="A346"/>
      <c r="C346"/>
      <c r="D346"/>
      <c r="E346"/>
      <c r="F346"/>
      <c r="G346"/>
      <c r="H346"/>
      <c r="I346"/>
      <c r="J346"/>
      <c r="K346"/>
      <c r="L346"/>
      <c r="Q346"/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:131" ht="12.75">
      <c r="A347"/>
      <c r="C347"/>
      <c r="D347"/>
      <c r="E347"/>
      <c r="F347"/>
      <c r="G347"/>
      <c r="H347"/>
      <c r="I347"/>
      <c r="J347"/>
      <c r="K347"/>
      <c r="L347"/>
      <c r="Q347"/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:131" ht="12.75">
      <c r="A348"/>
      <c r="C348"/>
      <c r="D348"/>
      <c r="E348"/>
      <c r="F348"/>
      <c r="G348"/>
      <c r="H348"/>
      <c r="I348"/>
      <c r="J348"/>
      <c r="K348"/>
      <c r="L348"/>
      <c r="Q348"/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:131" ht="12.75">
      <c r="A349"/>
      <c r="C349"/>
      <c r="D349"/>
      <c r="E349"/>
      <c r="F349"/>
      <c r="G349"/>
      <c r="H349"/>
      <c r="I349"/>
      <c r="J349"/>
      <c r="K349"/>
      <c r="L349"/>
      <c r="Q349"/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:131" ht="12.75">
      <c r="A350"/>
      <c r="C350"/>
      <c r="D350"/>
      <c r="E350"/>
      <c r="F350"/>
      <c r="G350"/>
      <c r="H350"/>
      <c r="I350"/>
      <c r="J350"/>
      <c r="K350"/>
      <c r="L350"/>
      <c r="Q350"/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:131" ht="12.75">
      <c r="A351"/>
      <c r="C351"/>
      <c r="D351"/>
      <c r="E351"/>
      <c r="F351"/>
      <c r="G351"/>
      <c r="H351"/>
      <c r="I351"/>
      <c r="J351"/>
      <c r="K351"/>
      <c r="L351"/>
      <c r="Q351"/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:131" ht="12.75">
      <c r="A352"/>
      <c r="C352"/>
      <c r="D352"/>
      <c r="E352"/>
      <c r="F352"/>
      <c r="G352"/>
      <c r="H352"/>
      <c r="I352"/>
      <c r="J352"/>
      <c r="K352"/>
      <c r="L352"/>
      <c r="Q352"/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:131" ht="12.75">
      <c r="A353"/>
      <c r="C353"/>
      <c r="D353"/>
      <c r="E353"/>
      <c r="F353"/>
      <c r="G353"/>
      <c r="H353"/>
      <c r="I353"/>
      <c r="J353"/>
      <c r="K353"/>
      <c r="L353"/>
      <c r="Q353"/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:131" ht="12.75">
      <c r="A354"/>
      <c r="C354"/>
      <c r="D354"/>
      <c r="E354"/>
      <c r="F354"/>
      <c r="G354"/>
      <c r="H354"/>
      <c r="I354"/>
      <c r="J354"/>
      <c r="K354"/>
      <c r="L354"/>
      <c r="Q354"/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:131" ht="12.75">
      <c r="A355"/>
      <c r="C355"/>
      <c r="D355"/>
      <c r="E355"/>
      <c r="F355"/>
      <c r="G355"/>
      <c r="H355"/>
      <c r="I355"/>
      <c r="J355"/>
      <c r="K355"/>
      <c r="L355"/>
      <c r="Q355"/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:131" ht="12.75">
      <c r="A356"/>
      <c r="C356"/>
      <c r="D356"/>
      <c r="E356"/>
      <c r="F356"/>
      <c r="G356"/>
      <c r="H356"/>
      <c r="I356"/>
      <c r="J356"/>
      <c r="K356"/>
      <c r="L356"/>
      <c r="Q356"/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:131" ht="12.75">
      <c r="A357"/>
      <c r="C357"/>
      <c r="D357"/>
      <c r="E357"/>
      <c r="F357"/>
      <c r="G357"/>
      <c r="H357"/>
      <c r="I357"/>
      <c r="J357"/>
      <c r="K357"/>
      <c r="L357"/>
      <c r="Q357"/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:131" ht="12.75">
      <c r="A358"/>
      <c r="C358"/>
      <c r="D358"/>
      <c r="E358"/>
      <c r="F358"/>
      <c r="G358"/>
      <c r="H358"/>
      <c r="I358"/>
      <c r="J358"/>
      <c r="K358"/>
      <c r="L358"/>
      <c r="Q358"/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:131" ht="12.75">
      <c r="A359"/>
      <c r="C359"/>
      <c r="D359"/>
      <c r="E359"/>
      <c r="F359"/>
      <c r="G359"/>
      <c r="H359"/>
      <c r="I359"/>
      <c r="J359"/>
      <c r="K359"/>
      <c r="L359"/>
      <c r="Q359"/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:131" ht="12.75">
      <c r="A360"/>
      <c r="C360"/>
      <c r="D360"/>
      <c r="E360"/>
      <c r="F360"/>
      <c r="G360"/>
      <c r="H360"/>
      <c r="I360"/>
      <c r="J360"/>
      <c r="K360"/>
      <c r="L360"/>
      <c r="Q360"/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:131" ht="12.75">
      <c r="A361"/>
      <c r="C361"/>
      <c r="D361"/>
      <c r="E361"/>
      <c r="F361"/>
      <c r="G361"/>
      <c r="H361"/>
      <c r="I361"/>
      <c r="J361"/>
      <c r="K361"/>
      <c r="L361"/>
      <c r="Q361"/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:131" ht="12.75">
      <c r="A362"/>
      <c r="C362"/>
      <c r="D362"/>
      <c r="E362"/>
      <c r="F362"/>
      <c r="G362"/>
      <c r="H362"/>
      <c r="I362"/>
      <c r="J362"/>
      <c r="K362"/>
      <c r="L362"/>
      <c r="Q362"/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:131" ht="12.75">
      <c r="A363"/>
      <c r="C363"/>
      <c r="D363"/>
      <c r="E363"/>
      <c r="F363"/>
      <c r="G363"/>
      <c r="H363"/>
      <c r="I363"/>
      <c r="J363"/>
      <c r="K363"/>
      <c r="L363"/>
      <c r="Q363"/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:131" ht="12.75">
      <c r="A364"/>
      <c r="C364"/>
      <c r="D364"/>
      <c r="E364"/>
      <c r="F364"/>
      <c r="G364"/>
      <c r="H364"/>
      <c r="I364"/>
      <c r="J364"/>
      <c r="K364"/>
      <c r="L364"/>
      <c r="Q364"/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:131" ht="12.75">
      <c r="A365"/>
      <c r="C365"/>
      <c r="D365"/>
      <c r="E365"/>
      <c r="F365"/>
      <c r="G365"/>
      <c r="H365"/>
      <c r="I365"/>
      <c r="J365"/>
      <c r="K365"/>
      <c r="L365"/>
      <c r="Q365"/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:131" ht="12.75">
      <c r="A366"/>
      <c r="C366"/>
      <c r="D366"/>
      <c r="E366"/>
      <c r="F366"/>
      <c r="G366"/>
      <c r="H366"/>
      <c r="I366"/>
      <c r="J366"/>
      <c r="K366"/>
      <c r="L366"/>
      <c r="Q366"/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:131" ht="12.75">
      <c r="A367"/>
      <c r="C367"/>
      <c r="D367"/>
      <c r="E367"/>
      <c r="F367"/>
      <c r="G367"/>
      <c r="H367"/>
      <c r="I367"/>
      <c r="J367"/>
      <c r="K367"/>
      <c r="L367"/>
      <c r="Q367"/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:131" ht="12.75">
      <c r="A368"/>
      <c r="C368"/>
      <c r="D368"/>
      <c r="E368"/>
      <c r="F368"/>
      <c r="G368"/>
      <c r="H368"/>
      <c r="I368"/>
      <c r="J368"/>
      <c r="K368"/>
      <c r="L368"/>
      <c r="Q368"/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:131" ht="12.75">
      <c r="A369"/>
      <c r="C369"/>
      <c r="D369"/>
      <c r="E369"/>
      <c r="F369"/>
      <c r="G369"/>
      <c r="H369"/>
      <c r="I369"/>
      <c r="J369"/>
      <c r="K369"/>
      <c r="L369"/>
      <c r="Q369"/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:131" ht="12.75">
      <c r="A370"/>
      <c r="C370"/>
      <c r="D370"/>
      <c r="E370"/>
      <c r="F370"/>
      <c r="G370"/>
      <c r="H370"/>
      <c r="I370"/>
      <c r="J370"/>
      <c r="K370"/>
      <c r="L370"/>
      <c r="Q370"/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:131" ht="12.75">
      <c r="A371"/>
      <c r="C371"/>
      <c r="D371"/>
      <c r="E371"/>
      <c r="F371"/>
      <c r="G371"/>
      <c r="H371"/>
      <c r="I371"/>
      <c r="J371"/>
      <c r="K371"/>
      <c r="L371"/>
      <c r="Q371"/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:131" ht="12.75">
      <c r="A372"/>
      <c r="C372"/>
      <c r="D372"/>
      <c r="E372"/>
      <c r="F372"/>
      <c r="G372"/>
      <c r="H372"/>
      <c r="I372"/>
      <c r="J372"/>
      <c r="K372"/>
      <c r="L372"/>
      <c r="Q372"/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:131" ht="12.75">
      <c r="A373"/>
      <c r="C373"/>
      <c r="D373"/>
      <c r="E373"/>
      <c r="F373"/>
      <c r="G373"/>
      <c r="H373"/>
      <c r="I373"/>
      <c r="J373"/>
      <c r="K373"/>
      <c r="L373"/>
      <c r="Q373"/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:131" ht="12.75">
      <c r="A374"/>
      <c r="C374"/>
      <c r="D374"/>
      <c r="E374"/>
      <c r="F374"/>
      <c r="G374"/>
      <c r="H374"/>
      <c r="I374"/>
      <c r="J374"/>
      <c r="K374"/>
      <c r="L374"/>
      <c r="Q374"/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:131" ht="12.75">
      <c r="A375"/>
      <c r="C375"/>
      <c r="D375"/>
      <c r="E375"/>
      <c r="F375"/>
      <c r="G375"/>
      <c r="H375"/>
      <c r="I375"/>
      <c r="J375"/>
      <c r="K375"/>
      <c r="L375"/>
      <c r="Q375"/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:131" ht="12.75">
      <c r="A376"/>
      <c r="C376"/>
      <c r="D376"/>
      <c r="E376"/>
      <c r="F376"/>
      <c r="G376"/>
      <c r="H376"/>
      <c r="I376"/>
      <c r="J376"/>
      <c r="K376"/>
      <c r="L376"/>
      <c r="Q376"/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:131" ht="12.75">
      <c r="A377"/>
      <c r="C377"/>
      <c r="D377"/>
      <c r="E377"/>
      <c r="F377"/>
      <c r="G377"/>
      <c r="H377"/>
      <c r="I377"/>
      <c r="J377"/>
      <c r="K377"/>
      <c r="L377"/>
      <c r="Q377"/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:131" ht="12.75">
      <c r="A378"/>
      <c r="C378"/>
      <c r="D378"/>
      <c r="E378"/>
      <c r="F378"/>
      <c r="G378"/>
      <c r="H378"/>
      <c r="I378"/>
      <c r="J378"/>
      <c r="K378"/>
      <c r="L378"/>
      <c r="Q378"/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:131" ht="12.75">
      <c r="A379"/>
      <c r="C379"/>
      <c r="D379"/>
      <c r="E379"/>
      <c r="F379"/>
      <c r="G379"/>
      <c r="H379"/>
      <c r="I379"/>
      <c r="J379"/>
      <c r="K379"/>
      <c r="L379"/>
      <c r="Q379"/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:131" ht="12.75">
      <c r="A380"/>
      <c r="C380"/>
      <c r="D380"/>
      <c r="E380"/>
      <c r="F380"/>
      <c r="G380"/>
      <c r="H380"/>
      <c r="I380"/>
      <c r="J380"/>
      <c r="K380"/>
      <c r="L380"/>
      <c r="Q380"/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:131" ht="12.75">
      <c r="A381"/>
      <c r="C381"/>
      <c r="D381"/>
      <c r="E381"/>
      <c r="F381"/>
      <c r="G381"/>
      <c r="H381"/>
      <c r="I381"/>
      <c r="J381"/>
      <c r="K381"/>
      <c r="L381"/>
      <c r="Q381"/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:131" ht="12.75">
      <c r="A382"/>
      <c r="C382"/>
      <c r="D382"/>
      <c r="E382"/>
      <c r="F382"/>
      <c r="G382"/>
      <c r="H382"/>
      <c r="I382"/>
      <c r="J382"/>
      <c r="K382"/>
      <c r="L382"/>
      <c r="Q382"/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:131" ht="12.75">
      <c r="A383"/>
      <c r="C383"/>
      <c r="D383"/>
      <c r="E383"/>
      <c r="F383"/>
      <c r="G383"/>
      <c r="H383"/>
      <c r="I383"/>
      <c r="J383"/>
      <c r="K383"/>
      <c r="L383"/>
      <c r="Q383"/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:131" ht="12.75">
      <c r="A384"/>
      <c r="C384"/>
      <c r="D384"/>
      <c r="E384"/>
      <c r="F384"/>
      <c r="G384"/>
      <c r="H384"/>
      <c r="I384"/>
      <c r="J384"/>
      <c r="K384"/>
      <c r="L384"/>
      <c r="Q384"/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:131" ht="12.75">
      <c r="A385"/>
      <c r="C385"/>
      <c r="D385"/>
      <c r="E385"/>
      <c r="F385"/>
      <c r="G385"/>
      <c r="H385"/>
      <c r="I385"/>
      <c r="J385"/>
      <c r="K385"/>
      <c r="L385"/>
      <c r="Q385"/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:131" ht="12.75">
      <c r="A386"/>
      <c r="C386"/>
      <c r="D386"/>
      <c r="E386"/>
      <c r="F386"/>
      <c r="G386"/>
      <c r="H386"/>
      <c r="I386"/>
      <c r="J386"/>
      <c r="K386"/>
      <c r="L386"/>
      <c r="Q386"/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:131" ht="12.75">
      <c r="A387"/>
      <c r="C387"/>
      <c r="D387"/>
      <c r="E387"/>
      <c r="F387"/>
      <c r="G387"/>
      <c r="H387"/>
      <c r="I387"/>
      <c r="J387"/>
      <c r="K387"/>
      <c r="L387"/>
      <c r="Q387"/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:131" ht="12.75">
      <c r="A388"/>
      <c r="C388"/>
      <c r="D388"/>
      <c r="E388"/>
      <c r="F388"/>
      <c r="G388"/>
      <c r="H388"/>
      <c r="I388"/>
      <c r="J388"/>
      <c r="K388"/>
      <c r="L388"/>
      <c r="Q388"/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:131" ht="12.75">
      <c r="A389"/>
      <c r="C389"/>
      <c r="D389"/>
      <c r="E389"/>
      <c r="F389"/>
      <c r="G389"/>
      <c r="H389"/>
      <c r="I389"/>
      <c r="J389"/>
      <c r="K389"/>
      <c r="L389"/>
      <c r="Q389"/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:131" ht="12.75">
      <c r="A390"/>
      <c r="C390"/>
      <c r="D390"/>
      <c r="E390"/>
      <c r="F390"/>
      <c r="G390"/>
      <c r="H390"/>
      <c r="I390"/>
      <c r="J390"/>
      <c r="K390"/>
      <c r="L390"/>
      <c r="Q390"/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:131" ht="12.75">
      <c r="A391"/>
      <c r="C391"/>
      <c r="D391"/>
      <c r="E391"/>
      <c r="F391"/>
      <c r="G391"/>
      <c r="H391"/>
      <c r="I391"/>
      <c r="J391"/>
      <c r="K391"/>
      <c r="L391"/>
      <c r="Q391"/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:131" ht="12.75">
      <c r="A392"/>
      <c r="C392"/>
      <c r="D392"/>
      <c r="E392"/>
      <c r="F392"/>
      <c r="G392"/>
      <c r="H392"/>
      <c r="I392"/>
      <c r="J392"/>
      <c r="K392"/>
      <c r="L392"/>
      <c r="Q392"/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:131" ht="12.75">
      <c r="A393"/>
      <c r="C393"/>
      <c r="D393"/>
      <c r="E393"/>
      <c r="F393"/>
      <c r="G393"/>
      <c r="H393"/>
      <c r="I393"/>
      <c r="J393"/>
      <c r="K393"/>
      <c r="L393"/>
      <c r="Q393"/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:131" ht="12.75">
      <c r="A394"/>
      <c r="C394"/>
      <c r="D394"/>
      <c r="E394"/>
      <c r="F394"/>
      <c r="G394"/>
      <c r="H394"/>
      <c r="I394"/>
      <c r="J394"/>
      <c r="K394"/>
      <c r="L394"/>
      <c r="Q394"/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:131" ht="12.75">
      <c r="A395"/>
      <c r="C395"/>
      <c r="D395"/>
      <c r="E395"/>
      <c r="F395"/>
      <c r="G395"/>
      <c r="H395"/>
      <c r="I395"/>
      <c r="J395"/>
      <c r="K395"/>
      <c r="L395"/>
      <c r="Q395"/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:131" ht="12.75">
      <c r="A396"/>
      <c r="C396"/>
      <c r="D396"/>
      <c r="E396"/>
      <c r="F396"/>
      <c r="G396"/>
      <c r="H396"/>
      <c r="I396"/>
      <c r="J396"/>
      <c r="K396"/>
      <c r="L396"/>
      <c r="Q396"/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:131" ht="12.75">
      <c r="A397"/>
      <c r="C397"/>
      <c r="D397"/>
      <c r="E397"/>
      <c r="F397"/>
      <c r="G397"/>
      <c r="H397"/>
      <c r="I397"/>
      <c r="J397"/>
      <c r="K397"/>
      <c r="L397"/>
      <c r="Q397"/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:131" ht="12.75">
      <c r="A398"/>
      <c r="C398"/>
      <c r="D398"/>
      <c r="E398"/>
      <c r="F398"/>
      <c r="G398"/>
      <c r="H398"/>
      <c r="I398"/>
      <c r="J398"/>
      <c r="K398"/>
      <c r="L398"/>
      <c r="Q398"/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:131" ht="12.75">
      <c r="A399"/>
      <c r="C399"/>
      <c r="D399"/>
      <c r="E399"/>
      <c r="F399"/>
      <c r="G399"/>
      <c r="H399"/>
      <c r="I399"/>
      <c r="J399"/>
      <c r="K399"/>
      <c r="L399"/>
      <c r="Q399"/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:131" ht="12.75">
      <c r="A400"/>
      <c r="C400"/>
      <c r="D400"/>
      <c r="E400"/>
      <c r="F400"/>
      <c r="G400"/>
      <c r="H400"/>
      <c r="I400"/>
      <c r="J400"/>
      <c r="K400"/>
      <c r="L400"/>
      <c r="Q400"/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:131" ht="12.75">
      <c r="A401"/>
      <c r="C401"/>
      <c r="D401"/>
      <c r="E401"/>
      <c r="F401"/>
      <c r="G401"/>
      <c r="H401"/>
      <c r="I401"/>
      <c r="J401"/>
      <c r="K401"/>
      <c r="L401"/>
      <c r="Q401"/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:131" ht="12.75">
      <c r="A402"/>
      <c r="C402"/>
      <c r="D402"/>
      <c r="E402"/>
      <c r="F402"/>
      <c r="G402"/>
      <c r="H402"/>
      <c r="I402"/>
      <c r="J402"/>
      <c r="K402"/>
      <c r="L402"/>
      <c r="Q402"/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:131" ht="12.75">
      <c r="A403"/>
      <c r="C403"/>
      <c r="D403"/>
      <c r="E403"/>
      <c r="F403"/>
      <c r="G403"/>
      <c r="H403"/>
      <c r="I403"/>
      <c r="J403"/>
      <c r="K403"/>
      <c r="L403"/>
      <c r="Q403"/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:131" ht="12.75">
      <c r="A404"/>
      <c r="C404"/>
      <c r="D404"/>
      <c r="E404"/>
      <c r="F404"/>
      <c r="G404"/>
      <c r="H404"/>
      <c r="I404"/>
      <c r="J404"/>
      <c r="K404"/>
      <c r="L404"/>
      <c r="Q404"/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:131" ht="12.75">
      <c r="A405"/>
      <c r="C405"/>
      <c r="D405"/>
      <c r="E405"/>
      <c r="F405"/>
      <c r="G405"/>
      <c r="H405"/>
      <c r="I405"/>
      <c r="J405"/>
      <c r="K405"/>
      <c r="L405"/>
      <c r="Q405"/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:131" ht="12.75">
      <c r="A406"/>
      <c r="C406"/>
      <c r="D406"/>
      <c r="E406"/>
      <c r="F406"/>
      <c r="G406"/>
      <c r="H406"/>
      <c r="I406"/>
      <c r="J406"/>
      <c r="K406"/>
      <c r="L406"/>
      <c r="Q406"/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:131" ht="12.75">
      <c r="A407"/>
      <c r="C407"/>
      <c r="D407"/>
      <c r="E407"/>
      <c r="F407"/>
      <c r="G407"/>
      <c r="H407"/>
      <c r="I407"/>
      <c r="J407"/>
      <c r="K407"/>
      <c r="L407"/>
      <c r="Q407"/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:131" ht="12.75">
      <c r="A408"/>
      <c r="C408"/>
      <c r="D408"/>
      <c r="E408"/>
      <c r="F408"/>
      <c r="G408"/>
      <c r="H408"/>
      <c r="I408"/>
      <c r="J408"/>
      <c r="K408"/>
      <c r="L408"/>
      <c r="Q408"/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:131" ht="12.75">
      <c r="A409"/>
      <c r="C409"/>
      <c r="D409"/>
      <c r="E409"/>
      <c r="F409"/>
      <c r="G409"/>
      <c r="H409"/>
      <c r="I409"/>
      <c r="J409"/>
      <c r="K409"/>
      <c r="L409"/>
      <c r="Q409"/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:131" ht="12.75">
      <c r="A410"/>
      <c r="C410"/>
      <c r="D410"/>
      <c r="E410"/>
      <c r="F410"/>
      <c r="G410"/>
      <c r="H410"/>
      <c r="I410"/>
      <c r="J410"/>
      <c r="K410"/>
      <c r="L410"/>
      <c r="Q410"/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:131" ht="12.75">
      <c r="A411"/>
      <c r="C411"/>
      <c r="D411"/>
      <c r="E411"/>
      <c r="F411"/>
      <c r="G411"/>
      <c r="H411"/>
      <c r="I411"/>
      <c r="J411"/>
      <c r="K411"/>
      <c r="L411"/>
      <c r="Q411"/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:131" ht="12.75">
      <c r="A412"/>
      <c r="C412"/>
      <c r="D412"/>
      <c r="E412"/>
      <c r="F412"/>
      <c r="G412"/>
      <c r="H412"/>
      <c r="I412"/>
      <c r="J412"/>
      <c r="K412"/>
      <c r="L412"/>
      <c r="Q412"/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:131" ht="12.75">
      <c r="A413"/>
      <c r="C413"/>
      <c r="D413"/>
      <c r="E413"/>
      <c r="F413"/>
      <c r="G413"/>
      <c r="H413"/>
      <c r="I413"/>
      <c r="J413"/>
      <c r="K413"/>
      <c r="L413"/>
      <c r="Q413"/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:131" ht="12.75">
      <c r="A414"/>
      <c r="C414"/>
      <c r="D414"/>
      <c r="E414"/>
      <c r="F414"/>
      <c r="G414"/>
      <c r="H414"/>
      <c r="I414"/>
      <c r="J414"/>
      <c r="K414"/>
      <c r="L414"/>
      <c r="Q414"/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:131" ht="12.75">
      <c r="A415"/>
      <c r="C415"/>
      <c r="D415"/>
      <c r="E415"/>
      <c r="F415"/>
      <c r="G415"/>
      <c r="H415"/>
      <c r="I415"/>
      <c r="J415"/>
      <c r="K415"/>
      <c r="L415"/>
      <c r="Q415"/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:131" ht="12.75">
      <c r="A416"/>
      <c r="C416"/>
      <c r="D416"/>
      <c r="E416"/>
      <c r="F416"/>
      <c r="G416"/>
      <c r="H416"/>
      <c r="I416"/>
      <c r="J416"/>
      <c r="K416"/>
      <c r="L416"/>
      <c r="Q416"/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:131" ht="12.75">
      <c r="A417"/>
      <c r="C417"/>
      <c r="D417"/>
      <c r="E417"/>
      <c r="F417"/>
      <c r="G417"/>
      <c r="H417"/>
      <c r="I417"/>
      <c r="J417"/>
      <c r="K417"/>
      <c r="L417"/>
      <c r="Q417"/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:131" ht="12.75">
      <c r="A418"/>
      <c r="C418"/>
      <c r="D418"/>
      <c r="E418"/>
      <c r="F418"/>
      <c r="G418"/>
      <c r="H418"/>
      <c r="I418"/>
      <c r="J418"/>
      <c r="K418"/>
      <c r="L418"/>
      <c r="Q418"/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:131" ht="12.75">
      <c r="A419"/>
      <c r="C419"/>
      <c r="D419"/>
      <c r="E419"/>
      <c r="F419"/>
      <c r="G419"/>
      <c r="H419"/>
      <c r="I419"/>
      <c r="J419"/>
      <c r="K419"/>
      <c r="L419"/>
      <c r="Q419"/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:131" ht="12.75">
      <c r="A420"/>
      <c r="C420"/>
      <c r="D420"/>
      <c r="E420"/>
      <c r="F420"/>
      <c r="G420"/>
      <c r="H420"/>
      <c r="I420"/>
      <c r="J420"/>
      <c r="K420"/>
      <c r="L420"/>
      <c r="Q420"/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:131" ht="12.75">
      <c r="A421"/>
      <c r="C421"/>
      <c r="D421"/>
      <c r="E421"/>
      <c r="F421"/>
      <c r="G421"/>
      <c r="H421"/>
      <c r="I421"/>
      <c r="J421"/>
      <c r="K421"/>
      <c r="L421"/>
      <c r="Q421"/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:131" ht="12.75">
      <c r="A422"/>
      <c r="C422"/>
      <c r="D422"/>
      <c r="E422"/>
      <c r="F422"/>
      <c r="G422"/>
      <c r="H422"/>
      <c r="I422"/>
      <c r="J422"/>
      <c r="K422"/>
      <c r="L422"/>
      <c r="Q422"/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:131" ht="12.75">
      <c r="A423"/>
      <c r="C423"/>
      <c r="D423"/>
      <c r="E423"/>
      <c r="F423"/>
      <c r="G423"/>
      <c r="H423"/>
      <c r="I423"/>
      <c r="J423"/>
      <c r="K423"/>
      <c r="L423"/>
      <c r="Q423"/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:131" ht="12.75">
      <c r="A424"/>
      <c r="C424"/>
      <c r="D424"/>
      <c r="E424"/>
      <c r="F424"/>
      <c r="G424"/>
      <c r="H424"/>
      <c r="I424"/>
      <c r="J424"/>
      <c r="K424"/>
      <c r="L424"/>
      <c r="Q424"/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:131" ht="12.75">
      <c r="A425"/>
      <c r="C425"/>
      <c r="D425"/>
      <c r="E425"/>
      <c r="F425"/>
      <c r="G425"/>
      <c r="H425"/>
      <c r="I425"/>
      <c r="J425"/>
      <c r="K425"/>
      <c r="L425"/>
      <c r="Q425"/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:131" ht="12.75">
      <c r="A426"/>
      <c r="C426"/>
      <c r="D426"/>
      <c r="E426"/>
      <c r="F426"/>
      <c r="G426"/>
      <c r="H426"/>
      <c r="I426"/>
      <c r="J426"/>
      <c r="K426"/>
      <c r="L426"/>
      <c r="Q426"/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:131" ht="12.75">
      <c r="A427"/>
      <c r="C427"/>
      <c r="D427"/>
      <c r="E427"/>
      <c r="F427"/>
      <c r="G427"/>
      <c r="H427"/>
      <c r="I427"/>
      <c r="J427"/>
      <c r="K427"/>
      <c r="L427"/>
      <c r="Q427"/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:131" ht="12.75">
      <c r="A428"/>
      <c r="C428"/>
      <c r="D428"/>
      <c r="E428"/>
      <c r="F428"/>
      <c r="G428"/>
      <c r="H428"/>
      <c r="I428"/>
      <c r="J428"/>
      <c r="K428"/>
      <c r="L428"/>
      <c r="Q428"/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:131" ht="12.75">
      <c r="A429"/>
      <c r="C429"/>
      <c r="D429"/>
      <c r="E429"/>
      <c r="F429"/>
      <c r="G429"/>
      <c r="H429"/>
      <c r="I429"/>
      <c r="J429"/>
      <c r="K429"/>
      <c r="L429"/>
      <c r="Q429"/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:131" ht="12.75">
      <c r="A430"/>
      <c r="C430"/>
      <c r="D430"/>
      <c r="E430"/>
      <c r="F430"/>
      <c r="G430"/>
      <c r="H430"/>
      <c r="I430"/>
      <c r="J430"/>
      <c r="K430"/>
      <c r="L430"/>
      <c r="Q430"/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:131" ht="12.75">
      <c r="A431"/>
      <c r="C431"/>
      <c r="D431"/>
      <c r="E431"/>
      <c r="F431"/>
      <c r="G431"/>
      <c r="H431"/>
      <c r="I431"/>
      <c r="J431"/>
      <c r="K431"/>
      <c r="L431"/>
      <c r="Q431"/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:131" ht="12.75">
      <c r="A432"/>
      <c r="C432"/>
      <c r="D432"/>
      <c r="E432"/>
      <c r="F432"/>
      <c r="G432"/>
      <c r="H432"/>
      <c r="I432"/>
      <c r="J432"/>
      <c r="K432"/>
      <c r="L432"/>
      <c r="Q432"/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:131" ht="12.75">
      <c r="A433"/>
      <c r="C433"/>
      <c r="D433"/>
      <c r="E433"/>
      <c r="F433"/>
      <c r="G433"/>
      <c r="H433"/>
      <c r="I433"/>
      <c r="J433"/>
      <c r="K433"/>
      <c r="L433"/>
      <c r="Q433"/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:131" ht="12.75">
      <c r="A434"/>
      <c r="C434"/>
      <c r="D434"/>
      <c r="E434"/>
      <c r="F434"/>
      <c r="G434"/>
      <c r="H434"/>
      <c r="I434"/>
      <c r="J434"/>
      <c r="K434"/>
      <c r="L434"/>
      <c r="Q434"/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:131" ht="12.75">
      <c r="A435"/>
      <c r="C435"/>
      <c r="D435"/>
      <c r="E435"/>
      <c r="F435"/>
      <c r="G435"/>
      <c r="H435"/>
      <c r="I435"/>
      <c r="J435"/>
      <c r="K435"/>
      <c r="L435"/>
      <c r="Q435"/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:131" ht="12.75">
      <c r="A436"/>
      <c r="C436"/>
      <c r="D436"/>
      <c r="E436"/>
      <c r="F436"/>
      <c r="G436"/>
      <c r="H436"/>
      <c r="I436"/>
      <c r="J436"/>
      <c r="K436"/>
      <c r="L436"/>
      <c r="Q436"/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:131" ht="12.75">
      <c r="A437"/>
      <c r="C437"/>
      <c r="D437"/>
      <c r="E437"/>
      <c r="F437"/>
      <c r="G437"/>
      <c r="H437"/>
      <c r="I437"/>
      <c r="J437"/>
      <c r="K437"/>
      <c r="L437"/>
      <c r="Q437"/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:131" ht="12.75">
      <c r="A438"/>
      <c r="C438"/>
      <c r="D438"/>
      <c r="E438"/>
      <c r="F438"/>
      <c r="G438"/>
      <c r="H438"/>
      <c r="I438"/>
      <c r="J438"/>
      <c r="K438"/>
      <c r="L438"/>
      <c r="Q438"/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:131" ht="12.75">
      <c r="A439"/>
      <c r="C439"/>
      <c r="D439"/>
      <c r="E439"/>
      <c r="F439"/>
      <c r="G439"/>
      <c r="H439"/>
      <c r="I439"/>
      <c r="J439"/>
      <c r="K439"/>
      <c r="L439"/>
      <c r="Q439"/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:131" ht="12.75">
      <c r="A440"/>
      <c r="C440"/>
      <c r="D440"/>
      <c r="E440"/>
      <c r="F440"/>
      <c r="G440"/>
      <c r="H440"/>
      <c r="I440"/>
      <c r="J440"/>
      <c r="K440"/>
      <c r="L440"/>
      <c r="Q440"/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:131" ht="12.75">
      <c r="A441"/>
      <c r="C441"/>
      <c r="D441"/>
      <c r="E441"/>
      <c r="F441"/>
      <c r="G441"/>
      <c r="H441"/>
      <c r="I441"/>
      <c r="J441"/>
      <c r="K441"/>
      <c r="L441"/>
      <c r="Q441"/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:131" ht="12.75">
      <c r="A442"/>
      <c r="C442"/>
      <c r="D442"/>
      <c r="E442"/>
      <c r="F442"/>
      <c r="G442"/>
      <c r="H442"/>
      <c r="I442"/>
      <c r="J442"/>
      <c r="K442"/>
      <c r="L442"/>
      <c r="Q442"/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:131" ht="12.75">
      <c r="A443"/>
      <c r="C443"/>
      <c r="D443"/>
      <c r="E443"/>
      <c r="F443"/>
      <c r="G443"/>
      <c r="H443"/>
      <c r="I443"/>
      <c r="J443"/>
      <c r="K443"/>
      <c r="L443"/>
      <c r="Q443"/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:131" ht="12.75">
      <c r="A444"/>
      <c r="C444"/>
      <c r="D444"/>
      <c r="E444"/>
      <c r="F444"/>
      <c r="G444"/>
      <c r="H444"/>
      <c r="I444"/>
      <c r="J444"/>
      <c r="K444"/>
      <c r="L444"/>
      <c r="Q444"/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:131" ht="12.75">
      <c r="A445"/>
      <c r="C445"/>
      <c r="D445"/>
      <c r="E445"/>
      <c r="F445"/>
      <c r="G445"/>
      <c r="H445"/>
      <c r="I445"/>
      <c r="J445"/>
      <c r="K445"/>
      <c r="L445"/>
      <c r="Q445"/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:131" ht="12.75">
      <c r="A446"/>
      <c r="C446"/>
      <c r="D446"/>
      <c r="E446"/>
      <c r="F446"/>
      <c r="G446"/>
      <c r="H446"/>
      <c r="I446"/>
      <c r="J446"/>
      <c r="K446"/>
      <c r="L446"/>
      <c r="Q446"/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:131" ht="12.75">
      <c r="A447"/>
      <c r="C447"/>
      <c r="D447"/>
      <c r="E447"/>
      <c r="F447"/>
      <c r="G447"/>
      <c r="H447"/>
      <c r="I447"/>
      <c r="J447"/>
      <c r="K447"/>
      <c r="L447"/>
      <c r="Q447"/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:131" ht="12.75">
      <c r="A448"/>
      <c r="C448"/>
      <c r="D448"/>
      <c r="E448"/>
      <c r="F448"/>
      <c r="G448"/>
      <c r="H448"/>
      <c r="I448"/>
      <c r="J448"/>
      <c r="K448"/>
      <c r="L448"/>
      <c r="Q448"/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:131" ht="12.75">
      <c r="A449"/>
      <c r="C449"/>
      <c r="D449"/>
      <c r="E449"/>
      <c r="F449"/>
      <c r="G449"/>
      <c r="H449"/>
      <c r="I449"/>
      <c r="J449"/>
      <c r="K449"/>
      <c r="L449"/>
      <c r="Q449"/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:131" ht="12.75">
      <c r="A450"/>
      <c r="C450"/>
      <c r="D450"/>
      <c r="E450"/>
      <c r="F450"/>
      <c r="G450"/>
      <c r="H450"/>
      <c r="I450"/>
      <c r="J450"/>
      <c r="K450"/>
      <c r="L450"/>
      <c r="Q450"/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:131" ht="12.75">
      <c r="A451"/>
      <c r="C451"/>
      <c r="D451"/>
      <c r="E451"/>
      <c r="F451"/>
      <c r="G451"/>
      <c r="H451"/>
      <c r="I451"/>
      <c r="J451"/>
      <c r="K451"/>
      <c r="L451"/>
      <c r="Q451"/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:131" ht="12.75">
      <c r="A452"/>
      <c r="C452"/>
      <c r="D452"/>
      <c r="E452"/>
      <c r="F452"/>
      <c r="G452"/>
      <c r="H452"/>
      <c r="I452"/>
      <c r="J452"/>
      <c r="K452"/>
      <c r="L452"/>
      <c r="Q452"/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:131" ht="12.75">
      <c r="A453"/>
      <c r="C453"/>
      <c r="D453"/>
      <c r="E453"/>
      <c r="F453"/>
      <c r="G453"/>
      <c r="H453"/>
      <c r="I453"/>
      <c r="J453"/>
      <c r="K453"/>
      <c r="L453"/>
      <c r="Q453"/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:131" ht="12.75">
      <c r="A454"/>
      <c r="C454"/>
      <c r="D454"/>
      <c r="E454"/>
      <c r="F454"/>
      <c r="G454"/>
      <c r="H454"/>
      <c r="I454"/>
      <c r="J454"/>
      <c r="K454"/>
      <c r="L454"/>
      <c r="Q454"/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:131" ht="12.75">
      <c r="A455"/>
      <c r="C455"/>
      <c r="D455"/>
      <c r="E455"/>
      <c r="F455"/>
      <c r="G455"/>
      <c r="H455"/>
      <c r="I455"/>
      <c r="J455"/>
      <c r="K455"/>
      <c r="L455"/>
      <c r="Q455"/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:131" ht="12.75">
      <c r="A456"/>
      <c r="C456"/>
      <c r="D456"/>
      <c r="E456"/>
      <c r="F456"/>
      <c r="G456"/>
      <c r="H456"/>
      <c r="I456"/>
      <c r="J456"/>
      <c r="K456"/>
      <c r="L456"/>
      <c r="Q456"/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:131" ht="12.75">
      <c r="A457"/>
      <c r="C457"/>
      <c r="D457"/>
      <c r="E457"/>
      <c r="F457"/>
      <c r="G457"/>
      <c r="H457"/>
      <c r="I457"/>
      <c r="J457"/>
      <c r="K457"/>
      <c r="L457"/>
      <c r="Q457"/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:131" ht="12.75">
      <c r="A458"/>
      <c r="C458"/>
      <c r="D458"/>
      <c r="E458"/>
      <c r="F458"/>
      <c r="G458"/>
      <c r="H458"/>
      <c r="I458"/>
      <c r="J458"/>
      <c r="K458"/>
      <c r="L458"/>
      <c r="Q458"/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:131" ht="12.75">
      <c r="A459"/>
      <c r="C459"/>
      <c r="D459"/>
      <c r="E459"/>
      <c r="F459"/>
      <c r="G459"/>
      <c r="H459"/>
      <c r="I459"/>
      <c r="J459"/>
      <c r="K459"/>
      <c r="L459"/>
      <c r="Q459"/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:131" ht="12.75">
      <c r="A460"/>
      <c r="C460"/>
      <c r="D460"/>
      <c r="E460"/>
      <c r="F460"/>
      <c r="G460"/>
      <c r="H460"/>
      <c r="I460"/>
      <c r="J460"/>
      <c r="K460"/>
      <c r="L460"/>
      <c r="Q460"/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:131" ht="12.75">
      <c r="A461"/>
      <c r="C461"/>
      <c r="D461"/>
      <c r="E461"/>
      <c r="F461"/>
      <c r="G461"/>
      <c r="H461"/>
      <c r="I461"/>
      <c r="J461"/>
      <c r="K461"/>
      <c r="L461"/>
      <c r="Q461"/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:131" ht="12.75">
      <c r="A462"/>
      <c r="C462"/>
      <c r="D462"/>
      <c r="E462"/>
      <c r="F462"/>
      <c r="G462"/>
      <c r="H462"/>
      <c r="I462"/>
      <c r="J462"/>
      <c r="K462"/>
      <c r="L462"/>
      <c r="Q462"/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:131" ht="12.75">
      <c r="A463"/>
      <c r="C463"/>
      <c r="D463"/>
      <c r="E463"/>
      <c r="F463"/>
      <c r="G463"/>
      <c r="H463"/>
      <c r="I463"/>
      <c r="J463"/>
      <c r="K463"/>
      <c r="L463"/>
      <c r="Q463"/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:131" ht="12.75">
      <c r="A464"/>
      <c r="C464"/>
      <c r="D464"/>
      <c r="E464"/>
      <c r="F464"/>
      <c r="G464"/>
      <c r="H464"/>
      <c r="I464"/>
      <c r="J464"/>
      <c r="K464"/>
      <c r="L464"/>
      <c r="Q464"/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:131" ht="12.75">
      <c r="A465"/>
      <c r="C465"/>
      <c r="D465"/>
      <c r="E465"/>
      <c r="F465"/>
      <c r="G465"/>
      <c r="H465"/>
      <c r="I465"/>
      <c r="J465"/>
      <c r="K465"/>
      <c r="L465"/>
      <c r="Q465"/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:131" ht="12.75">
      <c r="A466"/>
      <c r="C466"/>
      <c r="D466"/>
      <c r="E466"/>
      <c r="F466"/>
      <c r="G466"/>
      <c r="H466"/>
      <c r="I466"/>
      <c r="J466"/>
      <c r="K466"/>
      <c r="L466"/>
      <c r="Q466"/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:131" ht="12.75">
      <c r="A467"/>
      <c r="C467"/>
      <c r="D467"/>
      <c r="E467"/>
      <c r="F467"/>
      <c r="G467"/>
      <c r="H467"/>
      <c r="I467"/>
      <c r="J467"/>
      <c r="K467"/>
      <c r="L467"/>
      <c r="Q467"/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:131" ht="12.75">
      <c r="A468"/>
      <c r="C468"/>
      <c r="D468"/>
      <c r="E468"/>
      <c r="F468"/>
      <c r="G468"/>
      <c r="H468"/>
      <c r="I468"/>
      <c r="J468"/>
      <c r="K468"/>
      <c r="L468"/>
      <c r="Q468"/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:131" ht="12.75">
      <c r="A469"/>
      <c r="C469"/>
      <c r="D469"/>
      <c r="E469"/>
      <c r="F469"/>
      <c r="G469"/>
      <c r="H469"/>
      <c r="I469"/>
      <c r="J469"/>
      <c r="K469"/>
      <c r="L469"/>
      <c r="Q469"/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:131" ht="12.75">
      <c r="A470"/>
      <c r="C470"/>
      <c r="D470"/>
      <c r="E470"/>
      <c r="F470"/>
      <c r="G470"/>
      <c r="H470"/>
      <c r="I470"/>
      <c r="J470"/>
      <c r="K470"/>
      <c r="L470"/>
      <c r="Q470"/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:131" ht="12.75">
      <c r="A471"/>
      <c r="C471"/>
      <c r="D471"/>
      <c r="E471"/>
      <c r="F471"/>
      <c r="G471"/>
      <c r="H471"/>
      <c r="I471"/>
      <c r="J471"/>
      <c r="K471"/>
      <c r="L471"/>
      <c r="Q471"/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:131" ht="12.75">
      <c r="A472"/>
      <c r="C472"/>
      <c r="D472"/>
      <c r="E472"/>
      <c r="F472"/>
      <c r="G472"/>
      <c r="H472"/>
      <c r="I472"/>
      <c r="J472"/>
      <c r="K472"/>
      <c r="L472"/>
      <c r="Q472"/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:131" ht="12.75">
      <c r="A473"/>
      <c r="C473"/>
      <c r="D473"/>
      <c r="E473"/>
      <c r="F473"/>
      <c r="G473"/>
      <c r="H473"/>
      <c r="I473"/>
      <c r="J473"/>
      <c r="K473"/>
      <c r="L473"/>
      <c r="Q473"/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:131" ht="12.75">
      <c r="A474"/>
      <c r="C474"/>
      <c r="D474"/>
      <c r="E474"/>
      <c r="F474"/>
      <c r="G474"/>
      <c r="H474"/>
      <c r="I474"/>
      <c r="J474"/>
      <c r="K474"/>
      <c r="L474"/>
      <c r="Q474"/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:131" ht="12.75">
      <c r="A475"/>
      <c r="C475"/>
      <c r="D475"/>
      <c r="E475"/>
      <c r="F475"/>
      <c r="G475"/>
      <c r="H475"/>
      <c r="I475"/>
      <c r="J475"/>
      <c r="K475"/>
      <c r="L475"/>
      <c r="Q475"/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:131" ht="12.75">
      <c r="A476"/>
      <c r="C476"/>
      <c r="D476"/>
      <c r="E476"/>
      <c r="F476"/>
      <c r="G476"/>
      <c r="H476"/>
      <c r="I476"/>
      <c r="J476"/>
      <c r="K476"/>
      <c r="L476"/>
      <c r="Q476"/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:131" ht="12.75">
      <c r="A477"/>
      <c r="C477"/>
      <c r="D477"/>
      <c r="E477"/>
      <c r="F477"/>
      <c r="G477"/>
      <c r="H477"/>
      <c r="I477"/>
      <c r="J477"/>
      <c r="K477"/>
      <c r="L477"/>
      <c r="Q477"/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:131" ht="12.75">
      <c r="A478"/>
      <c r="C478"/>
      <c r="D478"/>
      <c r="E478"/>
      <c r="F478"/>
      <c r="G478"/>
      <c r="H478"/>
      <c r="I478"/>
      <c r="J478"/>
      <c r="K478"/>
      <c r="L478"/>
      <c r="Q478"/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:131" ht="12.75">
      <c r="A479"/>
      <c r="C479"/>
      <c r="D479"/>
      <c r="E479"/>
      <c r="F479"/>
      <c r="G479"/>
      <c r="H479"/>
      <c r="I479"/>
      <c r="J479"/>
      <c r="K479"/>
      <c r="L479"/>
      <c r="Q479"/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:131" ht="12.75">
      <c r="A480"/>
      <c r="C480"/>
      <c r="D480"/>
      <c r="E480"/>
      <c r="F480"/>
      <c r="G480"/>
      <c r="H480"/>
      <c r="I480"/>
      <c r="J480"/>
      <c r="K480"/>
      <c r="L480"/>
      <c r="Q480"/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:131" ht="12.75">
      <c r="A481"/>
      <c r="C481"/>
      <c r="D481"/>
      <c r="E481"/>
      <c r="F481"/>
      <c r="G481"/>
      <c r="H481"/>
      <c r="I481"/>
      <c r="J481"/>
      <c r="K481"/>
      <c r="L481"/>
      <c r="Q481"/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:131" ht="12.75">
      <c r="A482"/>
      <c r="C482"/>
      <c r="D482"/>
      <c r="E482"/>
      <c r="F482"/>
      <c r="G482"/>
      <c r="H482"/>
      <c r="I482"/>
      <c r="J482"/>
      <c r="K482"/>
      <c r="L482"/>
      <c r="Q482"/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:131" ht="12.75">
      <c r="A483"/>
      <c r="C483"/>
      <c r="D483"/>
      <c r="E483"/>
      <c r="F483"/>
      <c r="G483"/>
      <c r="H483"/>
      <c r="I483"/>
      <c r="J483"/>
      <c r="K483"/>
      <c r="L483"/>
      <c r="Q483"/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:131" ht="12.75">
      <c r="A484"/>
      <c r="C484"/>
      <c r="D484"/>
      <c r="E484"/>
      <c r="F484"/>
      <c r="G484"/>
      <c r="H484"/>
      <c r="I484"/>
      <c r="J484"/>
      <c r="K484"/>
      <c r="L484"/>
      <c r="Q484"/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:131" ht="12.75">
      <c r="A485"/>
      <c r="C485"/>
      <c r="D485"/>
      <c r="E485"/>
      <c r="F485"/>
      <c r="G485"/>
      <c r="H485"/>
      <c r="I485"/>
      <c r="J485"/>
      <c r="K485"/>
      <c r="L485"/>
      <c r="Q485"/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:131" ht="12.75">
      <c r="A486"/>
      <c r="C486"/>
      <c r="D486"/>
      <c r="E486"/>
      <c r="F486"/>
      <c r="G486"/>
      <c r="H486"/>
      <c r="I486"/>
      <c r="J486"/>
      <c r="K486"/>
      <c r="L486"/>
      <c r="Q486"/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:131" ht="12.75">
      <c r="A487"/>
      <c r="C487"/>
      <c r="D487"/>
      <c r="E487"/>
      <c r="F487"/>
      <c r="G487"/>
      <c r="H487"/>
      <c r="I487"/>
      <c r="J487"/>
      <c r="K487"/>
      <c r="L487"/>
      <c r="Q487"/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:131" ht="12.75">
      <c r="A488"/>
      <c r="C488"/>
      <c r="D488"/>
      <c r="E488"/>
      <c r="F488"/>
      <c r="G488"/>
      <c r="H488"/>
      <c r="I488"/>
      <c r="J488"/>
      <c r="K488"/>
      <c r="L488"/>
      <c r="Q488"/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:131" ht="12.75">
      <c r="A489"/>
      <c r="C489"/>
      <c r="D489"/>
      <c r="E489"/>
      <c r="F489"/>
      <c r="G489"/>
      <c r="H489"/>
      <c r="I489"/>
      <c r="J489"/>
      <c r="K489"/>
      <c r="L489"/>
      <c r="Q489"/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:131" ht="12.75">
      <c r="A490"/>
      <c r="C490"/>
      <c r="D490"/>
      <c r="E490"/>
      <c r="F490"/>
      <c r="G490"/>
      <c r="H490"/>
      <c r="I490"/>
      <c r="J490"/>
      <c r="K490"/>
      <c r="L490"/>
      <c r="Q490"/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:131" ht="12.75">
      <c r="A491"/>
      <c r="C491"/>
      <c r="D491"/>
      <c r="E491"/>
      <c r="F491"/>
      <c r="G491"/>
      <c r="H491"/>
      <c r="I491"/>
      <c r="J491"/>
      <c r="K491"/>
      <c r="L491"/>
      <c r="Q491"/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:131" ht="12.75">
      <c r="A492"/>
      <c r="C492"/>
      <c r="D492"/>
      <c r="E492"/>
      <c r="F492"/>
      <c r="G492"/>
      <c r="H492"/>
      <c r="I492"/>
      <c r="J492"/>
      <c r="K492"/>
      <c r="L492"/>
      <c r="Q492"/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:131" ht="12.75">
      <c r="A493"/>
      <c r="C493"/>
      <c r="D493"/>
      <c r="E493"/>
      <c r="F493"/>
      <c r="G493"/>
      <c r="H493"/>
      <c r="I493"/>
      <c r="J493"/>
      <c r="K493"/>
      <c r="L493"/>
      <c r="Q493"/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:131" ht="12.75">
      <c r="A494"/>
      <c r="C494"/>
      <c r="D494"/>
      <c r="E494"/>
      <c r="F494"/>
      <c r="G494"/>
      <c r="H494"/>
      <c r="I494"/>
      <c r="J494"/>
      <c r="K494"/>
      <c r="L494"/>
      <c r="Q494"/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:131" ht="12.75">
      <c r="A495"/>
      <c r="C495"/>
      <c r="D495"/>
      <c r="E495"/>
      <c r="F495"/>
      <c r="G495"/>
      <c r="H495"/>
      <c r="I495"/>
      <c r="J495"/>
      <c r="K495"/>
      <c r="L495"/>
      <c r="Q495"/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:131" ht="12.75">
      <c r="A496"/>
      <c r="C496"/>
      <c r="D496"/>
      <c r="E496"/>
      <c r="F496"/>
      <c r="G496"/>
      <c r="H496"/>
      <c r="I496"/>
      <c r="J496"/>
      <c r="K496"/>
      <c r="L496"/>
      <c r="Q496"/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:131" ht="12.75">
      <c r="A497"/>
      <c r="C497"/>
      <c r="D497"/>
      <c r="E497"/>
      <c r="F497"/>
      <c r="G497"/>
      <c r="H497"/>
      <c r="I497"/>
      <c r="J497"/>
      <c r="K497"/>
      <c r="L497"/>
      <c r="Q497"/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:131" ht="12.75">
      <c r="A498"/>
      <c r="C498"/>
      <c r="D498"/>
      <c r="E498"/>
      <c r="F498"/>
      <c r="G498"/>
      <c r="H498"/>
      <c r="I498"/>
      <c r="J498"/>
      <c r="K498"/>
      <c r="L498"/>
      <c r="Q498"/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:131" ht="12.75">
      <c r="A499"/>
      <c r="C499"/>
      <c r="D499"/>
      <c r="E499"/>
      <c r="F499"/>
      <c r="G499"/>
      <c r="H499"/>
      <c r="I499"/>
      <c r="J499"/>
      <c r="K499"/>
      <c r="L499"/>
      <c r="Q499"/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:131" ht="12.75">
      <c r="A500"/>
      <c r="C500"/>
      <c r="D500"/>
      <c r="E500"/>
      <c r="F500"/>
      <c r="G500"/>
      <c r="H500"/>
      <c r="I500"/>
      <c r="J500"/>
      <c r="K500"/>
      <c r="L500"/>
      <c r="Q500"/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:131" ht="12.75">
      <c r="A501"/>
      <c r="C501"/>
      <c r="D501"/>
      <c r="E501"/>
      <c r="F501"/>
      <c r="G501"/>
      <c r="H501"/>
      <c r="I501"/>
      <c r="J501"/>
      <c r="K501"/>
      <c r="L501"/>
      <c r="Q501"/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:131" ht="12.75">
      <c r="A502"/>
      <c r="C502"/>
      <c r="D502"/>
      <c r="E502"/>
      <c r="F502"/>
      <c r="G502"/>
      <c r="H502"/>
      <c r="I502"/>
      <c r="J502"/>
      <c r="K502"/>
      <c r="L502"/>
      <c r="Q502"/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:131" ht="12.75">
      <c r="A503"/>
      <c r="C503"/>
      <c r="D503"/>
      <c r="E503"/>
      <c r="F503"/>
      <c r="G503"/>
      <c r="H503"/>
      <c r="I503"/>
      <c r="J503"/>
      <c r="K503"/>
      <c r="L503"/>
      <c r="Q503"/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:131" ht="12.75">
      <c r="A504"/>
      <c r="C504"/>
      <c r="D504"/>
      <c r="E504"/>
      <c r="F504"/>
      <c r="G504"/>
      <c r="H504"/>
      <c r="I504"/>
      <c r="J504"/>
      <c r="K504"/>
      <c r="L504"/>
      <c r="Q504"/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:131" ht="12.75">
      <c r="A505"/>
      <c r="C505"/>
      <c r="D505"/>
      <c r="E505"/>
      <c r="F505"/>
      <c r="G505"/>
      <c r="H505"/>
      <c r="I505"/>
      <c r="J505"/>
      <c r="K505"/>
      <c r="L505"/>
      <c r="Q505"/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:131" ht="12.75">
      <c r="A506"/>
      <c r="C506"/>
      <c r="D506"/>
      <c r="E506"/>
      <c r="F506"/>
      <c r="G506"/>
      <c r="H506"/>
      <c r="I506"/>
      <c r="J506"/>
      <c r="K506"/>
      <c r="L506"/>
      <c r="Q506"/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:131" ht="12.75">
      <c r="A507"/>
      <c r="C507"/>
      <c r="D507"/>
      <c r="E507"/>
      <c r="F507"/>
      <c r="G507"/>
      <c r="H507"/>
      <c r="I507"/>
      <c r="J507"/>
      <c r="K507"/>
      <c r="L507"/>
      <c r="Q507"/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:131" ht="12.75">
      <c r="A508"/>
      <c r="C508"/>
      <c r="D508"/>
      <c r="E508"/>
      <c r="F508"/>
      <c r="G508"/>
      <c r="H508"/>
      <c r="I508"/>
      <c r="J508"/>
      <c r="K508"/>
      <c r="L508"/>
      <c r="Q508"/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:131" ht="12.75">
      <c r="A509"/>
      <c r="C509"/>
      <c r="D509"/>
      <c r="E509"/>
      <c r="F509"/>
      <c r="G509"/>
      <c r="H509"/>
      <c r="I509"/>
      <c r="J509"/>
      <c r="K509"/>
      <c r="L509"/>
      <c r="Q509"/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:131" ht="12.75">
      <c r="A510"/>
      <c r="C510"/>
      <c r="D510"/>
      <c r="E510"/>
      <c r="F510"/>
      <c r="G510"/>
      <c r="H510"/>
      <c r="I510"/>
      <c r="J510"/>
      <c r="K510"/>
      <c r="L510"/>
      <c r="Q510"/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:131" ht="12.75">
      <c r="A511"/>
      <c r="C511"/>
      <c r="D511"/>
      <c r="E511"/>
      <c r="F511"/>
      <c r="G511"/>
      <c r="H511"/>
      <c r="I511"/>
      <c r="J511"/>
      <c r="K511"/>
      <c r="L511"/>
      <c r="Q511"/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:131" ht="12.75">
      <c r="A512"/>
      <c r="C512"/>
      <c r="D512"/>
      <c r="E512"/>
      <c r="F512"/>
      <c r="G512"/>
      <c r="H512"/>
      <c r="I512"/>
      <c r="J512"/>
      <c r="K512"/>
      <c r="L512"/>
      <c r="Q512"/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:131" ht="12.75">
      <c r="A513"/>
      <c r="C513"/>
      <c r="D513"/>
      <c r="E513"/>
      <c r="F513"/>
      <c r="G513"/>
      <c r="H513"/>
      <c r="I513"/>
      <c r="J513"/>
      <c r="K513"/>
      <c r="L513"/>
      <c r="Q513"/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:131" ht="12.75">
      <c r="A514"/>
      <c r="C514"/>
      <c r="D514"/>
      <c r="E514"/>
      <c r="F514"/>
      <c r="G514"/>
      <c r="H514"/>
      <c r="I514"/>
      <c r="J514"/>
      <c r="K514"/>
      <c r="L514"/>
      <c r="Q514"/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:131" ht="12.75">
      <c r="A515"/>
      <c r="C515"/>
      <c r="D515"/>
      <c r="E515"/>
      <c r="F515"/>
      <c r="G515"/>
      <c r="H515"/>
      <c r="I515"/>
      <c r="J515"/>
      <c r="K515"/>
      <c r="L515"/>
      <c r="Q515"/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:131" ht="12.75">
      <c r="A516"/>
      <c r="C516"/>
      <c r="D516"/>
      <c r="E516"/>
      <c r="F516"/>
      <c r="G516"/>
      <c r="H516"/>
      <c r="I516"/>
      <c r="J516"/>
      <c r="K516"/>
      <c r="L516"/>
      <c r="Q516"/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:131" ht="12.75">
      <c r="A517"/>
      <c r="C517"/>
      <c r="D517"/>
      <c r="E517"/>
      <c r="F517"/>
      <c r="G517"/>
      <c r="H517"/>
      <c r="I517"/>
      <c r="J517"/>
      <c r="K517"/>
      <c r="L517"/>
      <c r="Q517"/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:131" ht="12.75">
      <c r="A518"/>
      <c r="C518"/>
      <c r="D518"/>
      <c r="E518"/>
      <c r="F518"/>
      <c r="G518"/>
      <c r="H518"/>
      <c r="I518"/>
      <c r="J518"/>
      <c r="K518"/>
      <c r="L518"/>
      <c r="Q518"/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:131" ht="12.75">
      <c r="A519"/>
      <c r="C519"/>
      <c r="D519"/>
      <c r="E519"/>
      <c r="F519"/>
      <c r="G519"/>
      <c r="H519"/>
      <c r="I519"/>
      <c r="J519"/>
      <c r="K519"/>
      <c r="L519"/>
      <c r="Q519"/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:131" ht="12.75">
      <c r="A520"/>
      <c r="C520"/>
      <c r="D520"/>
      <c r="E520"/>
      <c r="F520"/>
      <c r="G520"/>
      <c r="H520"/>
      <c r="I520"/>
      <c r="J520"/>
      <c r="K520"/>
      <c r="L520"/>
      <c r="Q520"/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:131" ht="12.75">
      <c r="A521"/>
      <c r="C521"/>
      <c r="D521"/>
      <c r="E521"/>
      <c r="F521"/>
      <c r="G521"/>
      <c r="H521"/>
      <c r="I521"/>
      <c r="J521"/>
      <c r="K521"/>
      <c r="L521"/>
      <c r="Q521"/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:131" ht="12.75">
      <c r="A522"/>
      <c r="C522"/>
      <c r="D522"/>
      <c r="E522"/>
      <c r="F522"/>
      <c r="G522"/>
      <c r="H522"/>
      <c r="I522"/>
      <c r="J522"/>
      <c r="K522"/>
      <c r="L522"/>
      <c r="Q522"/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:131" ht="12.75">
      <c r="A523"/>
      <c r="C523"/>
      <c r="D523"/>
      <c r="E523"/>
      <c r="F523"/>
      <c r="G523"/>
      <c r="H523"/>
      <c r="I523"/>
      <c r="J523"/>
      <c r="K523"/>
      <c r="L523"/>
      <c r="Q523"/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:131" ht="12.75">
      <c r="A524"/>
      <c r="C524"/>
      <c r="D524"/>
      <c r="E524"/>
      <c r="F524"/>
      <c r="G524"/>
      <c r="H524"/>
      <c r="I524"/>
      <c r="J524"/>
      <c r="K524"/>
      <c r="L524"/>
      <c r="Q524"/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:131" ht="12.75">
      <c r="A525"/>
      <c r="C525"/>
      <c r="D525"/>
      <c r="E525"/>
      <c r="F525"/>
      <c r="G525"/>
      <c r="H525"/>
      <c r="I525"/>
      <c r="J525"/>
      <c r="K525"/>
      <c r="L525"/>
      <c r="Q525"/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:131" ht="12.75">
      <c r="A526"/>
      <c r="C526"/>
      <c r="D526"/>
      <c r="E526"/>
      <c r="F526"/>
      <c r="G526"/>
      <c r="H526"/>
      <c r="I526"/>
      <c r="J526"/>
      <c r="K526"/>
      <c r="L526"/>
      <c r="Q526"/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:131" ht="12.75">
      <c r="A527"/>
      <c r="C527"/>
      <c r="D527"/>
      <c r="E527"/>
      <c r="F527"/>
      <c r="G527"/>
      <c r="H527"/>
      <c r="I527"/>
      <c r="J527"/>
      <c r="K527"/>
      <c r="L527"/>
      <c r="Q527"/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:131" ht="12.75">
      <c r="A528"/>
      <c r="C528"/>
      <c r="D528"/>
      <c r="E528"/>
      <c r="F528"/>
      <c r="G528"/>
      <c r="H528"/>
      <c r="I528"/>
      <c r="J528"/>
      <c r="K528"/>
      <c r="L528"/>
      <c r="Q528"/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:131" ht="12.75">
      <c r="A529"/>
      <c r="C529"/>
      <c r="D529"/>
      <c r="E529"/>
      <c r="F529"/>
      <c r="G529"/>
      <c r="H529"/>
      <c r="I529"/>
      <c r="J529"/>
      <c r="K529"/>
      <c r="L529"/>
      <c r="Q529"/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:131" ht="12.75">
      <c r="A530"/>
      <c r="C530"/>
      <c r="D530"/>
      <c r="E530"/>
      <c r="F530"/>
      <c r="G530"/>
      <c r="H530"/>
      <c r="I530"/>
      <c r="J530"/>
      <c r="K530"/>
      <c r="L530"/>
      <c r="Q530"/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:131" ht="12.75">
      <c r="A531"/>
      <c r="C531"/>
      <c r="D531"/>
      <c r="E531"/>
      <c r="F531"/>
      <c r="G531"/>
      <c r="H531"/>
      <c r="I531"/>
      <c r="J531"/>
      <c r="K531"/>
      <c r="L531"/>
      <c r="Q531"/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:131" ht="12.75">
      <c r="A532"/>
      <c r="C532"/>
      <c r="D532"/>
      <c r="E532"/>
      <c r="F532"/>
      <c r="G532"/>
      <c r="H532"/>
      <c r="I532"/>
      <c r="J532"/>
      <c r="K532"/>
      <c r="L532"/>
      <c r="Q532"/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:131" ht="12.75">
      <c r="A533"/>
      <c r="C533"/>
      <c r="D533"/>
      <c r="E533"/>
      <c r="F533"/>
      <c r="G533"/>
      <c r="H533"/>
      <c r="I533"/>
      <c r="J533"/>
      <c r="K533"/>
      <c r="L533"/>
      <c r="Q533"/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:131" ht="12.75">
      <c r="A534"/>
      <c r="C534"/>
      <c r="D534"/>
      <c r="E534"/>
      <c r="F534"/>
      <c r="G534"/>
      <c r="H534"/>
      <c r="I534"/>
      <c r="J534"/>
      <c r="K534"/>
      <c r="L534"/>
      <c r="Q534"/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:131" ht="12.75">
      <c r="A535"/>
      <c r="C535"/>
      <c r="D535"/>
      <c r="E535"/>
      <c r="F535"/>
      <c r="G535"/>
      <c r="H535"/>
      <c r="I535"/>
      <c r="J535"/>
      <c r="K535"/>
      <c r="L535"/>
      <c r="Q535"/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:131" ht="12.75">
      <c r="A536"/>
      <c r="C536"/>
      <c r="D536"/>
      <c r="E536"/>
      <c r="F536"/>
      <c r="G536"/>
      <c r="H536"/>
      <c r="I536"/>
      <c r="J536"/>
      <c r="K536"/>
      <c r="L536"/>
      <c r="Q536"/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:131" ht="12.75">
      <c r="A537"/>
      <c r="C537"/>
      <c r="D537"/>
      <c r="E537"/>
      <c r="F537"/>
      <c r="G537"/>
      <c r="H537"/>
      <c r="I537"/>
      <c r="J537"/>
      <c r="K537"/>
      <c r="L537"/>
      <c r="Q537"/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:131" ht="12.75">
      <c r="A538"/>
      <c r="C538"/>
      <c r="D538"/>
      <c r="E538"/>
      <c r="F538"/>
      <c r="G538"/>
      <c r="H538"/>
      <c r="I538"/>
      <c r="J538"/>
      <c r="K538"/>
      <c r="L538"/>
      <c r="Q538"/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:131" ht="12.75">
      <c r="A539"/>
      <c r="C539"/>
      <c r="D539"/>
      <c r="E539"/>
      <c r="F539"/>
      <c r="G539"/>
      <c r="H539"/>
      <c r="I539"/>
      <c r="J539"/>
      <c r="K539"/>
      <c r="L539"/>
      <c r="Q539"/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:131" ht="12.75">
      <c r="A540"/>
      <c r="C540"/>
      <c r="D540"/>
      <c r="E540"/>
      <c r="F540"/>
      <c r="G540"/>
      <c r="H540"/>
      <c r="I540"/>
      <c r="J540"/>
      <c r="K540"/>
      <c r="L540"/>
      <c r="Q540"/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:131" ht="12.75">
      <c r="A541"/>
      <c r="C541"/>
      <c r="D541"/>
      <c r="E541"/>
      <c r="F541"/>
      <c r="G541"/>
      <c r="H541"/>
      <c r="I541"/>
      <c r="J541"/>
      <c r="K541"/>
      <c r="L541"/>
      <c r="Q541"/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:131" ht="12.75">
      <c r="A542"/>
      <c r="C542"/>
      <c r="D542"/>
      <c r="E542"/>
      <c r="F542"/>
      <c r="G542"/>
      <c r="H542"/>
      <c r="I542"/>
      <c r="J542"/>
      <c r="K542"/>
      <c r="L542"/>
      <c r="Q542"/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:131" ht="12.75">
      <c r="A543"/>
      <c r="C543"/>
      <c r="D543"/>
      <c r="E543"/>
      <c r="F543"/>
      <c r="G543"/>
      <c r="H543"/>
      <c r="I543"/>
      <c r="J543"/>
      <c r="K543"/>
      <c r="L543"/>
      <c r="Q543"/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:131" ht="12.75">
      <c r="A544"/>
      <c r="C544"/>
      <c r="D544"/>
      <c r="E544"/>
      <c r="F544"/>
      <c r="G544"/>
      <c r="H544"/>
      <c r="I544"/>
      <c r="J544"/>
      <c r="K544"/>
      <c r="L544"/>
      <c r="Q544"/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:131" ht="12.75">
      <c r="A545"/>
      <c r="C545"/>
      <c r="D545"/>
      <c r="E545"/>
      <c r="F545"/>
      <c r="G545"/>
      <c r="H545"/>
      <c r="I545"/>
      <c r="J545"/>
      <c r="K545"/>
      <c r="L545"/>
      <c r="Q545"/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:131" ht="12.75">
      <c r="A546"/>
      <c r="C546"/>
      <c r="D546"/>
      <c r="E546"/>
      <c r="F546"/>
      <c r="G546"/>
      <c r="H546"/>
      <c r="I546"/>
      <c r="J546"/>
      <c r="K546"/>
      <c r="L546"/>
      <c r="Q546"/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:131" ht="12.75">
      <c r="A547"/>
      <c r="C547"/>
      <c r="D547"/>
      <c r="E547"/>
      <c r="F547"/>
      <c r="G547"/>
      <c r="H547"/>
      <c r="I547"/>
      <c r="J547"/>
      <c r="K547"/>
      <c r="L547"/>
      <c r="Q547"/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:131" ht="12.75">
      <c r="A548"/>
      <c r="C548"/>
      <c r="D548"/>
      <c r="E548"/>
      <c r="F548"/>
      <c r="G548"/>
      <c r="H548"/>
      <c r="I548"/>
      <c r="J548"/>
      <c r="K548"/>
      <c r="L548"/>
      <c r="Q548"/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:131" ht="12.75">
      <c r="A549"/>
      <c r="C549"/>
      <c r="D549"/>
      <c r="E549"/>
      <c r="F549"/>
      <c r="G549"/>
      <c r="H549"/>
      <c r="I549"/>
      <c r="J549"/>
      <c r="K549"/>
      <c r="L549"/>
      <c r="Q549"/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:131" ht="12.75">
      <c r="A550"/>
      <c r="C550"/>
      <c r="D550"/>
      <c r="E550"/>
      <c r="F550"/>
      <c r="G550"/>
      <c r="H550"/>
      <c r="I550"/>
      <c r="J550"/>
      <c r="K550"/>
      <c r="L550"/>
      <c r="Q550"/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:131" ht="12.75">
      <c r="A551"/>
      <c r="C551"/>
      <c r="D551"/>
      <c r="E551"/>
      <c r="F551"/>
      <c r="G551"/>
      <c r="H551"/>
      <c r="I551"/>
      <c r="J551"/>
      <c r="K551"/>
      <c r="L551"/>
      <c r="Q551"/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:131" ht="12.75">
      <c r="A552"/>
      <c r="C552"/>
      <c r="D552"/>
      <c r="E552"/>
      <c r="F552"/>
      <c r="G552"/>
      <c r="H552"/>
      <c r="I552"/>
      <c r="J552"/>
      <c r="K552"/>
      <c r="L552"/>
      <c r="Q552"/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:131" ht="12.75">
      <c r="A553"/>
      <c r="C553"/>
      <c r="D553"/>
      <c r="E553"/>
      <c r="F553"/>
      <c r="G553"/>
      <c r="H553"/>
      <c r="I553"/>
      <c r="J553"/>
      <c r="K553"/>
      <c r="L553"/>
      <c r="Q553"/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:131" ht="12.75">
      <c r="A554"/>
      <c r="C554"/>
      <c r="D554"/>
      <c r="E554"/>
      <c r="F554"/>
      <c r="G554"/>
      <c r="H554"/>
      <c r="I554"/>
      <c r="J554"/>
      <c r="K554"/>
      <c r="L554"/>
      <c r="Q554"/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:131" ht="12.75">
      <c r="A555"/>
      <c r="C555"/>
      <c r="D555"/>
      <c r="E555"/>
      <c r="F555"/>
      <c r="G555"/>
      <c r="H555"/>
      <c r="I555"/>
      <c r="J555"/>
      <c r="K555"/>
      <c r="L555"/>
      <c r="Q555"/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:131" ht="12.75">
      <c r="A556"/>
      <c r="C556"/>
      <c r="D556"/>
      <c r="E556"/>
      <c r="F556"/>
      <c r="G556"/>
      <c r="H556"/>
      <c r="I556"/>
      <c r="J556"/>
      <c r="K556"/>
      <c r="L556"/>
      <c r="Q556"/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:131" ht="12.75">
      <c r="A557"/>
      <c r="C557"/>
      <c r="D557"/>
      <c r="E557"/>
      <c r="F557"/>
      <c r="G557"/>
      <c r="H557"/>
      <c r="I557"/>
      <c r="J557"/>
      <c r="K557"/>
      <c r="L557"/>
      <c r="Q557"/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:131" ht="12.75">
      <c r="A558"/>
      <c r="C558"/>
      <c r="D558"/>
      <c r="E558"/>
      <c r="F558"/>
      <c r="G558"/>
      <c r="H558"/>
      <c r="I558"/>
      <c r="J558"/>
      <c r="K558"/>
      <c r="L558"/>
      <c r="Q558"/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:131" ht="12.75">
      <c r="A559"/>
      <c r="C559"/>
      <c r="D559"/>
      <c r="E559"/>
      <c r="F559"/>
      <c r="G559"/>
      <c r="H559"/>
      <c r="I559"/>
      <c r="J559"/>
      <c r="K559"/>
      <c r="L559"/>
      <c r="Q559"/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:131" ht="12.75">
      <c r="A560"/>
      <c r="C560"/>
      <c r="D560"/>
      <c r="E560"/>
      <c r="F560"/>
      <c r="G560"/>
      <c r="H560"/>
      <c r="I560"/>
      <c r="J560"/>
      <c r="K560"/>
      <c r="L560"/>
      <c r="Q560"/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:131" ht="12.75">
      <c r="A561"/>
      <c r="C561"/>
      <c r="D561"/>
      <c r="E561"/>
      <c r="F561"/>
      <c r="G561"/>
      <c r="H561"/>
      <c r="I561"/>
      <c r="J561"/>
      <c r="K561"/>
      <c r="L561"/>
      <c r="Q561"/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:131" ht="12.75">
      <c r="A562"/>
      <c r="C562"/>
      <c r="D562"/>
      <c r="E562"/>
      <c r="F562"/>
      <c r="G562"/>
      <c r="H562"/>
      <c r="I562"/>
      <c r="J562"/>
      <c r="K562"/>
      <c r="L562"/>
      <c r="Q562"/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:131" ht="12.75">
      <c r="A563"/>
      <c r="C563"/>
      <c r="D563"/>
      <c r="E563"/>
      <c r="F563"/>
      <c r="G563"/>
      <c r="H563"/>
      <c r="I563"/>
      <c r="J563"/>
      <c r="K563"/>
      <c r="L563"/>
      <c r="Q563"/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1:131" ht="12.75">
      <c r="A564"/>
      <c r="C564"/>
      <c r="D564"/>
      <c r="E564"/>
      <c r="F564"/>
      <c r="G564"/>
      <c r="H564"/>
      <c r="I564"/>
      <c r="J564"/>
      <c r="K564"/>
      <c r="L564"/>
      <c r="Q564"/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1:131" ht="12.75">
      <c r="A565"/>
      <c r="C565"/>
      <c r="D565"/>
      <c r="E565"/>
      <c r="F565"/>
      <c r="G565"/>
      <c r="H565"/>
      <c r="I565"/>
      <c r="J565"/>
      <c r="K565"/>
      <c r="L565"/>
      <c r="Q565"/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75"/>
  <sheetViews>
    <sheetView tabSelected="1" zoomScale="150" zoomScaleNormal="150" zoomScalePageLayoutView="0" workbookViewId="0" topLeftCell="A1">
      <pane xSplit="1" ySplit="7" topLeftCell="DN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S16" sqref="DS16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.75">
      <c r="A1" s="1"/>
      <c r="B1" s="2"/>
      <c r="D1" s="4"/>
      <c r="H1" s="4" t="s">
        <v>95</v>
      </c>
      <c r="R1" s="4"/>
      <c r="W1" s="4" t="s">
        <v>95</v>
      </c>
      <c r="AL1" s="4" t="s">
        <v>95</v>
      </c>
      <c r="AV1" s="4"/>
      <c r="BA1" s="4" t="s">
        <v>95</v>
      </c>
      <c r="BP1" s="4" t="s">
        <v>95</v>
      </c>
      <c r="CE1" s="4" t="s">
        <v>95</v>
      </c>
      <c r="CJ1" s="4"/>
      <c r="CO1" s="4"/>
      <c r="CT1" s="4" t="s">
        <v>95</v>
      </c>
      <c r="DI1" s="4" t="s">
        <v>95</v>
      </c>
      <c r="DX1" s="4" t="s">
        <v>95</v>
      </c>
    </row>
    <row r="2" spans="1:128" ht="12.75">
      <c r="A2" s="1"/>
      <c r="B2" s="2"/>
      <c r="D2" s="4"/>
      <c r="H2" s="4" t="s">
        <v>94</v>
      </c>
      <c r="R2" s="4"/>
      <c r="W2" s="4" t="s">
        <v>94</v>
      </c>
      <c r="AL2" s="4" t="s">
        <v>94</v>
      </c>
      <c r="AV2" s="4"/>
      <c r="BA2" s="4" t="s">
        <v>94</v>
      </c>
      <c r="BP2" s="4" t="s">
        <v>94</v>
      </c>
      <c r="CE2" s="4" t="s">
        <v>94</v>
      </c>
      <c r="CJ2" s="4"/>
      <c r="CO2" s="4"/>
      <c r="CT2" s="4" t="s">
        <v>94</v>
      </c>
      <c r="DI2" s="4" t="s">
        <v>94</v>
      </c>
      <c r="DX2" s="4" t="s">
        <v>94</v>
      </c>
    </row>
    <row r="3" spans="1:128" ht="12.75">
      <c r="A3" s="1"/>
      <c r="B3" s="2"/>
      <c r="D3" s="7"/>
      <c r="H3" s="4" t="str">
        <f>'2011A'!H3</f>
        <v>    2011 Series A Bond Funded Projects after 2016B</v>
      </c>
      <c r="R3" s="4"/>
      <c r="W3" s="4" t="str">
        <f>H3</f>
        <v>    2011 Series A Bond Funded Projects after 2016B</v>
      </c>
      <c r="AL3" s="4" t="s">
        <v>122</v>
      </c>
      <c r="AV3" s="4"/>
      <c r="BA3" s="4" t="s">
        <v>122</v>
      </c>
      <c r="BP3" s="4" t="s">
        <v>122</v>
      </c>
      <c r="CE3" s="4" t="s">
        <v>122</v>
      </c>
      <c r="CJ3" s="4"/>
      <c r="CO3" s="4"/>
      <c r="CT3" s="4" t="s">
        <v>122</v>
      </c>
      <c r="DI3" s="4" t="s">
        <v>122</v>
      </c>
      <c r="DX3" s="4" t="s">
        <v>122</v>
      </c>
    </row>
    <row r="4" spans="1:4" ht="12.75">
      <c r="A4" s="1"/>
      <c r="B4" s="2"/>
      <c r="C4" s="7"/>
      <c r="D4" s="4"/>
    </row>
    <row r="5" spans="1:127" ht="12.75">
      <c r="A5" s="9" t="s">
        <v>0</v>
      </c>
      <c r="C5" s="10" t="s">
        <v>121</v>
      </c>
      <c r="D5" s="11"/>
      <c r="E5" s="12"/>
      <c r="F5" s="12"/>
      <c r="H5" s="13" t="s">
        <v>130</v>
      </c>
      <c r="I5" s="16"/>
      <c r="J5" s="15"/>
      <c r="K5" s="73"/>
      <c r="M5" s="41" t="s">
        <v>17</v>
      </c>
      <c r="N5" s="14"/>
      <c r="O5" s="15"/>
      <c r="P5" s="73"/>
      <c r="R5" s="41" t="s">
        <v>18</v>
      </c>
      <c r="S5" s="14"/>
      <c r="T5" s="15"/>
      <c r="U5" s="73"/>
      <c r="W5" s="74" t="s">
        <v>161</v>
      </c>
      <c r="X5" s="14"/>
      <c r="Y5" s="15"/>
      <c r="Z5" s="73"/>
      <c r="AB5" s="74" t="s">
        <v>162</v>
      </c>
      <c r="AC5" s="14"/>
      <c r="AD5" s="15"/>
      <c r="AE5" s="73"/>
      <c r="AG5" s="41" t="s">
        <v>19</v>
      </c>
      <c r="AH5" s="14"/>
      <c r="AI5" s="15"/>
      <c r="AJ5" s="73"/>
      <c r="AL5" s="41" t="s">
        <v>20</v>
      </c>
      <c r="AM5" s="14"/>
      <c r="AN5" s="15"/>
      <c r="AO5" s="73"/>
      <c r="AQ5" s="41" t="s">
        <v>21</v>
      </c>
      <c r="AR5" s="14"/>
      <c r="AS5" s="15"/>
      <c r="AT5" s="73"/>
      <c r="AV5" s="41" t="s">
        <v>22</v>
      </c>
      <c r="AW5" s="14"/>
      <c r="AX5" s="15"/>
      <c r="AY5" s="73"/>
      <c r="BA5" s="13" t="s">
        <v>23</v>
      </c>
      <c r="BB5" s="14"/>
      <c r="BC5" s="15"/>
      <c r="BD5" s="73"/>
      <c r="BF5" s="41" t="s">
        <v>126</v>
      </c>
      <c r="BG5" s="14"/>
      <c r="BH5" s="15"/>
      <c r="BI5" s="73"/>
      <c r="BK5" s="13" t="s">
        <v>96</v>
      </c>
      <c r="BL5" s="14"/>
      <c r="BM5" s="15"/>
      <c r="BN5" s="73"/>
      <c r="BP5" s="13" t="s">
        <v>158</v>
      </c>
      <c r="BQ5" s="14"/>
      <c r="BR5" s="15"/>
      <c r="BS5" s="73"/>
      <c r="BU5" s="13" t="s">
        <v>24</v>
      </c>
      <c r="BV5" s="14"/>
      <c r="BW5" s="15"/>
      <c r="BX5" s="73"/>
      <c r="BZ5" s="41" t="s">
        <v>127</v>
      </c>
      <c r="CA5" s="14"/>
      <c r="CB5" s="15"/>
      <c r="CC5" s="73"/>
      <c r="CE5" s="41" t="s">
        <v>25</v>
      </c>
      <c r="CF5" s="14"/>
      <c r="CG5" s="15"/>
      <c r="CH5" s="73"/>
      <c r="CJ5" s="41" t="s">
        <v>128</v>
      </c>
      <c r="CK5" s="14"/>
      <c r="CL5" s="15"/>
      <c r="CM5" s="73"/>
      <c r="CO5" s="41" t="s">
        <v>146</v>
      </c>
      <c r="CP5" s="16"/>
      <c r="CQ5" s="15"/>
      <c r="CR5" s="73"/>
      <c r="CT5" s="41" t="s">
        <v>26</v>
      </c>
      <c r="CU5" s="16"/>
      <c r="CV5" s="15"/>
      <c r="CW5" s="73"/>
      <c r="CY5" s="13" t="s">
        <v>27</v>
      </c>
      <c r="CZ5" s="16"/>
      <c r="DA5" s="15"/>
      <c r="DB5" s="73"/>
      <c r="DD5" s="13" t="s">
        <v>28</v>
      </c>
      <c r="DE5" s="16"/>
      <c r="DF5" s="15"/>
      <c r="DG5" s="73"/>
      <c r="DI5" s="13" t="s">
        <v>97</v>
      </c>
      <c r="DJ5" s="16"/>
      <c r="DK5" s="15"/>
      <c r="DL5" s="73"/>
      <c r="DN5" s="41" t="s">
        <v>129</v>
      </c>
      <c r="DO5" s="16"/>
      <c r="DP5" s="15"/>
      <c r="DQ5" s="73"/>
      <c r="DR5" s="42"/>
      <c r="DS5" s="13" t="s">
        <v>29</v>
      </c>
      <c r="DT5" s="16"/>
      <c r="DU5" s="15"/>
      <c r="DV5" s="73"/>
      <c r="DW5" s="43"/>
    </row>
    <row r="6" spans="1:127" ht="12.75">
      <c r="A6" s="22" t="s">
        <v>13</v>
      </c>
      <c r="B6" s="8"/>
      <c r="C6" s="41" t="s">
        <v>135</v>
      </c>
      <c r="D6" s="14"/>
      <c r="E6" s="40"/>
      <c r="F6" s="31" t="s">
        <v>159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159</v>
      </c>
      <c r="M6" s="44">
        <v>0.0100458</v>
      </c>
      <c r="N6" s="8">
        <v>0.052307</v>
      </c>
      <c r="O6" s="25">
        <v>0.0626544</v>
      </c>
      <c r="P6" s="31" t="s">
        <v>159</v>
      </c>
      <c r="R6" s="44">
        <v>2.65E-05</v>
      </c>
      <c r="S6" s="8">
        <v>2.66E-05</v>
      </c>
      <c r="T6" s="25">
        <v>2.77E-05</v>
      </c>
      <c r="U6" s="31" t="s">
        <v>159</v>
      </c>
      <c r="W6" s="44">
        <v>3.72E-05</v>
      </c>
      <c r="X6" s="8">
        <v>0.0011716</v>
      </c>
      <c r="Y6" s="25">
        <v>0.0012403</v>
      </c>
      <c r="Z6" s="31" t="s">
        <v>159</v>
      </c>
      <c r="AB6" s="44">
        <v>0</v>
      </c>
      <c r="AC6" s="8">
        <v>0</v>
      </c>
      <c r="AD6" s="25">
        <v>0.0007469</v>
      </c>
      <c r="AE6" s="31" t="s">
        <v>159</v>
      </c>
      <c r="AG6" s="44">
        <v>0.0016866</v>
      </c>
      <c r="AH6" s="8">
        <v>0.0049811</v>
      </c>
      <c r="AI6" s="25">
        <v>0.005551</v>
      </c>
      <c r="AJ6" s="31" t="s">
        <v>159</v>
      </c>
      <c r="AL6" s="44">
        <v>0.0002723</v>
      </c>
      <c r="AM6" s="8">
        <v>0.0006498</v>
      </c>
      <c r="AN6" s="25">
        <v>0.0017202</v>
      </c>
      <c r="AO6" s="31" t="s">
        <v>159</v>
      </c>
      <c r="AQ6" s="44">
        <v>0.0010803</v>
      </c>
      <c r="AR6" s="8">
        <v>0.0029386</v>
      </c>
      <c r="AS6" s="25">
        <v>0.0032386</v>
      </c>
      <c r="AT6" s="31" t="s">
        <v>159</v>
      </c>
      <c r="AV6" s="44">
        <v>5.25E-05</v>
      </c>
      <c r="AW6" s="8">
        <v>0.0004128</v>
      </c>
      <c r="AX6" s="25">
        <v>0.0006858</v>
      </c>
      <c r="AY6" s="31" t="s">
        <v>159</v>
      </c>
      <c r="BA6" s="44">
        <v>0.0002484</v>
      </c>
      <c r="BB6" s="8">
        <v>0.0077563</v>
      </c>
      <c r="BC6" s="25">
        <v>0.0122283</v>
      </c>
      <c r="BD6" s="31" t="s">
        <v>159</v>
      </c>
      <c r="BF6" s="44">
        <v>0.0054241</v>
      </c>
      <c r="BG6" s="8">
        <v>0.00544</v>
      </c>
      <c r="BH6" s="25">
        <v>0.0056618</v>
      </c>
      <c r="BI6" s="31" t="s">
        <v>159</v>
      </c>
      <c r="BK6" s="44">
        <v>0.0004603</v>
      </c>
      <c r="BL6" s="8">
        <v>0.0013952</v>
      </c>
      <c r="BM6" s="25">
        <v>0.0027116</v>
      </c>
      <c r="BN6" s="31" t="s">
        <v>159</v>
      </c>
      <c r="BP6" s="44">
        <v>0</v>
      </c>
      <c r="BQ6" s="8">
        <v>0</v>
      </c>
      <c r="BR6" s="25">
        <v>0.0004001</v>
      </c>
      <c r="BS6" s="31" t="s">
        <v>159</v>
      </c>
      <c r="BU6" s="44">
        <v>0.0008507</v>
      </c>
      <c r="BV6" s="8">
        <v>0.0015946</v>
      </c>
      <c r="BW6" s="25">
        <v>0.0017739</v>
      </c>
      <c r="BX6" s="31" t="s">
        <v>159</v>
      </c>
      <c r="BZ6" s="44">
        <v>4.45E-05</v>
      </c>
      <c r="CA6" s="8">
        <v>8.15E-05</v>
      </c>
      <c r="CB6" s="25">
        <v>0.0002443</v>
      </c>
      <c r="CC6" s="31" t="s">
        <v>159</v>
      </c>
      <c r="CE6" s="44">
        <v>0.0001117</v>
      </c>
      <c r="CF6" s="8">
        <v>0.003689</v>
      </c>
      <c r="CG6" s="25">
        <v>0.0050964</v>
      </c>
      <c r="CH6" s="31" t="s">
        <v>159</v>
      </c>
      <c r="CJ6" s="44">
        <v>0.0005897</v>
      </c>
      <c r="CK6" s="8">
        <v>0.0006701</v>
      </c>
      <c r="CL6" s="25">
        <v>0.0009872</v>
      </c>
      <c r="CM6" s="31" t="s">
        <v>159</v>
      </c>
      <c r="CO6" s="44">
        <v>0</v>
      </c>
      <c r="CP6" s="24">
        <v>0.0007801</v>
      </c>
      <c r="CQ6" s="25">
        <v>0.0013061</v>
      </c>
      <c r="CR6" s="31" t="s">
        <v>159</v>
      </c>
      <c r="CT6" s="44">
        <v>0.0010986</v>
      </c>
      <c r="CU6" s="24">
        <v>0.0017139</v>
      </c>
      <c r="CV6" s="25">
        <v>0.0042458</v>
      </c>
      <c r="CW6" s="31" t="s">
        <v>159</v>
      </c>
      <c r="CY6" s="44">
        <v>0.0015892</v>
      </c>
      <c r="CZ6" s="24">
        <v>0.0015939</v>
      </c>
      <c r="DA6" s="25">
        <v>0.0024961</v>
      </c>
      <c r="DB6" s="31" t="s">
        <v>159</v>
      </c>
      <c r="DD6" s="44">
        <v>0.0003515</v>
      </c>
      <c r="DE6" s="24">
        <v>0.0019244</v>
      </c>
      <c r="DF6" s="25">
        <v>0.0028177</v>
      </c>
      <c r="DG6" s="31" t="s">
        <v>159</v>
      </c>
      <c r="DI6" s="44">
        <v>0.0020374</v>
      </c>
      <c r="DJ6" s="24">
        <v>0.0271257</v>
      </c>
      <c r="DK6" s="25">
        <v>0.0326233</v>
      </c>
      <c r="DL6" s="31" t="s">
        <v>159</v>
      </c>
      <c r="DN6" s="44">
        <v>0.0011508</v>
      </c>
      <c r="DO6" s="24">
        <v>0.0011542</v>
      </c>
      <c r="DP6" s="25">
        <v>0.0012012</v>
      </c>
      <c r="DQ6" s="31" t="s">
        <v>159</v>
      </c>
      <c r="DR6" s="42"/>
      <c r="DS6" s="44">
        <v>0.0004515</v>
      </c>
      <c r="DT6" s="24">
        <v>0.0009963</v>
      </c>
      <c r="DU6" s="25">
        <v>0.0010633</v>
      </c>
      <c r="DV6" s="31" t="s">
        <v>159</v>
      </c>
      <c r="DW6" s="43"/>
    </row>
    <row r="7" spans="1:12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1" t="s">
        <v>14</v>
      </c>
      <c r="S7" s="31" t="s">
        <v>15</v>
      </c>
      <c r="T7" s="31" t="s">
        <v>16</v>
      </c>
      <c r="U7" s="31" t="s">
        <v>160</v>
      </c>
      <c r="W7" s="31" t="s">
        <v>14</v>
      </c>
      <c r="X7" s="31" t="s">
        <v>15</v>
      </c>
      <c r="Y7" s="31" t="s">
        <v>16</v>
      </c>
      <c r="Z7" s="31" t="s">
        <v>160</v>
      </c>
      <c r="AB7" s="31" t="s">
        <v>14</v>
      </c>
      <c r="AC7" s="31" t="s">
        <v>15</v>
      </c>
      <c r="AD7" s="31" t="s">
        <v>16</v>
      </c>
      <c r="AE7" s="31" t="s">
        <v>160</v>
      </c>
      <c r="AG7" s="31" t="s">
        <v>14</v>
      </c>
      <c r="AH7" s="31" t="s">
        <v>15</v>
      </c>
      <c r="AI7" s="31" t="s">
        <v>16</v>
      </c>
      <c r="AJ7" s="31" t="s">
        <v>160</v>
      </c>
      <c r="AL7" s="31" t="s">
        <v>14</v>
      </c>
      <c r="AM7" s="31" t="s">
        <v>15</v>
      </c>
      <c r="AN7" s="31" t="s">
        <v>16</v>
      </c>
      <c r="AO7" s="31" t="s">
        <v>160</v>
      </c>
      <c r="AQ7" s="31" t="s">
        <v>14</v>
      </c>
      <c r="AR7" s="31" t="s">
        <v>15</v>
      </c>
      <c r="AS7" s="31" t="s">
        <v>16</v>
      </c>
      <c r="AT7" s="31" t="s">
        <v>160</v>
      </c>
      <c r="AV7" s="31" t="s">
        <v>14</v>
      </c>
      <c r="AW7" s="31" t="s">
        <v>15</v>
      </c>
      <c r="AX7" s="31" t="s">
        <v>16</v>
      </c>
      <c r="AY7" s="31" t="s">
        <v>160</v>
      </c>
      <c r="BA7" s="31" t="s">
        <v>14</v>
      </c>
      <c r="BB7" s="31" t="s">
        <v>15</v>
      </c>
      <c r="BC7" s="31" t="s">
        <v>16</v>
      </c>
      <c r="BD7" s="31" t="s">
        <v>160</v>
      </c>
      <c r="BF7" s="31" t="s">
        <v>14</v>
      </c>
      <c r="BG7" s="31" t="s">
        <v>15</v>
      </c>
      <c r="BH7" s="31" t="s">
        <v>16</v>
      </c>
      <c r="BI7" s="31" t="s">
        <v>160</v>
      </c>
      <c r="BK7" s="31" t="s">
        <v>14</v>
      </c>
      <c r="BL7" s="31" t="s">
        <v>15</v>
      </c>
      <c r="BM7" s="31" t="s">
        <v>16</v>
      </c>
      <c r="BN7" s="31" t="s">
        <v>160</v>
      </c>
      <c r="BP7" s="31" t="s">
        <v>14</v>
      </c>
      <c r="BQ7" s="31" t="s">
        <v>15</v>
      </c>
      <c r="BR7" s="31" t="s">
        <v>16</v>
      </c>
      <c r="BS7" s="31" t="s">
        <v>160</v>
      </c>
      <c r="BU7" s="31" t="s">
        <v>14</v>
      </c>
      <c r="BV7" s="31" t="s">
        <v>15</v>
      </c>
      <c r="BW7" s="31" t="s">
        <v>16</v>
      </c>
      <c r="BX7" s="31" t="s">
        <v>160</v>
      </c>
      <c r="BZ7" s="31" t="s">
        <v>14</v>
      </c>
      <c r="CA7" s="31" t="s">
        <v>15</v>
      </c>
      <c r="CB7" s="31" t="s">
        <v>16</v>
      </c>
      <c r="CC7" s="31" t="s">
        <v>160</v>
      </c>
      <c r="CE7" s="31" t="s">
        <v>14</v>
      </c>
      <c r="CF7" s="31" t="s">
        <v>15</v>
      </c>
      <c r="CG7" s="31" t="s">
        <v>16</v>
      </c>
      <c r="CH7" s="31" t="s">
        <v>160</v>
      </c>
      <c r="CJ7" s="31" t="s">
        <v>14</v>
      </c>
      <c r="CK7" s="31" t="s">
        <v>15</v>
      </c>
      <c r="CL7" s="31" t="s">
        <v>16</v>
      </c>
      <c r="CM7" s="31" t="s">
        <v>160</v>
      </c>
      <c r="CO7" s="31" t="s">
        <v>14</v>
      </c>
      <c r="CP7" s="31" t="s">
        <v>15</v>
      </c>
      <c r="CQ7" s="31" t="s">
        <v>16</v>
      </c>
      <c r="CR7" s="31" t="s">
        <v>160</v>
      </c>
      <c r="CT7" s="31" t="s">
        <v>14</v>
      </c>
      <c r="CU7" s="31" t="s">
        <v>15</v>
      </c>
      <c r="CV7" s="31" t="s">
        <v>16</v>
      </c>
      <c r="CW7" s="31" t="s">
        <v>160</v>
      </c>
      <c r="CY7" s="31" t="s">
        <v>14</v>
      </c>
      <c r="CZ7" s="31" t="s">
        <v>15</v>
      </c>
      <c r="DA7" s="31" t="s">
        <v>16</v>
      </c>
      <c r="DB7" s="31" t="s">
        <v>160</v>
      </c>
      <c r="DD7" s="31" t="s">
        <v>14</v>
      </c>
      <c r="DE7" s="31" t="s">
        <v>15</v>
      </c>
      <c r="DF7" s="31" t="s">
        <v>16</v>
      </c>
      <c r="DG7" s="31" t="s">
        <v>160</v>
      </c>
      <c r="DI7" s="31" t="s">
        <v>14</v>
      </c>
      <c r="DJ7" s="31" t="s">
        <v>15</v>
      </c>
      <c r="DK7" s="31" t="s">
        <v>16</v>
      </c>
      <c r="DL7" s="31" t="s">
        <v>160</v>
      </c>
      <c r="DN7" s="31" t="s">
        <v>14</v>
      </c>
      <c r="DO7" s="31" t="s">
        <v>15</v>
      </c>
      <c r="DP7" s="31" t="s">
        <v>16</v>
      </c>
      <c r="DQ7" s="31" t="s">
        <v>160</v>
      </c>
      <c r="DR7" s="45"/>
      <c r="DS7" s="31" t="s">
        <v>14</v>
      </c>
      <c r="DT7" s="31" t="s">
        <v>15</v>
      </c>
      <c r="DU7" s="31" t="s">
        <v>16</v>
      </c>
      <c r="DV7" s="31" t="s">
        <v>160</v>
      </c>
      <c r="DW7" s="72"/>
      <c r="DX7" s="34"/>
    </row>
    <row r="8" spans="1:126" ht="12.75">
      <c r="A8" s="37">
        <v>43374</v>
      </c>
      <c r="D8" s="3">
        <v>808600</v>
      </c>
      <c r="E8" s="35">
        <f aca="true" t="shared" si="0" ref="E8:E33">C8+D8</f>
        <v>808600</v>
      </c>
      <c r="F8" s="35">
        <f>'2011A'!F8</f>
        <v>145958</v>
      </c>
      <c r="H8" s="46"/>
      <c r="I8" s="36">
        <f aca="true" t="shared" si="1" ref="I8:I33">N8+S8+AH8+AM8+BB8+BG8+BL8+BV8+CA8+CF8+CU8+CZ8+DO8+X8+AR8+AW8+DE8+DJ8+DT8+CK8+CP8+AC8+BQ8</f>
        <v>121873.8092</v>
      </c>
      <c r="J8" s="36">
        <f aca="true" t="shared" si="2" ref="J8:J33">H8+I8</f>
        <v>121873.8092</v>
      </c>
      <c r="K8" s="36">
        <f aca="true" t="shared" si="3" ref="K8:K33">P8+U8+AJ8+AO8+BD8+BI8+BN8+BX8+CC8+CH8+CW8+DB8+DQ8+Z8+AT8+AY8+DG8+DL8+DV8+CM8+CR8+AE8+BS8</f>
        <v>21999.081675999998</v>
      </c>
      <c r="N8" s="5">
        <f aca="true" t="shared" si="4" ref="N8:N33">D8*$O$6</f>
        <v>50662.34784</v>
      </c>
      <c r="O8" s="5">
        <f aca="true" t="shared" si="5" ref="O8:O33">M8+N8</f>
        <v>50662.34784</v>
      </c>
      <c r="P8" s="35">
        <f aca="true" t="shared" si="6" ref="P8:P33">O$6*$F8</f>
        <v>9144.9109152</v>
      </c>
      <c r="S8" s="36">
        <f aca="true" t="shared" si="7" ref="S8:S33">D8*$T$6</f>
        <v>22.39822</v>
      </c>
      <c r="T8" s="36">
        <f aca="true" t="shared" si="8" ref="T8:T33">R8+S8</f>
        <v>22.39822</v>
      </c>
      <c r="U8" s="35">
        <f aca="true" t="shared" si="9" ref="U8:U33">T$6*$F8</f>
        <v>4.0430366</v>
      </c>
      <c r="X8" s="5">
        <f aca="true" t="shared" si="10" ref="X8:X33">D8*$Y$6</f>
        <v>1002.90658</v>
      </c>
      <c r="Y8" s="5">
        <f aca="true" t="shared" si="11" ref="Y8:Y33">W8+X8</f>
        <v>1002.90658</v>
      </c>
      <c r="Z8" s="35">
        <f aca="true" t="shared" si="12" ref="Z8:Z33">Y$6*$F8</f>
        <v>181.0317074</v>
      </c>
      <c r="AC8" s="5">
        <f aca="true" t="shared" si="13" ref="AC8:AC33">D8*$AD$6</f>
        <v>603.94334</v>
      </c>
      <c r="AD8" s="5">
        <f aca="true" t="shared" si="14" ref="AD8:AD33">AB8+AC8</f>
        <v>603.94334</v>
      </c>
      <c r="AE8" s="35">
        <f aca="true" t="shared" si="15" ref="AE8:AE33">AD$6*$F8</f>
        <v>109.0160302</v>
      </c>
      <c r="AH8" s="5">
        <f aca="true" t="shared" si="16" ref="AH8:AH33">D8*$AI$6</f>
        <v>4488.5386</v>
      </c>
      <c r="AI8" s="5">
        <f aca="true" t="shared" si="17" ref="AI8:AI33">AG8+AH8</f>
        <v>4488.5386</v>
      </c>
      <c r="AJ8" s="35">
        <f aca="true" t="shared" si="18" ref="AJ8:AJ33">AI$6*$F8</f>
        <v>810.2128580000001</v>
      </c>
      <c r="AM8" s="5">
        <f aca="true" t="shared" si="19" ref="AM8:AM33">D8*$AN$6</f>
        <v>1390.95372</v>
      </c>
      <c r="AN8" s="5">
        <f aca="true" t="shared" si="20" ref="AN8:AN33">AL8+AM8</f>
        <v>1390.95372</v>
      </c>
      <c r="AO8" s="35">
        <f aca="true" t="shared" si="21" ref="AO8:AO33">AN$6*$F8</f>
        <v>251.0769516</v>
      </c>
      <c r="AR8" s="5">
        <f aca="true" t="shared" si="22" ref="AR8:AR33">D8*$AS$6</f>
        <v>2618.73196</v>
      </c>
      <c r="AS8" s="5">
        <f aca="true" t="shared" si="23" ref="AS8:AS33">AQ8+AR8</f>
        <v>2618.73196</v>
      </c>
      <c r="AT8" s="35">
        <f aca="true" t="shared" si="24" ref="AT8:AT33">AS$6*$F8</f>
        <v>472.6995788</v>
      </c>
      <c r="AW8" s="5">
        <f aca="true" t="shared" si="25" ref="AW8:AW33">D8*$AX$6</f>
        <v>554.53788</v>
      </c>
      <c r="AX8" s="5">
        <f aca="true" t="shared" si="26" ref="AX8:AX33">AV8+AW8</f>
        <v>554.53788</v>
      </c>
      <c r="AY8" s="35">
        <f aca="true" t="shared" si="27" ref="AY8:AY33">AX$6*$F8</f>
        <v>100.0979964</v>
      </c>
      <c r="BB8" s="5">
        <f aca="true" t="shared" si="28" ref="BB8:BB33">D8*$BC$6</f>
        <v>9887.80338</v>
      </c>
      <c r="BC8" s="5">
        <f aca="true" t="shared" si="29" ref="BC8:BC33">BA8+BB8</f>
        <v>9887.80338</v>
      </c>
      <c r="BD8" s="35">
        <f aca="true" t="shared" si="30" ref="BD8:BD33">BC$6*$F8</f>
        <v>1784.8182113999999</v>
      </c>
      <c r="BF8" s="36"/>
      <c r="BG8" s="5">
        <f aca="true" t="shared" si="31" ref="BG8:BG33">D8*$BH$6</f>
        <v>4578.13148</v>
      </c>
      <c r="BH8" s="36">
        <f aca="true" t="shared" si="32" ref="BH8:BH33">BF8+BG8</f>
        <v>4578.13148</v>
      </c>
      <c r="BI8" s="35">
        <f aca="true" t="shared" si="33" ref="BI8:BI33">BH$6*$F8</f>
        <v>826.3850044</v>
      </c>
      <c r="BL8" s="5">
        <f aca="true" t="shared" si="34" ref="BL8:BL33">D8*$BM$6</f>
        <v>2192.59976</v>
      </c>
      <c r="BM8" s="5">
        <f aca="true" t="shared" si="35" ref="BM8:BM33">BK8+BL8</f>
        <v>2192.59976</v>
      </c>
      <c r="BN8" s="35">
        <f aca="true" t="shared" si="36" ref="BN8:BN33">BM$6*$F8</f>
        <v>395.7797128</v>
      </c>
      <c r="BP8" s="5">
        <f aca="true" t="shared" si="37" ref="BP8:BP33">C8*$BR$6</f>
        <v>0</v>
      </c>
      <c r="BQ8" s="5">
        <f aca="true" t="shared" si="38" ref="BQ8:BQ33">D8*$BR$6</f>
        <v>323.52086</v>
      </c>
      <c r="BR8" s="5">
        <f aca="true" t="shared" si="39" ref="BR8:BR33">BP8+BQ8</f>
        <v>323.52086</v>
      </c>
      <c r="BS8" s="35">
        <f aca="true" t="shared" si="40" ref="BS8:BS33">BR$6*$F8</f>
        <v>58.397795800000004</v>
      </c>
      <c r="BV8" s="5">
        <f aca="true" t="shared" si="41" ref="BV8:BV33">D8*$BW$6</f>
        <v>1434.37554</v>
      </c>
      <c r="BW8" s="5">
        <f aca="true" t="shared" si="42" ref="BW8:BW33">BU8+BV8</f>
        <v>1434.37554</v>
      </c>
      <c r="BX8" s="35">
        <f aca="true" t="shared" si="43" ref="BX8:BX33">BW$6*$F8</f>
        <v>258.9148962</v>
      </c>
      <c r="CA8" s="5">
        <f aca="true" t="shared" si="44" ref="CA8:CA33">D8*$CB$6</f>
        <v>197.54098</v>
      </c>
      <c r="CB8" s="5">
        <f aca="true" t="shared" si="45" ref="CB8:CB33">BZ8+CA8</f>
        <v>197.54098</v>
      </c>
      <c r="CC8" s="35">
        <f aca="true" t="shared" si="46" ref="CC8:CC33">CB$6*$F8</f>
        <v>35.6575394</v>
      </c>
      <c r="CF8" s="5">
        <f aca="true" t="shared" si="47" ref="CF8:CF33">D8*$CG$6</f>
        <v>4120.94904</v>
      </c>
      <c r="CG8" s="5">
        <f aca="true" t="shared" si="48" ref="CG8:CG33">CE8+CF8</f>
        <v>4120.94904</v>
      </c>
      <c r="CH8" s="35">
        <f aca="true" t="shared" si="49" ref="CH8:CH33">CG$6*$F8</f>
        <v>743.8603512</v>
      </c>
      <c r="CK8" s="5">
        <f aca="true" t="shared" si="50" ref="CK8:CK33">D8*$CL$6</f>
        <v>798.24992</v>
      </c>
      <c r="CL8" s="5">
        <f aca="true" t="shared" si="51" ref="CL8:CL33">CJ8+CK8</f>
        <v>798.24992</v>
      </c>
      <c r="CM8" s="35">
        <f aca="true" t="shared" si="52" ref="CM8:CM33">CL$6*$F8</f>
        <v>144.08973759999998</v>
      </c>
      <c r="CP8" s="5">
        <f aca="true" t="shared" si="53" ref="CP8:CP33">D8*$CQ$6</f>
        <v>1056.1124599999998</v>
      </c>
      <c r="CQ8" s="36">
        <f aca="true" t="shared" si="54" ref="CQ8:CQ33">CO8+CP8</f>
        <v>1056.1124599999998</v>
      </c>
      <c r="CR8" s="35">
        <f aca="true" t="shared" si="55" ref="CR8:CR33">CQ$6*$F8</f>
        <v>190.6357438</v>
      </c>
      <c r="CU8" s="5">
        <f aca="true" t="shared" si="56" ref="CU8:CU33">D8*$CV$6</f>
        <v>3433.1538800000003</v>
      </c>
      <c r="CV8" s="36">
        <f aca="true" t="shared" si="57" ref="CV8:CV33">CT8+CU8</f>
        <v>3433.1538800000003</v>
      </c>
      <c r="CW8" s="35">
        <f aca="true" t="shared" si="58" ref="CW8:CW33">CV$6*$F8</f>
        <v>619.7084764</v>
      </c>
      <c r="CZ8" s="5">
        <f aca="true" t="shared" si="59" ref="CZ8:CZ33">D8*$DA$6</f>
        <v>2018.3464599999998</v>
      </c>
      <c r="DA8" s="5">
        <f aca="true" t="shared" si="60" ref="DA8:DA33">CY8+CZ8</f>
        <v>2018.3464599999998</v>
      </c>
      <c r="DB8" s="35">
        <f aca="true" t="shared" si="61" ref="DB8:DB33">DA$6*$F8</f>
        <v>364.32576379999995</v>
      </c>
      <c r="DE8" s="5">
        <f aca="true" t="shared" si="62" ref="DE8:DE33">D8*$DF$6</f>
        <v>2278.3922199999997</v>
      </c>
      <c r="DF8" s="5">
        <f aca="true" t="shared" si="63" ref="DF8:DF33">DD8+DE8</f>
        <v>2278.3922199999997</v>
      </c>
      <c r="DG8" s="35">
        <f aca="true" t="shared" si="64" ref="DG8:DG33">DF$6*$F8</f>
        <v>411.26585659999995</v>
      </c>
      <c r="DJ8" s="5">
        <f aca="true" t="shared" si="65" ref="DJ8:DJ33">D8*$DK$6</f>
        <v>26379.200380000002</v>
      </c>
      <c r="DK8" s="5">
        <f aca="true" t="shared" si="66" ref="DK8:DK33">DI8+DJ8</f>
        <v>26379.200380000002</v>
      </c>
      <c r="DL8" s="35">
        <f aca="true" t="shared" si="67" ref="DL8:DL33">DK$6*$F8</f>
        <v>4761.6316214</v>
      </c>
      <c r="DO8" s="5">
        <f aca="true" t="shared" si="68" ref="DO8:DO33">D8*$DP$6</f>
        <v>971.29032</v>
      </c>
      <c r="DP8" s="36">
        <f aca="true" t="shared" si="69" ref="DP8:DP33">DN8+DO8</f>
        <v>971.29032</v>
      </c>
      <c r="DQ8" s="35">
        <f aca="true" t="shared" si="70" ref="DQ8:DQ33">DP$6*$F8</f>
        <v>175.3247496</v>
      </c>
      <c r="DT8" s="36">
        <f aca="true" t="shared" si="71" ref="DT8:DT33">D8*$DU$6</f>
        <v>859.78438</v>
      </c>
      <c r="DU8" s="36">
        <f aca="true" t="shared" si="72" ref="DU8:DU33">DS8+DT8</f>
        <v>859.78438</v>
      </c>
      <c r="DV8" s="35">
        <f aca="true" t="shared" si="73" ref="DV8:DV33">DU$6*$F8</f>
        <v>155.19714140000002</v>
      </c>
    </row>
    <row r="9" spans="1:126" ht="12.75">
      <c r="A9" s="37">
        <v>43556</v>
      </c>
      <c r="C9" s="3">
        <v>4925000</v>
      </c>
      <c r="D9" s="3">
        <v>808600</v>
      </c>
      <c r="E9" s="35">
        <f t="shared" si="0"/>
        <v>5733600</v>
      </c>
      <c r="F9" s="35">
        <f>'2011A'!F9</f>
        <v>145958</v>
      </c>
      <c r="H9" s="46">
        <f aca="true" t="shared" si="74" ref="H9:H33">M9+R9+W9+AG9+AL9+BA9+BF9+BK9+BU9+BZ9+CT9+DN9+AQ9+AV9+CE9+CY9+DD9+DI9+DS9+CJ9+CO9+AB9+BP9</f>
        <v>742305.8499999999</v>
      </c>
      <c r="I9" s="36">
        <f t="shared" si="1"/>
        <v>121873.8092</v>
      </c>
      <c r="J9" s="36">
        <f t="shared" si="2"/>
        <v>864179.6591999999</v>
      </c>
      <c r="K9" s="36">
        <f t="shared" si="3"/>
        <v>21999.081675999998</v>
      </c>
      <c r="M9" s="5">
        <f aca="true" t="shared" si="75" ref="M9:M33">C9*$O$6</f>
        <v>308572.92</v>
      </c>
      <c r="N9" s="5">
        <f t="shared" si="4"/>
        <v>50662.34784</v>
      </c>
      <c r="O9" s="5">
        <f t="shared" si="5"/>
        <v>359235.26784</v>
      </c>
      <c r="P9" s="35">
        <f t="shared" si="6"/>
        <v>9144.9109152</v>
      </c>
      <c r="R9" s="5">
        <f aca="true" t="shared" si="76" ref="R9:R33">C9*$T$6</f>
        <v>136.42249999999999</v>
      </c>
      <c r="S9" s="36">
        <f t="shared" si="7"/>
        <v>22.39822</v>
      </c>
      <c r="T9" s="36">
        <f t="shared" si="8"/>
        <v>158.82072</v>
      </c>
      <c r="U9" s="35">
        <f t="shared" si="9"/>
        <v>4.0430366</v>
      </c>
      <c r="W9" s="5">
        <f aca="true" t="shared" si="77" ref="W9:W33">C9*$Y$6</f>
        <v>6108.4775</v>
      </c>
      <c r="X9" s="5">
        <f t="shared" si="10"/>
        <v>1002.90658</v>
      </c>
      <c r="Y9" s="5">
        <f t="shared" si="11"/>
        <v>7111.38408</v>
      </c>
      <c r="Z9" s="35">
        <f t="shared" si="12"/>
        <v>181.0317074</v>
      </c>
      <c r="AB9" s="5">
        <f aca="true" t="shared" si="78" ref="AB9:AB33">C9*$AD$6</f>
        <v>3678.4825</v>
      </c>
      <c r="AC9" s="5">
        <f t="shared" si="13"/>
        <v>603.94334</v>
      </c>
      <c r="AD9" s="5">
        <f t="shared" si="14"/>
        <v>4282.42584</v>
      </c>
      <c r="AE9" s="35">
        <f t="shared" si="15"/>
        <v>109.0160302</v>
      </c>
      <c r="AG9" s="5">
        <f aca="true" t="shared" si="79" ref="AG9:AG33">C9*$AI$6</f>
        <v>27338.675000000003</v>
      </c>
      <c r="AH9" s="5">
        <f t="shared" si="16"/>
        <v>4488.5386</v>
      </c>
      <c r="AI9" s="5">
        <f t="shared" si="17"/>
        <v>31827.213600000003</v>
      </c>
      <c r="AJ9" s="35">
        <f t="shared" si="18"/>
        <v>810.2128580000001</v>
      </c>
      <c r="AL9" s="5">
        <f aca="true" t="shared" si="80" ref="AL9:AL33">C9*$AN$6</f>
        <v>8471.985</v>
      </c>
      <c r="AM9" s="5">
        <f t="shared" si="19"/>
        <v>1390.95372</v>
      </c>
      <c r="AN9" s="5">
        <f t="shared" si="20"/>
        <v>9862.93872</v>
      </c>
      <c r="AO9" s="35">
        <f t="shared" si="21"/>
        <v>251.0769516</v>
      </c>
      <c r="AQ9" s="5">
        <f aca="true" t="shared" si="81" ref="AQ9:AQ33">C9*$AS$6</f>
        <v>15950.105</v>
      </c>
      <c r="AR9" s="5">
        <f t="shared" si="22"/>
        <v>2618.73196</v>
      </c>
      <c r="AS9" s="5">
        <f t="shared" si="23"/>
        <v>18568.83696</v>
      </c>
      <c r="AT9" s="35">
        <f t="shared" si="24"/>
        <v>472.6995788</v>
      </c>
      <c r="AV9" s="5">
        <f aca="true" t="shared" si="82" ref="AV9:AV33">C9*$AX$6</f>
        <v>3377.565</v>
      </c>
      <c r="AW9" s="5">
        <f t="shared" si="25"/>
        <v>554.53788</v>
      </c>
      <c r="AX9" s="5">
        <f t="shared" si="26"/>
        <v>3932.10288</v>
      </c>
      <c r="AY9" s="35">
        <f t="shared" si="27"/>
        <v>100.0979964</v>
      </c>
      <c r="BA9" s="5">
        <f aca="true" t="shared" si="83" ref="BA9:BA33">C9*$BC$6</f>
        <v>60224.377499999995</v>
      </c>
      <c r="BB9" s="5">
        <f t="shared" si="28"/>
        <v>9887.80338</v>
      </c>
      <c r="BC9" s="5">
        <f t="shared" si="29"/>
        <v>70112.18088</v>
      </c>
      <c r="BD9" s="35">
        <f t="shared" si="30"/>
        <v>1784.8182113999999</v>
      </c>
      <c r="BF9" s="36">
        <f aca="true" t="shared" si="84" ref="BF9:BF33">C9*$BH$6</f>
        <v>27884.364999999998</v>
      </c>
      <c r="BG9" s="5">
        <f t="shared" si="31"/>
        <v>4578.13148</v>
      </c>
      <c r="BH9" s="36">
        <f t="shared" si="32"/>
        <v>32462.496479999998</v>
      </c>
      <c r="BI9" s="35">
        <f t="shared" si="33"/>
        <v>826.3850044</v>
      </c>
      <c r="BK9" s="5">
        <f aca="true" t="shared" si="85" ref="BK9:BK33">C9*$BM$6</f>
        <v>13354.630000000001</v>
      </c>
      <c r="BL9" s="5">
        <f t="shared" si="34"/>
        <v>2192.59976</v>
      </c>
      <c r="BM9" s="5">
        <f t="shared" si="35"/>
        <v>15547.229760000002</v>
      </c>
      <c r="BN9" s="35">
        <f t="shared" si="36"/>
        <v>395.7797128</v>
      </c>
      <c r="BP9" s="5">
        <f t="shared" si="37"/>
        <v>1970.4925</v>
      </c>
      <c r="BQ9" s="5">
        <f t="shared" si="38"/>
        <v>323.52086</v>
      </c>
      <c r="BR9" s="5">
        <f t="shared" si="39"/>
        <v>2294.01336</v>
      </c>
      <c r="BS9" s="35">
        <f t="shared" si="40"/>
        <v>58.397795800000004</v>
      </c>
      <c r="BU9" s="5">
        <f aca="true" t="shared" si="86" ref="BU9:BU33">C9*$BW$6</f>
        <v>8736.4575</v>
      </c>
      <c r="BV9" s="5">
        <f t="shared" si="41"/>
        <v>1434.37554</v>
      </c>
      <c r="BW9" s="5">
        <f t="shared" si="42"/>
        <v>10170.833040000001</v>
      </c>
      <c r="BX9" s="35">
        <f t="shared" si="43"/>
        <v>258.9148962</v>
      </c>
      <c r="BZ9" s="5">
        <f aca="true" t="shared" si="87" ref="BZ9:BZ33">C9*$CB$6</f>
        <v>1203.1774999999998</v>
      </c>
      <c r="CA9" s="5">
        <f t="shared" si="44"/>
        <v>197.54098</v>
      </c>
      <c r="CB9" s="5">
        <f t="shared" si="45"/>
        <v>1400.7184799999998</v>
      </c>
      <c r="CC9" s="35">
        <f t="shared" si="46"/>
        <v>35.6575394</v>
      </c>
      <c r="CE9" s="5">
        <f aca="true" t="shared" si="88" ref="CE9:CE33">C9*$CG$6</f>
        <v>25099.77</v>
      </c>
      <c r="CF9" s="5">
        <f t="shared" si="47"/>
        <v>4120.94904</v>
      </c>
      <c r="CG9" s="5">
        <f t="shared" si="48"/>
        <v>29220.71904</v>
      </c>
      <c r="CH9" s="35">
        <f t="shared" si="49"/>
        <v>743.8603512</v>
      </c>
      <c r="CJ9" s="5">
        <f aca="true" t="shared" si="89" ref="CJ9:CJ33">C9*$CL$6</f>
        <v>4861.96</v>
      </c>
      <c r="CK9" s="5">
        <f t="shared" si="50"/>
        <v>798.24992</v>
      </c>
      <c r="CL9" s="5">
        <f t="shared" si="51"/>
        <v>5660.20992</v>
      </c>
      <c r="CM9" s="35">
        <f t="shared" si="52"/>
        <v>144.08973759999998</v>
      </c>
      <c r="CO9" s="5">
        <f aca="true" t="shared" si="90" ref="CO9:CO33">C9*$CQ$6</f>
        <v>6432.5425</v>
      </c>
      <c r="CP9" s="5">
        <f t="shared" si="53"/>
        <v>1056.1124599999998</v>
      </c>
      <c r="CQ9" s="36">
        <f t="shared" si="54"/>
        <v>7488.65496</v>
      </c>
      <c r="CR9" s="35">
        <f t="shared" si="55"/>
        <v>190.6357438</v>
      </c>
      <c r="CT9" s="5">
        <f aca="true" t="shared" si="91" ref="CT9:CT33">C9*$CV$6</f>
        <v>20910.565</v>
      </c>
      <c r="CU9" s="5">
        <f t="shared" si="56"/>
        <v>3433.1538800000003</v>
      </c>
      <c r="CV9" s="36">
        <f t="shared" si="57"/>
        <v>24343.71888</v>
      </c>
      <c r="CW9" s="35">
        <f t="shared" si="58"/>
        <v>619.7084764</v>
      </c>
      <c r="CY9" s="5">
        <f aca="true" t="shared" si="92" ref="CY9:CY33">C9*$DA$6</f>
        <v>12293.2925</v>
      </c>
      <c r="CZ9" s="5">
        <f t="shared" si="59"/>
        <v>2018.3464599999998</v>
      </c>
      <c r="DA9" s="5">
        <f t="shared" si="60"/>
        <v>14311.63896</v>
      </c>
      <c r="DB9" s="35">
        <f t="shared" si="61"/>
        <v>364.32576379999995</v>
      </c>
      <c r="DD9" s="5">
        <f aca="true" t="shared" si="93" ref="DD9:DD33">C9*$DF$6</f>
        <v>13877.172499999999</v>
      </c>
      <c r="DE9" s="5">
        <f t="shared" si="62"/>
        <v>2278.3922199999997</v>
      </c>
      <c r="DF9" s="5">
        <f t="shared" si="63"/>
        <v>16155.564719999998</v>
      </c>
      <c r="DG9" s="35">
        <f t="shared" si="64"/>
        <v>411.26585659999995</v>
      </c>
      <c r="DI9" s="5">
        <f aca="true" t="shared" si="94" ref="DI9:DI33">C9*$DK$6</f>
        <v>160669.7525</v>
      </c>
      <c r="DJ9" s="5">
        <f t="shared" si="65"/>
        <v>26379.200380000002</v>
      </c>
      <c r="DK9" s="5">
        <f t="shared" si="66"/>
        <v>187048.95288</v>
      </c>
      <c r="DL9" s="35">
        <f t="shared" si="67"/>
        <v>4761.6316214</v>
      </c>
      <c r="DN9" s="5">
        <f aca="true" t="shared" si="95" ref="DN9:DN33">C9*$DP$6</f>
        <v>5915.91</v>
      </c>
      <c r="DO9" s="5">
        <f t="shared" si="68"/>
        <v>971.29032</v>
      </c>
      <c r="DP9" s="36">
        <f t="shared" si="69"/>
        <v>6887.20032</v>
      </c>
      <c r="DQ9" s="35">
        <f t="shared" si="70"/>
        <v>175.3247496</v>
      </c>
      <c r="DS9" s="5">
        <f aca="true" t="shared" si="96" ref="DS9:DS33">C9*$DU$6</f>
        <v>5236.7525000000005</v>
      </c>
      <c r="DT9" s="36">
        <f t="shared" si="71"/>
        <v>859.78438</v>
      </c>
      <c r="DU9" s="36">
        <f t="shared" si="72"/>
        <v>6096.536880000001</v>
      </c>
      <c r="DV9" s="35">
        <f t="shared" si="73"/>
        <v>155.19714140000002</v>
      </c>
    </row>
    <row r="10" spans="1:126" ht="12.75">
      <c r="A10" s="37">
        <v>43739</v>
      </c>
      <c r="D10" s="3">
        <v>685475</v>
      </c>
      <c r="E10" s="35">
        <f t="shared" si="0"/>
        <v>685475</v>
      </c>
      <c r="F10" s="35">
        <f>'2011A'!F10</f>
        <v>145958</v>
      </c>
      <c r="H10" s="46"/>
      <c r="I10" s="36">
        <f t="shared" si="1"/>
        <v>103316.16295000001</v>
      </c>
      <c r="J10" s="36">
        <f t="shared" si="2"/>
        <v>103316.16295000001</v>
      </c>
      <c r="K10" s="36">
        <f t="shared" si="3"/>
        <v>21999.081675999998</v>
      </c>
      <c r="N10" s="5">
        <f t="shared" si="4"/>
        <v>42948.02484</v>
      </c>
      <c r="O10" s="5">
        <f t="shared" si="5"/>
        <v>42948.02484</v>
      </c>
      <c r="P10" s="35">
        <f t="shared" si="6"/>
        <v>9144.9109152</v>
      </c>
      <c r="S10" s="36">
        <f t="shared" si="7"/>
        <v>18.9876575</v>
      </c>
      <c r="T10" s="36">
        <f t="shared" si="8"/>
        <v>18.9876575</v>
      </c>
      <c r="U10" s="35">
        <f t="shared" si="9"/>
        <v>4.0430366</v>
      </c>
      <c r="X10" s="5">
        <f t="shared" si="10"/>
        <v>850.1946425</v>
      </c>
      <c r="Y10" s="5">
        <f t="shared" si="11"/>
        <v>850.1946425</v>
      </c>
      <c r="Z10" s="35">
        <f t="shared" si="12"/>
        <v>181.0317074</v>
      </c>
      <c r="AC10" s="5">
        <f t="shared" si="13"/>
        <v>511.9812775</v>
      </c>
      <c r="AD10" s="5">
        <f t="shared" si="14"/>
        <v>511.9812775</v>
      </c>
      <c r="AE10" s="35">
        <f t="shared" si="15"/>
        <v>109.0160302</v>
      </c>
      <c r="AH10" s="5">
        <f t="shared" si="16"/>
        <v>3805.0717250000002</v>
      </c>
      <c r="AI10" s="5">
        <f t="shared" si="17"/>
        <v>3805.0717250000002</v>
      </c>
      <c r="AJ10" s="35">
        <f t="shared" si="18"/>
        <v>810.2128580000001</v>
      </c>
      <c r="AM10" s="5">
        <f t="shared" si="19"/>
        <v>1179.154095</v>
      </c>
      <c r="AN10" s="5">
        <f t="shared" si="20"/>
        <v>1179.154095</v>
      </c>
      <c r="AO10" s="35">
        <f t="shared" si="21"/>
        <v>251.0769516</v>
      </c>
      <c r="AR10" s="5">
        <f t="shared" si="22"/>
        <v>2219.979335</v>
      </c>
      <c r="AS10" s="5">
        <f t="shared" si="23"/>
        <v>2219.979335</v>
      </c>
      <c r="AT10" s="35">
        <f t="shared" si="24"/>
        <v>472.6995788</v>
      </c>
      <c r="AW10" s="5">
        <f t="shared" si="25"/>
        <v>470.098755</v>
      </c>
      <c r="AX10" s="5">
        <f t="shared" si="26"/>
        <v>470.098755</v>
      </c>
      <c r="AY10" s="35">
        <f t="shared" si="27"/>
        <v>100.0979964</v>
      </c>
      <c r="BB10" s="5">
        <f t="shared" si="28"/>
        <v>8382.1939425</v>
      </c>
      <c r="BC10" s="5">
        <f t="shared" si="29"/>
        <v>8382.1939425</v>
      </c>
      <c r="BD10" s="35">
        <f t="shared" si="30"/>
        <v>1784.8182113999999</v>
      </c>
      <c r="BF10" s="36"/>
      <c r="BG10" s="5">
        <f t="shared" si="31"/>
        <v>3881.022355</v>
      </c>
      <c r="BH10" s="36">
        <f t="shared" si="32"/>
        <v>3881.022355</v>
      </c>
      <c r="BI10" s="35">
        <f t="shared" si="33"/>
        <v>826.3850044</v>
      </c>
      <c r="BL10" s="5">
        <f t="shared" si="34"/>
        <v>1858.7340100000001</v>
      </c>
      <c r="BM10" s="5">
        <f t="shared" si="35"/>
        <v>1858.7340100000001</v>
      </c>
      <c r="BN10" s="35">
        <f t="shared" si="36"/>
        <v>395.7797128</v>
      </c>
      <c r="BP10" s="5">
        <f t="shared" si="37"/>
        <v>0</v>
      </c>
      <c r="BQ10" s="5">
        <f t="shared" si="38"/>
        <v>274.2585475</v>
      </c>
      <c r="BR10" s="5">
        <f t="shared" si="39"/>
        <v>274.2585475</v>
      </c>
      <c r="BS10" s="35">
        <f t="shared" si="40"/>
        <v>58.397795800000004</v>
      </c>
      <c r="BV10" s="5">
        <f t="shared" si="41"/>
        <v>1215.9641024999999</v>
      </c>
      <c r="BW10" s="5">
        <f t="shared" si="42"/>
        <v>1215.9641024999999</v>
      </c>
      <c r="BX10" s="35">
        <f t="shared" si="43"/>
        <v>258.9148962</v>
      </c>
      <c r="CA10" s="5">
        <f t="shared" si="44"/>
        <v>167.46154249999998</v>
      </c>
      <c r="CB10" s="5">
        <f t="shared" si="45"/>
        <v>167.46154249999998</v>
      </c>
      <c r="CC10" s="35">
        <f t="shared" si="46"/>
        <v>35.6575394</v>
      </c>
      <c r="CF10" s="5">
        <f t="shared" si="47"/>
        <v>3493.4547900000002</v>
      </c>
      <c r="CG10" s="5">
        <f t="shared" si="48"/>
        <v>3493.4547900000002</v>
      </c>
      <c r="CH10" s="35">
        <f t="shared" si="49"/>
        <v>743.8603512</v>
      </c>
      <c r="CK10" s="5">
        <f t="shared" si="50"/>
        <v>676.70092</v>
      </c>
      <c r="CL10" s="5">
        <f t="shared" si="51"/>
        <v>676.70092</v>
      </c>
      <c r="CM10" s="35">
        <f t="shared" si="52"/>
        <v>144.08973759999998</v>
      </c>
      <c r="CP10" s="5">
        <f t="shared" si="53"/>
        <v>895.2988975</v>
      </c>
      <c r="CQ10" s="36">
        <f t="shared" si="54"/>
        <v>895.2988975</v>
      </c>
      <c r="CR10" s="35">
        <f t="shared" si="55"/>
        <v>190.6357438</v>
      </c>
      <c r="CU10" s="5">
        <f t="shared" si="56"/>
        <v>2910.389755</v>
      </c>
      <c r="CV10" s="36">
        <f t="shared" si="57"/>
        <v>2910.389755</v>
      </c>
      <c r="CW10" s="35">
        <f t="shared" si="58"/>
        <v>619.7084764</v>
      </c>
      <c r="CZ10" s="5">
        <f t="shared" si="59"/>
        <v>1711.0141474999998</v>
      </c>
      <c r="DA10" s="5">
        <f t="shared" si="60"/>
        <v>1711.0141474999998</v>
      </c>
      <c r="DB10" s="35">
        <f t="shared" si="61"/>
        <v>364.32576379999995</v>
      </c>
      <c r="DE10" s="5">
        <f t="shared" si="62"/>
        <v>1931.4629074999998</v>
      </c>
      <c r="DF10" s="5">
        <f t="shared" si="63"/>
        <v>1931.4629074999998</v>
      </c>
      <c r="DG10" s="35">
        <f t="shared" si="64"/>
        <v>411.26585659999995</v>
      </c>
      <c r="DJ10" s="5">
        <f t="shared" si="65"/>
        <v>22362.4565675</v>
      </c>
      <c r="DK10" s="5">
        <f t="shared" si="66"/>
        <v>22362.4565675</v>
      </c>
      <c r="DL10" s="35">
        <f t="shared" si="67"/>
        <v>4761.6316214</v>
      </c>
      <c r="DO10" s="5">
        <f t="shared" si="68"/>
        <v>823.39257</v>
      </c>
      <c r="DP10" s="36">
        <f t="shared" si="69"/>
        <v>823.39257</v>
      </c>
      <c r="DQ10" s="35">
        <f t="shared" si="70"/>
        <v>175.3247496</v>
      </c>
      <c r="DT10" s="36">
        <f t="shared" si="71"/>
        <v>728.8655675000001</v>
      </c>
      <c r="DU10" s="36">
        <f t="shared" si="72"/>
        <v>728.8655675000001</v>
      </c>
      <c r="DV10" s="35">
        <f t="shared" si="73"/>
        <v>155.19714140000002</v>
      </c>
    </row>
    <row r="11" spans="1:127" ht="12.75">
      <c r="A11" s="37">
        <v>43922</v>
      </c>
      <c r="C11" s="3">
        <v>5170000</v>
      </c>
      <c r="D11" s="3">
        <v>685475</v>
      </c>
      <c r="E11" s="35">
        <f t="shared" si="0"/>
        <v>5855475</v>
      </c>
      <c r="F11" s="35">
        <f>'2011A'!F11</f>
        <v>145958</v>
      </c>
      <c r="H11" s="46">
        <f t="shared" si="74"/>
        <v>779232.7400000001</v>
      </c>
      <c r="I11" s="36">
        <f t="shared" si="1"/>
        <v>103316.16295000001</v>
      </c>
      <c r="J11" s="36">
        <f t="shared" si="2"/>
        <v>882548.9029500001</v>
      </c>
      <c r="K11" s="36">
        <f t="shared" si="3"/>
        <v>21999.081675999998</v>
      </c>
      <c r="M11" s="5">
        <f t="shared" si="75"/>
        <v>323923.248</v>
      </c>
      <c r="N11" s="5">
        <f t="shared" si="4"/>
        <v>42948.02484</v>
      </c>
      <c r="O11" s="5">
        <f t="shared" si="5"/>
        <v>366871.27284</v>
      </c>
      <c r="P11" s="35">
        <f t="shared" si="6"/>
        <v>9144.9109152</v>
      </c>
      <c r="R11" s="5">
        <f t="shared" si="76"/>
        <v>143.209</v>
      </c>
      <c r="S11" s="36">
        <f t="shared" si="7"/>
        <v>18.9876575</v>
      </c>
      <c r="T11" s="36">
        <f t="shared" si="8"/>
        <v>162.19665750000001</v>
      </c>
      <c r="U11" s="35">
        <f t="shared" si="9"/>
        <v>4.0430366</v>
      </c>
      <c r="W11" s="5">
        <f t="shared" si="77"/>
        <v>6412.351</v>
      </c>
      <c r="X11" s="5">
        <f t="shared" si="10"/>
        <v>850.1946425</v>
      </c>
      <c r="Y11" s="5">
        <f t="shared" si="11"/>
        <v>7262.545642499999</v>
      </c>
      <c r="Z11" s="35">
        <f t="shared" si="12"/>
        <v>181.0317074</v>
      </c>
      <c r="AB11" s="5">
        <f t="shared" si="78"/>
        <v>3861.473</v>
      </c>
      <c r="AC11" s="5">
        <f t="shared" si="13"/>
        <v>511.9812775</v>
      </c>
      <c r="AD11" s="5">
        <f t="shared" si="14"/>
        <v>4373.4542775</v>
      </c>
      <c r="AE11" s="35">
        <f t="shared" si="15"/>
        <v>109.0160302</v>
      </c>
      <c r="AG11" s="5">
        <f t="shared" si="79"/>
        <v>28698.670000000002</v>
      </c>
      <c r="AH11" s="5">
        <f t="shared" si="16"/>
        <v>3805.0717250000002</v>
      </c>
      <c r="AI11" s="5">
        <f t="shared" si="17"/>
        <v>32503.741725000003</v>
      </c>
      <c r="AJ11" s="35">
        <f t="shared" si="18"/>
        <v>810.2128580000001</v>
      </c>
      <c r="AL11" s="5">
        <f t="shared" si="80"/>
        <v>8893.434000000001</v>
      </c>
      <c r="AM11" s="5">
        <f t="shared" si="19"/>
        <v>1179.154095</v>
      </c>
      <c r="AN11" s="5">
        <f t="shared" si="20"/>
        <v>10072.588095000001</v>
      </c>
      <c r="AO11" s="35">
        <f t="shared" si="21"/>
        <v>251.0769516</v>
      </c>
      <c r="AQ11" s="5">
        <f t="shared" si="81"/>
        <v>16743.561999999998</v>
      </c>
      <c r="AR11" s="5">
        <f t="shared" si="22"/>
        <v>2219.979335</v>
      </c>
      <c r="AS11" s="5">
        <f t="shared" si="23"/>
        <v>18963.541334999998</v>
      </c>
      <c r="AT11" s="35">
        <f t="shared" si="24"/>
        <v>472.6995788</v>
      </c>
      <c r="AV11" s="5">
        <f t="shared" si="82"/>
        <v>3545.586</v>
      </c>
      <c r="AW11" s="5">
        <f t="shared" si="25"/>
        <v>470.098755</v>
      </c>
      <c r="AX11" s="5">
        <f t="shared" si="26"/>
        <v>4015.6847549999998</v>
      </c>
      <c r="AY11" s="35">
        <f t="shared" si="27"/>
        <v>100.0979964</v>
      </c>
      <c r="BA11" s="5">
        <f t="shared" si="83"/>
        <v>63220.310999999994</v>
      </c>
      <c r="BB11" s="5">
        <f t="shared" si="28"/>
        <v>8382.1939425</v>
      </c>
      <c r="BC11" s="5">
        <f t="shared" si="29"/>
        <v>71602.50494249999</v>
      </c>
      <c r="BD11" s="35">
        <f t="shared" si="30"/>
        <v>1784.8182113999999</v>
      </c>
      <c r="BF11" s="36">
        <f t="shared" si="84"/>
        <v>29271.505999999998</v>
      </c>
      <c r="BG11" s="5">
        <f t="shared" si="31"/>
        <v>3881.022355</v>
      </c>
      <c r="BH11" s="36">
        <f t="shared" si="32"/>
        <v>33152.528354999995</v>
      </c>
      <c r="BI11" s="35">
        <f t="shared" si="33"/>
        <v>826.3850044</v>
      </c>
      <c r="BK11" s="5">
        <f t="shared" si="85"/>
        <v>14018.972000000002</v>
      </c>
      <c r="BL11" s="5">
        <f t="shared" si="34"/>
        <v>1858.7340100000001</v>
      </c>
      <c r="BM11" s="5">
        <f t="shared" si="35"/>
        <v>15877.706010000002</v>
      </c>
      <c r="BN11" s="35">
        <f t="shared" si="36"/>
        <v>395.7797128</v>
      </c>
      <c r="BP11" s="5">
        <f t="shared" si="37"/>
        <v>2068.5170000000003</v>
      </c>
      <c r="BQ11" s="5">
        <f t="shared" si="38"/>
        <v>274.2585475</v>
      </c>
      <c r="BR11" s="5">
        <f t="shared" si="39"/>
        <v>2342.7755475000004</v>
      </c>
      <c r="BS11" s="35">
        <f t="shared" si="40"/>
        <v>58.397795800000004</v>
      </c>
      <c r="BU11" s="5">
        <f t="shared" si="86"/>
        <v>9171.063</v>
      </c>
      <c r="BV11" s="5">
        <f t="shared" si="41"/>
        <v>1215.9641024999999</v>
      </c>
      <c r="BW11" s="5">
        <f t="shared" si="42"/>
        <v>10387.0271025</v>
      </c>
      <c r="BX11" s="35">
        <f t="shared" si="43"/>
        <v>258.9148962</v>
      </c>
      <c r="BZ11" s="5">
        <f t="shared" si="87"/>
        <v>1263.031</v>
      </c>
      <c r="CA11" s="5">
        <f t="shared" si="44"/>
        <v>167.46154249999998</v>
      </c>
      <c r="CB11" s="5">
        <f t="shared" si="45"/>
        <v>1430.4925425</v>
      </c>
      <c r="CC11" s="35">
        <f t="shared" si="46"/>
        <v>35.6575394</v>
      </c>
      <c r="CE11" s="5">
        <f t="shared" si="88"/>
        <v>26348.388</v>
      </c>
      <c r="CF11" s="5">
        <f t="shared" si="47"/>
        <v>3493.4547900000002</v>
      </c>
      <c r="CG11" s="5">
        <f t="shared" si="48"/>
        <v>29841.84279</v>
      </c>
      <c r="CH11" s="35">
        <f t="shared" si="49"/>
        <v>743.8603512</v>
      </c>
      <c r="CJ11" s="5">
        <f t="shared" si="89"/>
        <v>5103.824</v>
      </c>
      <c r="CK11" s="5">
        <f t="shared" si="50"/>
        <v>676.70092</v>
      </c>
      <c r="CL11" s="5">
        <f t="shared" si="51"/>
        <v>5780.52492</v>
      </c>
      <c r="CM11" s="35">
        <f t="shared" si="52"/>
        <v>144.08973759999998</v>
      </c>
      <c r="CO11" s="5">
        <f t="shared" si="90"/>
        <v>6752.536999999999</v>
      </c>
      <c r="CP11" s="5">
        <f t="shared" si="53"/>
        <v>895.2988975</v>
      </c>
      <c r="CQ11" s="36">
        <f t="shared" si="54"/>
        <v>7647.835897499999</v>
      </c>
      <c r="CR11" s="35">
        <f t="shared" si="55"/>
        <v>190.6357438</v>
      </c>
      <c r="CT11" s="5">
        <f t="shared" si="91"/>
        <v>21950.786</v>
      </c>
      <c r="CU11" s="5">
        <f t="shared" si="56"/>
        <v>2910.389755</v>
      </c>
      <c r="CV11" s="36">
        <f t="shared" si="57"/>
        <v>24861.175755</v>
      </c>
      <c r="CW11" s="35">
        <f t="shared" si="58"/>
        <v>619.7084764</v>
      </c>
      <c r="CY11" s="5">
        <f t="shared" si="92"/>
        <v>12904.837</v>
      </c>
      <c r="CZ11" s="5">
        <f t="shared" si="59"/>
        <v>1711.0141474999998</v>
      </c>
      <c r="DA11" s="5">
        <f t="shared" si="60"/>
        <v>14615.8511475</v>
      </c>
      <c r="DB11" s="35">
        <f t="shared" si="61"/>
        <v>364.32576379999995</v>
      </c>
      <c r="DD11" s="5">
        <f t="shared" si="93"/>
        <v>14567.508999999998</v>
      </c>
      <c r="DE11" s="5">
        <f t="shared" si="62"/>
        <v>1931.4629074999998</v>
      </c>
      <c r="DF11" s="5">
        <f t="shared" si="63"/>
        <v>16498.9719075</v>
      </c>
      <c r="DG11" s="35">
        <f t="shared" si="64"/>
        <v>411.26585659999995</v>
      </c>
      <c r="DI11" s="5">
        <f t="shared" si="94"/>
        <v>168662.461</v>
      </c>
      <c r="DJ11" s="5">
        <f t="shared" si="65"/>
        <v>22362.4565675</v>
      </c>
      <c r="DK11" s="5">
        <f t="shared" si="66"/>
        <v>191024.9175675</v>
      </c>
      <c r="DL11" s="35">
        <f t="shared" si="67"/>
        <v>4761.6316214</v>
      </c>
      <c r="DN11" s="5">
        <f t="shared" si="95"/>
        <v>6210.204</v>
      </c>
      <c r="DO11" s="5">
        <f t="shared" si="68"/>
        <v>823.39257</v>
      </c>
      <c r="DP11" s="36">
        <f t="shared" si="69"/>
        <v>7033.59657</v>
      </c>
      <c r="DQ11" s="35">
        <f t="shared" si="70"/>
        <v>175.3247496</v>
      </c>
      <c r="DS11" s="5">
        <f t="shared" si="96"/>
        <v>5497.261</v>
      </c>
      <c r="DT11" s="36">
        <f t="shared" si="71"/>
        <v>728.8655675000001</v>
      </c>
      <c r="DU11" s="36">
        <f t="shared" si="72"/>
        <v>6226.1265675</v>
      </c>
      <c r="DV11" s="35">
        <f t="shared" si="73"/>
        <v>155.19714140000002</v>
      </c>
      <c r="DW11"/>
    </row>
    <row r="12" spans="1:127" ht="12.75">
      <c r="A12" s="37">
        <v>44105</v>
      </c>
      <c r="D12" s="3">
        <v>556225</v>
      </c>
      <c r="E12" s="35">
        <f t="shared" si="0"/>
        <v>556225</v>
      </c>
      <c r="F12" s="35">
        <f>'2011A'!F12</f>
        <v>145958</v>
      </c>
      <c r="H12" s="46"/>
      <c r="I12" s="36">
        <f t="shared" si="1"/>
        <v>83835.34445</v>
      </c>
      <c r="J12" s="36">
        <f t="shared" si="2"/>
        <v>83835.34445</v>
      </c>
      <c r="K12" s="36">
        <f t="shared" si="3"/>
        <v>21999.081675999998</v>
      </c>
      <c r="N12" s="5">
        <f t="shared" si="4"/>
        <v>34849.94364</v>
      </c>
      <c r="O12" s="5">
        <f t="shared" si="5"/>
        <v>34849.94364</v>
      </c>
      <c r="P12" s="35">
        <f t="shared" si="6"/>
        <v>9144.9109152</v>
      </c>
      <c r="S12" s="36">
        <f t="shared" si="7"/>
        <v>15.407432499999999</v>
      </c>
      <c r="T12" s="36">
        <f t="shared" si="8"/>
        <v>15.407432499999999</v>
      </c>
      <c r="U12" s="35">
        <f t="shared" si="9"/>
        <v>4.0430366</v>
      </c>
      <c r="X12" s="5">
        <f t="shared" si="10"/>
        <v>689.8858675</v>
      </c>
      <c r="Y12" s="5">
        <f t="shared" si="11"/>
        <v>689.8858675</v>
      </c>
      <c r="Z12" s="35">
        <f t="shared" si="12"/>
        <v>181.0317074</v>
      </c>
      <c r="AC12" s="5">
        <f t="shared" si="13"/>
        <v>415.4444525</v>
      </c>
      <c r="AD12" s="5">
        <f t="shared" si="14"/>
        <v>415.4444525</v>
      </c>
      <c r="AE12" s="35">
        <f t="shared" si="15"/>
        <v>109.0160302</v>
      </c>
      <c r="AH12" s="5">
        <f t="shared" si="16"/>
        <v>3087.604975</v>
      </c>
      <c r="AI12" s="5">
        <f t="shared" si="17"/>
        <v>3087.604975</v>
      </c>
      <c r="AJ12" s="35">
        <f t="shared" si="18"/>
        <v>810.2128580000001</v>
      </c>
      <c r="AM12" s="5">
        <f t="shared" si="19"/>
        <v>956.818245</v>
      </c>
      <c r="AN12" s="5">
        <f t="shared" si="20"/>
        <v>956.818245</v>
      </c>
      <c r="AO12" s="35">
        <f t="shared" si="21"/>
        <v>251.0769516</v>
      </c>
      <c r="AR12" s="5">
        <f t="shared" si="22"/>
        <v>1801.390285</v>
      </c>
      <c r="AS12" s="5">
        <f t="shared" si="23"/>
        <v>1801.390285</v>
      </c>
      <c r="AT12" s="35">
        <f t="shared" si="24"/>
        <v>472.6995788</v>
      </c>
      <c r="AW12" s="5">
        <f t="shared" si="25"/>
        <v>381.45910499999997</v>
      </c>
      <c r="AX12" s="5">
        <f t="shared" si="26"/>
        <v>381.45910499999997</v>
      </c>
      <c r="AY12" s="35">
        <f t="shared" si="27"/>
        <v>100.0979964</v>
      </c>
      <c r="BB12" s="5">
        <f t="shared" si="28"/>
        <v>6801.6861675</v>
      </c>
      <c r="BC12" s="5">
        <f t="shared" si="29"/>
        <v>6801.6861675</v>
      </c>
      <c r="BD12" s="35">
        <f t="shared" si="30"/>
        <v>1784.8182113999999</v>
      </c>
      <c r="BF12" s="36"/>
      <c r="BG12" s="5">
        <f t="shared" si="31"/>
        <v>3149.234705</v>
      </c>
      <c r="BH12" s="36">
        <f t="shared" si="32"/>
        <v>3149.234705</v>
      </c>
      <c r="BI12" s="35">
        <f t="shared" si="33"/>
        <v>826.3850044</v>
      </c>
      <c r="BL12" s="5">
        <f t="shared" si="34"/>
        <v>1508.25971</v>
      </c>
      <c r="BM12" s="5">
        <f t="shared" si="35"/>
        <v>1508.25971</v>
      </c>
      <c r="BN12" s="35">
        <f t="shared" si="36"/>
        <v>395.7797128</v>
      </c>
      <c r="BP12" s="5">
        <f t="shared" si="37"/>
        <v>0</v>
      </c>
      <c r="BQ12" s="5">
        <f t="shared" si="38"/>
        <v>222.5456225</v>
      </c>
      <c r="BR12" s="5">
        <f t="shared" si="39"/>
        <v>222.5456225</v>
      </c>
      <c r="BS12" s="35">
        <f t="shared" si="40"/>
        <v>58.397795800000004</v>
      </c>
      <c r="BV12" s="5">
        <f t="shared" si="41"/>
        <v>986.6875275</v>
      </c>
      <c r="BW12" s="5">
        <f t="shared" si="42"/>
        <v>986.6875275</v>
      </c>
      <c r="BX12" s="35">
        <f t="shared" si="43"/>
        <v>258.9148962</v>
      </c>
      <c r="CA12" s="5">
        <f t="shared" si="44"/>
        <v>135.8857675</v>
      </c>
      <c r="CB12" s="5">
        <f t="shared" si="45"/>
        <v>135.8857675</v>
      </c>
      <c r="CC12" s="35">
        <f t="shared" si="46"/>
        <v>35.6575394</v>
      </c>
      <c r="CF12" s="5">
        <f t="shared" si="47"/>
        <v>2834.74509</v>
      </c>
      <c r="CG12" s="5">
        <f t="shared" si="48"/>
        <v>2834.74509</v>
      </c>
      <c r="CH12" s="35">
        <f t="shared" si="49"/>
        <v>743.8603512</v>
      </c>
      <c r="CK12" s="5">
        <f t="shared" si="50"/>
        <v>549.10532</v>
      </c>
      <c r="CL12" s="5">
        <f t="shared" si="51"/>
        <v>549.10532</v>
      </c>
      <c r="CM12" s="35">
        <f t="shared" si="52"/>
        <v>144.08973759999998</v>
      </c>
      <c r="CP12" s="5">
        <f t="shared" si="53"/>
        <v>726.4854725</v>
      </c>
      <c r="CQ12" s="36">
        <f t="shared" si="54"/>
        <v>726.4854725</v>
      </c>
      <c r="CR12" s="35">
        <f t="shared" si="55"/>
        <v>190.6357438</v>
      </c>
      <c r="CU12" s="5">
        <f t="shared" si="56"/>
        <v>2361.620105</v>
      </c>
      <c r="CV12" s="36">
        <f t="shared" si="57"/>
        <v>2361.620105</v>
      </c>
      <c r="CW12" s="35">
        <f t="shared" si="58"/>
        <v>619.7084764</v>
      </c>
      <c r="CZ12" s="5">
        <f t="shared" si="59"/>
        <v>1388.3932224999999</v>
      </c>
      <c r="DA12" s="5">
        <f t="shared" si="60"/>
        <v>1388.3932224999999</v>
      </c>
      <c r="DB12" s="35">
        <f t="shared" si="61"/>
        <v>364.32576379999995</v>
      </c>
      <c r="DE12" s="5">
        <f t="shared" si="62"/>
        <v>1567.2751824999998</v>
      </c>
      <c r="DF12" s="5">
        <f t="shared" si="63"/>
        <v>1567.2751824999998</v>
      </c>
      <c r="DG12" s="35">
        <f t="shared" si="64"/>
        <v>411.26585659999995</v>
      </c>
      <c r="DJ12" s="5">
        <f t="shared" si="65"/>
        <v>18145.8950425</v>
      </c>
      <c r="DK12" s="5">
        <f t="shared" si="66"/>
        <v>18145.8950425</v>
      </c>
      <c r="DL12" s="35">
        <f t="shared" si="67"/>
        <v>4761.6316214</v>
      </c>
      <c r="DO12" s="5">
        <f t="shared" si="68"/>
        <v>668.13747</v>
      </c>
      <c r="DP12" s="36">
        <f t="shared" si="69"/>
        <v>668.13747</v>
      </c>
      <c r="DQ12" s="35">
        <f t="shared" si="70"/>
        <v>175.3247496</v>
      </c>
      <c r="DT12" s="36">
        <f t="shared" si="71"/>
        <v>591.4340425</v>
      </c>
      <c r="DU12" s="36">
        <f t="shared" si="72"/>
        <v>591.4340425</v>
      </c>
      <c r="DV12" s="35">
        <f t="shared" si="73"/>
        <v>155.19714140000002</v>
      </c>
      <c r="DW12"/>
    </row>
    <row r="13" spans="1:127" ht="12.75">
      <c r="A13" s="37">
        <v>44287</v>
      </c>
      <c r="C13" s="3">
        <v>5430000</v>
      </c>
      <c r="D13" s="3">
        <v>556225</v>
      </c>
      <c r="E13" s="35">
        <f t="shared" si="0"/>
        <v>5986225</v>
      </c>
      <c r="F13" s="35">
        <f>'2011A'!F13</f>
        <v>145958</v>
      </c>
      <c r="H13" s="46">
        <f t="shared" si="74"/>
        <v>818420.4600000001</v>
      </c>
      <c r="I13" s="36">
        <f t="shared" si="1"/>
        <v>83835.34445</v>
      </c>
      <c r="J13" s="36">
        <f t="shared" si="2"/>
        <v>902255.80445</v>
      </c>
      <c r="K13" s="36">
        <f t="shared" si="3"/>
        <v>21999.081675999998</v>
      </c>
      <c r="M13" s="5">
        <f t="shared" si="75"/>
        <v>340213.392</v>
      </c>
      <c r="N13" s="5">
        <f t="shared" si="4"/>
        <v>34849.94364</v>
      </c>
      <c r="O13" s="5">
        <f t="shared" si="5"/>
        <v>375063.33564</v>
      </c>
      <c r="P13" s="35">
        <f t="shared" si="6"/>
        <v>9144.9109152</v>
      </c>
      <c r="R13" s="5">
        <f t="shared" si="76"/>
        <v>150.411</v>
      </c>
      <c r="S13" s="36">
        <f t="shared" si="7"/>
        <v>15.407432499999999</v>
      </c>
      <c r="T13" s="36">
        <f t="shared" si="8"/>
        <v>165.8184325</v>
      </c>
      <c r="U13" s="35">
        <f t="shared" si="9"/>
        <v>4.0430366</v>
      </c>
      <c r="W13" s="5">
        <f t="shared" si="77"/>
        <v>6734.829</v>
      </c>
      <c r="X13" s="5">
        <f t="shared" si="10"/>
        <v>689.8858675</v>
      </c>
      <c r="Y13" s="5">
        <f t="shared" si="11"/>
        <v>7424.7148675</v>
      </c>
      <c r="Z13" s="35">
        <f t="shared" si="12"/>
        <v>181.0317074</v>
      </c>
      <c r="AB13" s="5">
        <f t="shared" si="78"/>
        <v>4055.667</v>
      </c>
      <c r="AC13" s="5">
        <f t="shared" si="13"/>
        <v>415.4444525</v>
      </c>
      <c r="AD13" s="5">
        <f t="shared" si="14"/>
        <v>4471.1114525</v>
      </c>
      <c r="AE13" s="35">
        <f t="shared" si="15"/>
        <v>109.0160302</v>
      </c>
      <c r="AG13" s="5">
        <f t="shared" si="79"/>
        <v>30141.93</v>
      </c>
      <c r="AH13" s="5">
        <f t="shared" si="16"/>
        <v>3087.604975</v>
      </c>
      <c r="AI13" s="5">
        <f t="shared" si="17"/>
        <v>33229.534975</v>
      </c>
      <c r="AJ13" s="35">
        <f t="shared" si="18"/>
        <v>810.2128580000001</v>
      </c>
      <c r="AL13" s="5">
        <f t="shared" si="80"/>
        <v>9340.686</v>
      </c>
      <c r="AM13" s="5">
        <f t="shared" si="19"/>
        <v>956.818245</v>
      </c>
      <c r="AN13" s="5">
        <f t="shared" si="20"/>
        <v>10297.504245</v>
      </c>
      <c r="AO13" s="35">
        <f t="shared" si="21"/>
        <v>251.0769516</v>
      </c>
      <c r="AQ13" s="5">
        <f t="shared" si="81"/>
        <v>17585.597999999998</v>
      </c>
      <c r="AR13" s="5">
        <f t="shared" si="22"/>
        <v>1801.390285</v>
      </c>
      <c r="AS13" s="5">
        <f t="shared" si="23"/>
        <v>19386.988285</v>
      </c>
      <c r="AT13" s="35">
        <f t="shared" si="24"/>
        <v>472.6995788</v>
      </c>
      <c r="AV13" s="5">
        <f t="shared" si="82"/>
        <v>3723.894</v>
      </c>
      <c r="AW13" s="5">
        <f t="shared" si="25"/>
        <v>381.45910499999997</v>
      </c>
      <c r="AX13" s="5">
        <f t="shared" si="26"/>
        <v>4105.353105</v>
      </c>
      <c r="AY13" s="35">
        <f t="shared" si="27"/>
        <v>100.0979964</v>
      </c>
      <c r="BA13" s="5">
        <f t="shared" si="83"/>
        <v>66399.669</v>
      </c>
      <c r="BB13" s="5">
        <f t="shared" si="28"/>
        <v>6801.6861675</v>
      </c>
      <c r="BC13" s="5">
        <f t="shared" si="29"/>
        <v>73201.35516749999</v>
      </c>
      <c r="BD13" s="35">
        <f t="shared" si="30"/>
        <v>1784.8182113999999</v>
      </c>
      <c r="BF13" s="36">
        <f t="shared" si="84"/>
        <v>30743.574</v>
      </c>
      <c r="BG13" s="5">
        <f t="shared" si="31"/>
        <v>3149.234705</v>
      </c>
      <c r="BH13" s="36">
        <f t="shared" si="32"/>
        <v>33892.808705</v>
      </c>
      <c r="BI13" s="35">
        <f t="shared" si="33"/>
        <v>826.3850044</v>
      </c>
      <c r="BK13" s="5">
        <f t="shared" si="85"/>
        <v>14723.988000000001</v>
      </c>
      <c r="BL13" s="5">
        <f t="shared" si="34"/>
        <v>1508.25971</v>
      </c>
      <c r="BM13" s="5">
        <f t="shared" si="35"/>
        <v>16232.247710000001</v>
      </c>
      <c r="BN13" s="35">
        <f t="shared" si="36"/>
        <v>395.7797128</v>
      </c>
      <c r="BP13" s="5">
        <f t="shared" si="37"/>
        <v>2172.543</v>
      </c>
      <c r="BQ13" s="5">
        <f t="shared" si="38"/>
        <v>222.5456225</v>
      </c>
      <c r="BR13" s="5">
        <f t="shared" si="39"/>
        <v>2395.0886225</v>
      </c>
      <c r="BS13" s="35">
        <f t="shared" si="40"/>
        <v>58.397795800000004</v>
      </c>
      <c r="BU13" s="5">
        <f t="shared" si="86"/>
        <v>9632.277</v>
      </c>
      <c r="BV13" s="5">
        <f t="shared" si="41"/>
        <v>986.6875275</v>
      </c>
      <c r="BW13" s="5">
        <f t="shared" si="42"/>
        <v>10618.9645275</v>
      </c>
      <c r="BX13" s="35">
        <f t="shared" si="43"/>
        <v>258.9148962</v>
      </c>
      <c r="BZ13" s="5">
        <f t="shared" si="87"/>
        <v>1326.549</v>
      </c>
      <c r="CA13" s="5">
        <f t="shared" si="44"/>
        <v>135.8857675</v>
      </c>
      <c r="CB13" s="5">
        <f t="shared" si="45"/>
        <v>1462.4347675</v>
      </c>
      <c r="CC13" s="35">
        <f t="shared" si="46"/>
        <v>35.6575394</v>
      </c>
      <c r="CE13" s="5">
        <f t="shared" si="88"/>
        <v>27673.452</v>
      </c>
      <c r="CF13" s="5">
        <f t="shared" si="47"/>
        <v>2834.74509</v>
      </c>
      <c r="CG13" s="5">
        <f t="shared" si="48"/>
        <v>30508.19709</v>
      </c>
      <c r="CH13" s="35">
        <f t="shared" si="49"/>
        <v>743.8603512</v>
      </c>
      <c r="CJ13" s="5">
        <f t="shared" si="89"/>
        <v>5360.495999999999</v>
      </c>
      <c r="CK13" s="5">
        <f t="shared" si="50"/>
        <v>549.10532</v>
      </c>
      <c r="CL13" s="5">
        <f t="shared" si="51"/>
        <v>5909.601319999999</v>
      </c>
      <c r="CM13" s="35">
        <f t="shared" si="52"/>
        <v>144.08973759999998</v>
      </c>
      <c r="CO13" s="5">
        <f t="shared" si="90"/>
        <v>7092.123</v>
      </c>
      <c r="CP13" s="5">
        <f t="shared" si="53"/>
        <v>726.4854725</v>
      </c>
      <c r="CQ13" s="36">
        <f t="shared" si="54"/>
        <v>7818.6084725</v>
      </c>
      <c r="CR13" s="35">
        <f t="shared" si="55"/>
        <v>190.6357438</v>
      </c>
      <c r="CT13" s="5">
        <f t="shared" si="91"/>
        <v>23054.694</v>
      </c>
      <c r="CU13" s="5">
        <f t="shared" si="56"/>
        <v>2361.620105</v>
      </c>
      <c r="CV13" s="36">
        <f t="shared" si="57"/>
        <v>25416.314104999998</v>
      </c>
      <c r="CW13" s="35">
        <f t="shared" si="58"/>
        <v>619.7084764</v>
      </c>
      <c r="CY13" s="5">
        <f t="shared" si="92"/>
        <v>13553.822999999999</v>
      </c>
      <c r="CZ13" s="5">
        <f t="shared" si="59"/>
        <v>1388.3932224999999</v>
      </c>
      <c r="DA13" s="5">
        <f t="shared" si="60"/>
        <v>14942.2162225</v>
      </c>
      <c r="DB13" s="35">
        <f t="shared" si="61"/>
        <v>364.32576379999995</v>
      </c>
      <c r="DD13" s="5">
        <f t="shared" si="93"/>
        <v>15300.110999999999</v>
      </c>
      <c r="DE13" s="5">
        <f t="shared" si="62"/>
        <v>1567.2751824999998</v>
      </c>
      <c r="DF13" s="5">
        <f t="shared" si="63"/>
        <v>16867.3861825</v>
      </c>
      <c r="DG13" s="35">
        <f t="shared" si="64"/>
        <v>411.26585659999995</v>
      </c>
      <c r="DI13" s="5">
        <f t="shared" si="94"/>
        <v>177144.519</v>
      </c>
      <c r="DJ13" s="5">
        <f t="shared" si="65"/>
        <v>18145.8950425</v>
      </c>
      <c r="DK13" s="5">
        <f t="shared" si="66"/>
        <v>195290.4140425</v>
      </c>
      <c r="DL13" s="35">
        <f t="shared" si="67"/>
        <v>4761.6316214</v>
      </c>
      <c r="DN13" s="5">
        <f t="shared" si="95"/>
        <v>6522.516</v>
      </c>
      <c r="DO13" s="5">
        <f t="shared" si="68"/>
        <v>668.13747</v>
      </c>
      <c r="DP13" s="36">
        <f t="shared" si="69"/>
        <v>7190.653469999999</v>
      </c>
      <c r="DQ13" s="35">
        <f t="shared" si="70"/>
        <v>175.3247496</v>
      </c>
      <c r="DS13" s="5">
        <f t="shared" si="96"/>
        <v>5773.719000000001</v>
      </c>
      <c r="DT13" s="36">
        <f t="shared" si="71"/>
        <v>591.4340425</v>
      </c>
      <c r="DU13" s="36">
        <f t="shared" si="72"/>
        <v>6365.153042500001</v>
      </c>
      <c r="DV13" s="35">
        <f t="shared" si="73"/>
        <v>155.19714140000002</v>
      </c>
      <c r="DW13"/>
    </row>
    <row r="14" spans="1:127" ht="12.75">
      <c r="A14" s="37">
        <v>44470</v>
      </c>
      <c r="D14" s="3">
        <v>420475</v>
      </c>
      <c r="E14" s="35">
        <f t="shared" si="0"/>
        <v>420475</v>
      </c>
      <c r="F14" s="35">
        <f>'2011A'!F14</f>
        <v>145958</v>
      </c>
      <c r="H14" s="46"/>
      <c r="I14" s="36">
        <f t="shared" si="1"/>
        <v>63374.83295</v>
      </c>
      <c r="J14" s="36">
        <f t="shared" si="2"/>
        <v>63374.83295</v>
      </c>
      <c r="K14" s="36">
        <f t="shared" si="3"/>
        <v>21999.081675999998</v>
      </c>
      <c r="N14" s="5">
        <f t="shared" si="4"/>
        <v>26344.60884</v>
      </c>
      <c r="O14" s="5">
        <f t="shared" si="5"/>
        <v>26344.60884</v>
      </c>
      <c r="P14" s="35">
        <f t="shared" si="6"/>
        <v>9144.9109152</v>
      </c>
      <c r="S14" s="36">
        <f t="shared" si="7"/>
        <v>11.647157499999999</v>
      </c>
      <c r="T14" s="36">
        <f t="shared" si="8"/>
        <v>11.647157499999999</v>
      </c>
      <c r="U14" s="35">
        <f t="shared" si="9"/>
        <v>4.0430366</v>
      </c>
      <c r="X14" s="5">
        <f t="shared" si="10"/>
        <v>521.5151425</v>
      </c>
      <c r="Y14" s="5">
        <f t="shared" si="11"/>
        <v>521.5151425</v>
      </c>
      <c r="Z14" s="35">
        <f t="shared" si="12"/>
        <v>181.0317074</v>
      </c>
      <c r="AC14" s="5">
        <f t="shared" si="13"/>
        <v>314.0527775</v>
      </c>
      <c r="AD14" s="5">
        <f t="shared" si="14"/>
        <v>314.0527775</v>
      </c>
      <c r="AE14" s="35">
        <f t="shared" si="15"/>
        <v>109.0160302</v>
      </c>
      <c r="AH14" s="5">
        <f t="shared" si="16"/>
        <v>2334.0567250000004</v>
      </c>
      <c r="AI14" s="5">
        <f t="shared" si="17"/>
        <v>2334.0567250000004</v>
      </c>
      <c r="AJ14" s="35">
        <f t="shared" si="18"/>
        <v>810.2128580000001</v>
      </c>
      <c r="AM14" s="5">
        <f t="shared" si="19"/>
        <v>723.301095</v>
      </c>
      <c r="AN14" s="5">
        <f t="shared" si="20"/>
        <v>723.301095</v>
      </c>
      <c r="AO14" s="35">
        <f t="shared" si="21"/>
        <v>251.0769516</v>
      </c>
      <c r="AR14" s="5">
        <f t="shared" si="22"/>
        <v>1361.750335</v>
      </c>
      <c r="AS14" s="5">
        <f t="shared" si="23"/>
        <v>1361.750335</v>
      </c>
      <c r="AT14" s="35">
        <f t="shared" si="24"/>
        <v>472.6995788</v>
      </c>
      <c r="AW14" s="5">
        <f t="shared" si="25"/>
        <v>288.361755</v>
      </c>
      <c r="AX14" s="5">
        <f t="shared" si="26"/>
        <v>288.361755</v>
      </c>
      <c r="AY14" s="35">
        <f t="shared" si="27"/>
        <v>100.0979964</v>
      </c>
      <c r="BB14" s="5">
        <f t="shared" si="28"/>
        <v>5141.694442499999</v>
      </c>
      <c r="BC14" s="5">
        <f t="shared" si="29"/>
        <v>5141.694442499999</v>
      </c>
      <c r="BD14" s="35">
        <f t="shared" si="30"/>
        <v>1784.8182113999999</v>
      </c>
      <c r="BF14" s="36"/>
      <c r="BG14" s="5">
        <f t="shared" si="31"/>
        <v>2380.645355</v>
      </c>
      <c r="BH14" s="36">
        <f t="shared" si="32"/>
        <v>2380.645355</v>
      </c>
      <c r="BI14" s="35">
        <f t="shared" si="33"/>
        <v>826.3850044</v>
      </c>
      <c r="BL14" s="5">
        <f t="shared" si="34"/>
        <v>1140.16001</v>
      </c>
      <c r="BM14" s="5">
        <f t="shared" si="35"/>
        <v>1140.16001</v>
      </c>
      <c r="BN14" s="35">
        <f t="shared" si="36"/>
        <v>395.7797128</v>
      </c>
      <c r="BP14" s="5">
        <f t="shared" si="37"/>
        <v>0</v>
      </c>
      <c r="BQ14" s="5">
        <f t="shared" si="38"/>
        <v>168.23204750000002</v>
      </c>
      <c r="BR14" s="5">
        <f t="shared" si="39"/>
        <v>168.23204750000002</v>
      </c>
      <c r="BS14" s="35">
        <f t="shared" si="40"/>
        <v>58.397795800000004</v>
      </c>
      <c r="BV14" s="5">
        <f t="shared" si="41"/>
        <v>745.8806025</v>
      </c>
      <c r="BW14" s="5">
        <f t="shared" si="42"/>
        <v>745.8806025</v>
      </c>
      <c r="BX14" s="35">
        <f t="shared" si="43"/>
        <v>258.9148962</v>
      </c>
      <c r="CA14" s="5">
        <f t="shared" si="44"/>
        <v>102.72204249999999</v>
      </c>
      <c r="CB14" s="5">
        <f t="shared" si="45"/>
        <v>102.72204249999999</v>
      </c>
      <c r="CC14" s="35">
        <f t="shared" si="46"/>
        <v>35.6575394</v>
      </c>
      <c r="CF14" s="5">
        <f t="shared" si="47"/>
        <v>2142.90879</v>
      </c>
      <c r="CG14" s="5">
        <f t="shared" si="48"/>
        <v>2142.90879</v>
      </c>
      <c r="CH14" s="35">
        <f t="shared" si="49"/>
        <v>743.8603512</v>
      </c>
      <c r="CK14" s="5">
        <f t="shared" si="50"/>
        <v>415.09292</v>
      </c>
      <c r="CL14" s="5">
        <f t="shared" si="51"/>
        <v>415.09292</v>
      </c>
      <c r="CM14" s="35">
        <f t="shared" si="52"/>
        <v>144.08973759999998</v>
      </c>
      <c r="CP14" s="5">
        <f t="shared" si="53"/>
        <v>549.1823975</v>
      </c>
      <c r="CQ14" s="36">
        <f t="shared" si="54"/>
        <v>549.1823975</v>
      </c>
      <c r="CR14" s="35">
        <f t="shared" si="55"/>
        <v>190.6357438</v>
      </c>
      <c r="CU14" s="5">
        <f t="shared" si="56"/>
        <v>1785.252755</v>
      </c>
      <c r="CV14" s="36">
        <f t="shared" si="57"/>
        <v>1785.252755</v>
      </c>
      <c r="CW14" s="35">
        <f t="shared" si="58"/>
        <v>619.7084764</v>
      </c>
      <c r="CZ14" s="5">
        <f t="shared" si="59"/>
        <v>1049.5476474999998</v>
      </c>
      <c r="DA14" s="5">
        <f t="shared" si="60"/>
        <v>1049.5476474999998</v>
      </c>
      <c r="DB14" s="35">
        <f t="shared" si="61"/>
        <v>364.32576379999995</v>
      </c>
      <c r="DE14" s="5">
        <f t="shared" si="62"/>
        <v>1184.7724074999999</v>
      </c>
      <c r="DF14" s="5">
        <f t="shared" si="63"/>
        <v>1184.7724074999999</v>
      </c>
      <c r="DG14" s="35">
        <f t="shared" si="64"/>
        <v>411.26585659999995</v>
      </c>
      <c r="DJ14" s="5">
        <f t="shared" si="65"/>
        <v>13717.2820675</v>
      </c>
      <c r="DK14" s="5">
        <f t="shared" si="66"/>
        <v>13717.2820675</v>
      </c>
      <c r="DL14" s="35">
        <f t="shared" si="67"/>
        <v>4761.6316214</v>
      </c>
      <c r="DO14" s="5">
        <f t="shared" si="68"/>
        <v>505.07457</v>
      </c>
      <c r="DP14" s="36">
        <f t="shared" si="69"/>
        <v>505.07457</v>
      </c>
      <c r="DQ14" s="35">
        <f t="shared" si="70"/>
        <v>175.3247496</v>
      </c>
      <c r="DT14" s="36">
        <f t="shared" si="71"/>
        <v>447.09106750000007</v>
      </c>
      <c r="DU14" s="36">
        <f t="shared" si="72"/>
        <v>447.09106750000007</v>
      </c>
      <c r="DV14" s="35">
        <f t="shared" si="73"/>
        <v>155.19714140000002</v>
      </c>
      <c r="DW14"/>
    </row>
    <row r="15" spans="1:127" ht="12.75">
      <c r="A15" s="37">
        <v>44652</v>
      </c>
      <c r="C15" s="3">
        <v>0</v>
      </c>
      <c r="D15" s="3">
        <v>420475</v>
      </c>
      <c r="E15" s="35">
        <f t="shared" si="0"/>
        <v>420475</v>
      </c>
      <c r="F15" s="35">
        <f>'2011A'!F15</f>
        <v>145958</v>
      </c>
      <c r="H15" s="46">
        <f t="shared" si="74"/>
        <v>0</v>
      </c>
      <c r="I15" s="36">
        <f t="shared" si="1"/>
        <v>63374.83295</v>
      </c>
      <c r="J15" s="36">
        <f t="shared" si="2"/>
        <v>63374.83295</v>
      </c>
      <c r="K15" s="36">
        <f t="shared" si="3"/>
        <v>21999.081675999998</v>
      </c>
      <c r="M15" s="5">
        <f t="shared" si="75"/>
        <v>0</v>
      </c>
      <c r="N15" s="5">
        <f t="shared" si="4"/>
        <v>26344.60884</v>
      </c>
      <c r="O15" s="5">
        <f t="shared" si="5"/>
        <v>26344.60884</v>
      </c>
      <c r="P15" s="35">
        <f t="shared" si="6"/>
        <v>9144.9109152</v>
      </c>
      <c r="R15" s="5">
        <f t="shared" si="76"/>
        <v>0</v>
      </c>
      <c r="S15" s="36">
        <f t="shared" si="7"/>
        <v>11.647157499999999</v>
      </c>
      <c r="T15" s="36">
        <f t="shared" si="8"/>
        <v>11.647157499999999</v>
      </c>
      <c r="U15" s="35">
        <f t="shared" si="9"/>
        <v>4.0430366</v>
      </c>
      <c r="W15" s="5">
        <f t="shared" si="77"/>
        <v>0</v>
      </c>
      <c r="X15" s="5">
        <f t="shared" si="10"/>
        <v>521.5151425</v>
      </c>
      <c r="Y15" s="5">
        <f t="shared" si="11"/>
        <v>521.5151425</v>
      </c>
      <c r="Z15" s="35">
        <f t="shared" si="12"/>
        <v>181.0317074</v>
      </c>
      <c r="AB15" s="5">
        <f t="shared" si="78"/>
        <v>0</v>
      </c>
      <c r="AC15" s="5">
        <f t="shared" si="13"/>
        <v>314.0527775</v>
      </c>
      <c r="AD15" s="5">
        <f t="shared" si="14"/>
        <v>314.0527775</v>
      </c>
      <c r="AE15" s="35">
        <f t="shared" si="15"/>
        <v>109.0160302</v>
      </c>
      <c r="AG15" s="5">
        <f t="shared" si="79"/>
        <v>0</v>
      </c>
      <c r="AH15" s="5">
        <f t="shared" si="16"/>
        <v>2334.0567250000004</v>
      </c>
      <c r="AI15" s="5">
        <f t="shared" si="17"/>
        <v>2334.0567250000004</v>
      </c>
      <c r="AJ15" s="35">
        <f t="shared" si="18"/>
        <v>810.2128580000001</v>
      </c>
      <c r="AL15" s="5">
        <f t="shared" si="80"/>
        <v>0</v>
      </c>
      <c r="AM15" s="5">
        <f t="shared" si="19"/>
        <v>723.301095</v>
      </c>
      <c r="AN15" s="5">
        <f t="shared" si="20"/>
        <v>723.301095</v>
      </c>
      <c r="AO15" s="35">
        <f t="shared" si="21"/>
        <v>251.0769516</v>
      </c>
      <c r="AQ15" s="5">
        <f t="shared" si="81"/>
        <v>0</v>
      </c>
      <c r="AR15" s="5">
        <f t="shared" si="22"/>
        <v>1361.750335</v>
      </c>
      <c r="AS15" s="5">
        <f t="shared" si="23"/>
        <v>1361.750335</v>
      </c>
      <c r="AT15" s="35">
        <f t="shared" si="24"/>
        <v>472.6995788</v>
      </c>
      <c r="AV15" s="5">
        <f t="shared" si="82"/>
        <v>0</v>
      </c>
      <c r="AW15" s="5">
        <f t="shared" si="25"/>
        <v>288.361755</v>
      </c>
      <c r="AX15" s="5">
        <f t="shared" si="26"/>
        <v>288.361755</v>
      </c>
      <c r="AY15" s="35">
        <f t="shared" si="27"/>
        <v>100.0979964</v>
      </c>
      <c r="BA15" s="5">
        <f t="shared" si="83"/>
        <v>0</v>
      </c>
      <c r="BB15" s="5">
        <f t="shared" si="28"/>
        <v>5141.694442499999</v>
      </c>
      <c r="BC15" s="5">
        <f t="shared" si="29"/>
        <v>5141.694442499999</v>
      </c>
      <c r="BD15" s="35">
        <f t="shared" si="30"/>
        <v>1784.8182113999999</v>
      </c>
      <c r="BF15" s="36">
        <f t="shared" si="84"/>
        <v>0</v>
      </c>
      <c r="BG15" s="5">
        <f t="shared" si="31"/>
        <v>2380.645355</v>
      </c>
      <c r="BH15" s="36">
        <f t="shared" si="32"/>
        <v>2380.645355</v>
      </c>
      <c r="BI15" s="35">
        <f t="shared" si="33"/>
        <v>826.3850044</v>
      </c>
      <c r="BK15" s="5">
        <f t="shared" si="85"/>
        <v>0</v>
      </c>
      <c r="BL15" s="5">
        <f t="shared" si="34"/>
        <v>1140.16001</v>
      </c>
      <c r="BM15" s="5">
        <f t="shared" si="35"/>
        <v>1140.16001</v>
      </c>
      <c r="BN15" s="35">
        <f t="shared" si="36"/>
        <v>395.7797128</v>
      </c>
      <c r="BP15" s="5">
        <f t="shared" si="37"/>
        <v>0</v>
      </c>
      <c r="BQ15" s="5">
        <f t="shared" si="38"/>
        <v>168.23204750000002</v>
      </c>
      <c r="BR15" s="5">
        <f t="shared" si="39"/>
        <v>168.23204750000002</v>
      </c>
      <c r="BS15" s="35">
        <f t="shared" si="40"/>
        <v>58.397795800000004</v>
      </c>
      <c r="BU15" s="5">
        <f t="shared" si="86"/>
        <v>0</v>
      </c>
      <c r="BV15" s="5">
        <f t="shared" si="41"/>
        <v>745.8806025</v>
      </c>
      <c r="BW15" s="5">
        <f t="shared" si="42"/>
        <v>745.8806025</v>
      </c>
      <c r="BX15" s="35">
        <f t="shared" si="43"/>
        <v>258.9148962</v>
      </c>
      <c r="BZ15" s="5">
        <f t="shared" si="87"/>
        <v>0</v>
      </c>
      <c r="CA15" s="5">
        <f t="shared" si="44"/>
        <v>102.72204249999999</v>
      </c>
      <c r="CB15" s="5">
        <f t="shared" si="45"/>
        <v>102.72204249999999</v>
      </c>
      <c r="CC15" s="35">
        <f t="shared" si="46"/>
        <v>35.6575394</v>
      </c>
      <c r="CE15" s="5">
        <f t="shared" si="88"/>
        <v>0</v>
      </c>
      <c r="CF15" s="5">
        <f t="shared" si="47"/>
        <v>2142.90879</v>
      </c>
      <c r="CG15" s="5">
        <f t="shared" si="48"/>
        <v>2142.90879</v>
      </c>
      <c r="CH15" s="35">
        <f t="shared" si="49"/>
        <v>743.8603512</v>
      </c>
      <c r="CJ15" s="5">
        <f t="shared" si="89"/>
        <v>0</v>
      </c>
      <c r="CK15" s="5">
        <f t="shared" si="50"/>
        <v>415.09292</v>
      </c>
      <c r="CL15" s="5">
        <f t="shared" si="51"/>
        <v>415.09292</v>
      </c>
      <c r="CM15" s="35">
        <f t="shared" si="52"/>
        <v>144.08973759999998</v>
      </c>
      <c r="CO15" s="5">
        <f t="shared" si="90"/>
        <v>0</v>
      </c>
      <c r="CP15" s="5">
        <f t="shared" si="53"/>
        <v>549.1823975</v>
      </c>
      <c r="CQ15" s="36">
        <f t="shared" si="54"/>
        <v>549.1823975</v>
      </c>
      <c r="CR15" s="35">
        <f t="shared" si="55"/>
        <v>190.6357438</v>
      </c>
      <c r="CT15" s="5">
        <f t="shared" si="91"/>
        <v>0</v>
      </c>
      <c r="CU15" s="5">
        <f t="shared" si="56"/>
        <v>1785.252755</v>
      </c>
      <c r="CV15" s="36">
        <f t="shared" si="57"/>
        <v>1785.252755</v>
      </c>
      <c r="CW15" s="35">
        <f t="shared" si="58"/>
        <v>619.7084764</v>
      </c>
      <c r="CY15" s="5">
        <f t="shared" si="92"/>
        <v>0</v>
      </c>
      <c r="CZ15" s="5">
        <f t="shared" si="59"/>
        <v>1049.5476474999998</v>
      </c>
      <c r="DA15" s="5">
        <f t="shared" si="60"/>
        <v>1049.5476474999998</v>
      </c>
      <c r="DB15" s="35">
        <f t="shared" si="61"/>
        <v>364.32576379999995</v>
      </c>
      <c r="DD15" s="5">
        <f t="shared" si="93"/>
        <v>0</v>
      </c>
      <c r="DE15" s="5">
        <f t="shared" si="62"/>
        <v>1184.7724074999999</v>
      </c>
      <c r="DF15" s="5">
        <f t="shared" si="63"/>
        <v>1184.7724074999999</v>
      </c>
      <c r="DG15" s="35">
        <f t="shared" si="64"/>
        <v>411.26585659999995</v>
      </c>
      <c r="DI15" s="5">
        <f t="shared" si="94"/>
        <v>0</v>
      </c>
      <c r="DJ15" s="5">
        <f t="shared" si="65"/>
        <v>13717.2820675</v>
      </c>
      <c r="DK15" s="5">
        <f t="shared" si="66"/>
        <v>13717.2820675</v>
      </c>
      <c r="DL15" s="35">
        <f t="shared" si="67"/>
        <v>4761.6316214</v>
      </c>
      <c r="DN15" s="5">
        <f t="shared" si="95"/>
        <v>0</v>
      </c>
      <c r="DO15" s="5">
        <f t="shared" si="68"/>
        <v>505.07457</v>
      </c>
      <c r="DP15" s="36">
        <f t="shared" si="69"/>
        <v>505.07457</v>
      </c>
      <c r="DQ15" s="35">
        <f t="shared" si="70"/>
        <v>175.3247496</v>
      </c>
      <c r="DS15" s="5">
        <f t="shared" si="96"/>
        <v>0</v>
      </c>
      <c r="DT15" s="36">
        <f t="shared" si="71"/>
        <v>447.09106750000007</v>
      </c>
      <c r="DU15" s="36">
        <f t="shared" si="72"/>
        <v>447.09106750000007</v>
      </c>
      <c r="DV15" s="35">
        <f t="shared" si="73"/>
        <v>155.19714140000002</v>
      </c>
      <c r="DW15"/>
    </row>
    <row r="16" spans="1:127" ht="12.75">
      <c r="A16" s="37">
        <v>44835</v>
      </c>
      <c r="D16" s="3">
        <v>420475</v>
      </c>
      <c r="E16" s="35">
        <f t="shared" si="0"/>
        <v>420475</v>
      </c>
      <c r="F16" s="35">
        <f>'2011A'!F16</f>
        <v>145958</v>
      </c>
      <c r="H16" s="46"/>
      <c r="I16" s="36">
        <f t="shared" si="1"/>
        <v>63374.83295</v>
      </c>
      <c r="J16" s="36">
        <f t="shared" si="2"/>
        <v>63374.83295</v>
      </c>
      <c r="K16" s="36">
        <f t="shared" si="3"/>
        <v>21999.081675999998</v>
      </c>
      <c r="N16" s="5">
        <f t="shared" si="4"/>
        <v>26344.60884</v>
      </c>
      <c r="O16" s="5">
        <f t="shared" si="5"/>
        <v>26344.60884</v>
      </c>
      <c r="P16" s="35">
        <f t="shared" si="6"/>
        <v>9144.9109152</v>
      </c>
      <c r="S16" s="36">
        <f t="shared" si="7"/>
        <v>11.647157499999999</v>
      </c>
      <c r="T16" s="36">
        <f t="shared" si="8"/>
        <v>11.647157499999999</v>
      </c>
      <c r="U16" s="35">
        <f t="shared" si="9"/>
        <v>4.0430366</v>
      </c>
      <c r="X16" s="5">
        <f t="shared" si="10"/>
        <v>521.5151425</v>
      </c>
      <c r="Y16" s="5">
        <f t="shared" si="11"/>
        <v>521.5151425</v>
      </c>
      <c r="Z16" s="35">
        <f t="shared" si="12"/>
        <v>181.0317074</v>
      </c>
      <c r="AC16" s="5">
        <f t="shared" si="13"/>
        <v>314.0527775</v>
      </c>
      <c r="AD16" s="5">
        <f t="shared" si="14"/>
        <v>314.0527775</v>
      </c>
      <c r="AE16" s="35">
        <f t="shared" si="15"/>
        <v>109.0160302</v>
      </c>
      <c r="AH16" s="5">
        <f t="shared" si="16"/>
        <v>2334.0567250000004</v>
      </c>
      <c r="AI16" s="5">
        <f t="shared" si="17"/>
        <v>2334.0567250000004</v>
      </c>
      <c r="AJ16" s="35">
        <f t="shared" si="18"/>
        <v>810.2128580000001</v>
      </c>
      <c r="AM16" s="5">
        <f t="shared" si="19"/>
        <v>723.301095</v>
      </c>
      <c r="AN16" s="5">
        <f t="shared" si="20"/>
        <v>723.301095</v>
      </c>
      <c r="AO16" s="35">
        <f t="shared" si="21"/>
        <v>251.0769516</v>
      </c>
      <c r="AR16" s="5">
        <f t="shared" si="22"/>
        <v>1361.750335</v>
      </c>
      <c r="AS16" s="5">
        <f t="shared" si="23"/>
        <v>1361.750335</v>
      </c>
      <c r="AT16" s="35">
        <f t="shared" si="24"/>
        <v>472.6995788</v>
      </c>
      <c r="AW16" s="5">
        <f t="shared" si="25"/>
        <v>288.361755</v>
      </c>
      <c r="AX16" s="5">
        <f t="shared" si="26"/>
        <v>288.361755</v>
      </c>
      <c r="AY16" s="35">
        <f t="shared" si="27"/>
        <v>100.0979964</v>
      </c>
      <c r="BB16" s="5">
        <f t="shared" si="28"/>
        <v>5141.694442499999</v>
      </c>
      <c r="BC16" s="5">
        <f t="shared" si="29"/>
        <v>5141.694442499999</v>
      </c>
      <c r="BD16" s="35">
        <f t="shared" si="30"/>
        <v>1784.8182113999999</v>
      </c>
      <c r="BF16" s="36"/>
      <c r="BG16" s="5">
        <f t="shared" si="31"/>
        <v>2380.645355</v>
      </c>
      <c r="BH16" s="36">
        <f t="shared" si="32"/>
        <v>2380.645355</v>
      </c>
      <c r="BI16" s="35">
        <f t="shared" si="33"/>
        <v>826.3850044</v>
      </c>
      <c r="BL16" s="5">
        <f t="shared" si="34"/>
        <v>1140.16001</v>
      </c>
      <c r="BM16" s="5">
        <f t="shared" si="35"/>
        <v>1140.16001</v>
      </c>
      <c r="BN16" s="35">
        <f t="shared" si="36"/>
        <v>395.7797128</v>
      </c>
      <c r="BP16" s="5">
        <f t="shared" si="37"/>
        <v>0</v>
      </c>
      <c r="BQ16" s="5">
        <f t="shared" si="38"/>
        <v>168.23204750000002</v>
      </c>
      <c r="BR16" s="5">
        <f t="shared" si="39"/>
        <v>168.23204750000002</v>
      </c>
      <c r="BS16" s="35">
        <f t="shared" si="40"/>
        <v>58.397795800000004</v>
      </c>
      <c r="BV16" s="5">
        <f t="shared" si="41"/>
        <v>745.8806025</v>
      </c>
      <c r="BW16" s="5">
        <f t="shared" si="42"/>
        <v>745.8806025</v>
      </c>
      <c r="BX16" s="35">
        <f t="shared" si="43"/>
        <v>258.9148962</v>
      </c>
      <c r="CA16" s="5">
        <f t="shared" si="44"/>
        <v>102.72204249999999</v>
      </c>
      <c r="CB16" s="5">
        <f t="shared" si="45"/>
        <v>102.72204249999999</v>
      </c>
      <c r="CC16" s="35">
        <f t="shared" si="46"/>
        <v>35.6575394</v>
      </c>
      <c r="CF16" s="5">
        <f t="shared" si="47"/>
        <v>2142.90879</v>
      </c>
      <c r="CG16" s="5">
        <f t="shared" si="48"/>
        <v>2142.90879</v>
      </c>
      <c r="CH16" s="35">
        <f t="shared" si="49"/>
        <v>743.8603512</v>
      </c>
      <c r="CK16" s="5">
        <f t="shared" si="50"/>
        <v>415.09292</v>
      </c>
      <c r="CL16" s="5">
        <f t="shared" si="51"/>
        <v>415.09292</v>
      </c>
      <c r="CM16" s="35">
        <f t="shared" si="52"/>
        <v>144.08973759999998</v>
      </c>
      <c r="CP16" s="5">
        <f t="shared" si="53"/>
        <v>549.1823975</v>
      </c>
      <c r="CQ16" s="36">
        <f t="shared" si="54"/>
        <v>549.1823975</v>
      </c>
      <c r="CR16" s="35">
        <f t="shared" si="55"/>
        <v>190.6357438</v>
      </c>
      <c r="CU16" s="5">
        <f t="shared" si="56"/>
        <v>1785.252755</v>
      </c>
      <c r="CV16" s="36">
        <f t="shared" si="57"/>
        <v>1785.252755</v>
      </c>
      <c r="CW16" s="35">
        <f t="shared" si="58"/>
        <v>619.7084764</v>
      </c>
      <c r="CZ16" s="5">
        <f t="shared" si="59"/>
        <v>1049.5476474999998</v>
      </c>
      <c r="DA16" s="5">
        <f t="shared" si="60"/>
        <v>1049.5476474999998</v>
      </c>
      <c r="DB16" s="35">
        <f t="shared" si="61"/>
        <v>364.32576379999995</v>
      </c>
      <c r="DE16" s="5">
        <f t="shared" si="62"/>
        <v>1184.7724074999999</v>
      </c>
      <c r="DF16" s="5">
        <f t="shared" si="63"/>
        <v>1184.7724074999999</v>
      </c>
      <c r="DG16" s="35">
        <f t="shared" si="64"/>
        <v>411.26585659999995</v>
      </c>
      <c r="DJ16" s="5">
        <f t="shared" si="65"/>
        <v>13717.2820675</v>
      </c>
      <c r="DK16" s="5">
        <f t="shared" si="66"/>
        <v>13717.2820675</v>
      </c>
      <c r="DL16" s="35">
        <f t="shared" si="67"/>
        <v>4761.6316214</v>
      </c>
      <c r="DO16" s="5">
        <f t="shared" si="68"/>
        <v>505.07457</v>
      </c>
      <c r="DP16" s="36">
        <f t="shared" si="69"/>
        <v>505.07457</v>
      </c>
      <c r="DQ16" s="35">
        <f t="shared" si="70"/>
        <v>175.3247496</v>
      </c>
      <c r="DT16" s="36">
        <f t="shared" si="71"/>
        <v>447.09106750000007</v>
      </c>
      <c r="DU16" s="36">
        <f t="shared" si="72"/>
        <v>447.09106750000007</v>
      </c>
      <c r="DV16" s="35">
        <f t="shared" si="73"/>
        <v>155.19714140000002</v>
      </c>
      <c r="DW16"/>
    </row>
    <row r="17" spans="1:127" ht="12.75">
      <c r="A17" s="37">
        <v>45017</v>
      </c>
      <c r="C17" s="3">
        <v>0</v>
      </c>
      <c r="D17" s="3">
        <v>420475</v>
      </c>
      <c r="E17" s="35">
        <f t="shared" si="0"/>
        <v>420475</v>
      </c>
      <c r="F17" s="35">
        <f>'2011A'!F17</f>
        <v>145958</v>
      </c>
      <c r="H17" s="46">
        <f t="shared" si="74"/>
        <v>0</v>
      </c>
      <c r="I17" s="36">
        <f t="shared" si="1"/>
        <v>63374.83295</v>
      </c>
      <c r="J17" s="36">
        <f t="shared" si="2"/>
        <v>63374.83295</v>
      </c>
      <c r="K17" s="36">
        <f t="shared" si="3"/>
        <v>21999.081675999998</v>
      </c>
      <c r="M17" s="5">
        <f t="shared" si="75"/>
        <v>0</v>
      </c>
      <c r="N17" s="5">
        <f t="shared" si="4"/>
        <v>26344.60884</v>
      </c>
      <c r="O17" s="5">
        <f t="shared" si="5"/>
        <v>26344.60884</v>
      </c>
      <c r="P17" s="35">
        <f t="shared" si="6"/>
        <v>9144.9109152</v>
      </c>
      <c r="R17" s="5">
        <f t="shared" si="76"/>
        <v>0</v>
      </c>
      <c r="S17" s="36">
        <f t="shared" si="7"/>
        <v>11.647157499999999</v>
      </c>
      <c r="T17" s="36">
        <f t="shared" si="8"/>
        <v>11.647157499999999</v>
      </c>
      <c r="U17" s="35">
        <f t="shared" si="9"/>
        <v>4.0430366</v>
      </c>
      <c r="W17" s="5">
        <f t="shared" si="77"/>
        <v>0</v>
      </c>
      <c r="X17" s="5">
        <f t="shared" si="10"/>
        <v>521.5151425</v>
      </c>
      <c r="Y17" s="5">
        <f t="shared" si="11"/>
        <v>521.5151425</v>
      </c>
      <c r="Z17" s="35">
        <f t="shared" si="12"/>
        <v>181.0317074</v>
      </c>
      <c r="AB17" s="5">
        <f t="shared" si="78"/>
        <v>0</v>
      </c>
      <c r="AC17" s="5">
        <f t="shared" si="13"/>
        <v>314.0527775</v>
      </c>
      <c r="AD17" s="5">
        <f t="shared" si="14"/>
        <v>314.0527775</v>
      </c>
      <c r="AE17" s="35">
        <f t="shared" si="15"/>
        <v>109.0160302</v>
      </c>
      <c r="AG17" s="5">
        <f t="shared" si="79"/>
        <v>0</v>
      </c>
      <c r="AH17" s="5">
        <f t="shared" si="16"/>
        <v>2334.0567250000004</v>
      </c>
      <c r="AI17" s="5">
        <f t="shared" si="17"/>
        <v>2334.0567250000004</v>
      </c>
      <c r="AJ17" s="35">
        <f t="shared" si="18"/>
        <v>810.2128580000001</v>
      </c>
      <c r="AL17" s="5">
        <f t="shared" si="80"/>
        <v>0</v>
      </c>
      <c r="AM17" s="5">
        <f t="shared" si="19"/>
        <v>723.301095</v>
      </c>
      <c r="AN17" s="5">
        <f t="shared" si="20"/>
        <v>723.301095</v>
      </c>
      <c r="AO17" s="35">
        <f t="shared" si="21"/>
        <v>251.0769516</v>
      </c>
      <c r="AQ17" s="5">
        <f t="shared" si="81"/>
        <v>0</v>
      </c>
      <c r="AR17" s="5">
        <f t="shared" si="22"/>
        <v>1361.750335</v>
      </c>
      <c r="AS17" s="5">
        <f t="shared" si="23"/>
        <v>1361.750335</v>
      </c>
      <c r="AT17" s="35">
        <f t="shared" si="24"/>
        <v>472.6995788</v>
      </c>
      <c r="AV17" s="5">
        <f t="shared" si="82"/>
        <v>0</v>
      </c>
      <c r="AW17" s="5">
        <f t="shared" si="25"/>
        <v>288.361755</v>
      </c>
      <c r="AX17" s="5">
        <f t="shared" si="26"/>
        <v>288.361755</v>
      </c>
      <c r="AY17" s="35">
        <f t="shared" si="27"/>
        <v>100.0979964</v>
      </c>
      <c r="BA17" s="5">
        <f t="shared" si="83"/>
        <v>0</v>
      </c>
      <c r="BB17" s="5">
        <f t="shared" si="28"/>
        <v>5141.694442499999</v>
      </c>
      <c r="BC17" s="5">
        <f t="shared" si="29"/>
        <v>5141.694442499999</v>
      </c>
      <c r="BD17" s="35">
        <f t="shared" si="30"/>
        <v>1784.8182113999999</v>
      </c>
      <c r="BF17" s="36">
        <f t="shared" si="84"/>
        <v>0</v>
      </c>
      <c r="BG17" s="5">
        <f t="shared" si="31"/>
        <v>2380.645355</v>
      </c>
      <c r="BH17" s="36">
        <f t="shared" si="32"/>
        <v>2380.645355</v>
      </c>
      <c r="BI17" s="35">
        <f t="shared" si="33"/>
        <v>826.3850044</v>
      </c>
      <c r="BK17" s="5">
        <f t="shared" si="85"/>
        <v>0</v>
      </c>
      <c r="BL17" s="5">
        <f t="shared" si="34"/>
        <v>1140.16001</v>
      </c>
      <c r="BM17" s="5">
        <f t="shared" si="35"/>
        <v>1140.16001</v>
      </c>
      <c r="BN17" s="35">
        <f t="shared" si="36"/>
        <v>395.7797128</v>
      </c>
      <c r="BP17" s="5">
        <f t="shared" si="37"/>
        <v>0</v>
      </c>
      <c r="BQ17" s="5">
        <f t="shared" si="38"/>
        <v>168.23204750000002</v>
      </c>
      <c r="BR17" s="5">
        <f t="shared" si="39"/>
        <v>168.23204750000002</v>
      </c>
      <c r="BS17" s="35">
        <f t="shared" si="40"/>
        <v>58.397795800000004</v>
      </c>
      <c r="BU17" s="5">
        <f t="shared" si="86"/>
        <v>0</v>
      </c>
      <c r="BV17" s="5">
        <f t="shared" si="41"/>
        <v>745.8806025</v>
      </c>
      <c r="BW17" s="5">
        <f t="shared" si="42"/>
        <v>745.8806025</v>
      </c>
      <c r="BX17" s="35">
        <f t="shared" si="43"/>
        <v>258.9148962</v>
      </c>
      <c r="BZ17" s="5">
        <f t="shared" si="87"/>
        <v>0</v>
      </c>
      <c r="CA17" s="5">
        <f t="shared" si="44"/>
        <v>102.72204249999999</v>
      </c>
      <c r="CB17" s="5">
        <f t="shared" si="45"/>
        <v>102.72204249999999</v>
      </c>
      <c r="CC17" s="35">
        <f t="shared" si="46"/>
        <v>35.6575394</v>
      </c>
      <c r="CE17" s="5">
        <f t="shared" si="88"/>
        <v>0</v>
      </c>
      <c r="CF17" s="5">
        <f t="shared" si="47"/>
        <v>2142.90879</v>
      </c>
      <c r="CG17" s="5">
        <f t="shared" si="48"/>
        <v>2142.90879</v>
      </c>
      <c r="CH17" s="35">
        <f t="shared" si="49"/>
        <v>743.8603512</v>
      </c>
      <c r="CJ17" s="5">
        <f t="shared" si="89"/>
        <v>0</v>
      </c>
      <c r="CK17" s="5">
        <f t="shared" si="50"/>
        <v>415.09292</v>
      </c>
      <c r="CL17" s="5">
        <f t="shared" si="51"/>
        <v>415.09292</v>
      </c>
      <c r="CM17" s="35">
        <f t="shared" si="52"/>
        <v>144.08973759999998</v>
      </c>
      <c r="CO17" s="5">
        <f t="shared" si="90"/>
        <v>0</v>
      </c>
      <c r="CP17" s="5">
        <f t="shared" si="53"/>
        <v>549.1823975</v>
      </c>
      <c r="CQ17" s="36">
        <f t="shared" si="54"/>
        <v>549.1823975</v>
      </c>
      <c r="CR17" s="35">
        <f t="shared" si="55"/>
        <v>190.6357438</v>
      </c>
      <c r="CT17" s="5">
        <f t="shared" si="91"/>
        <v>0</v>
      </c>
      <c r="CU17" s="5">
        <f t="shared" si="56"/>
        <v>1785.252755</v>
      </c>
      <c r="CV17" s="36">
        <f t="shared" si="57"/>
        <v>1785.252755</v>
      </c>
      <c r="CW17" s="35">
        <f t="shared" si="58"/>
        <v>619.7084764</v>
      </c>
      <c r="CY17" s="5">
        <f t="shared" si="92"/>
        <v>0</v>
      </c>
      <c r="CZ17" s="5">
        <f t="shared" si="59"/>
        <v>1049.5476474999998</v>
      </c>
      <c r="DA17" s="5">
        <f t="shared" si="60"/>
        <v>1049.5476474999998</v>
      </c>
      <c r="DB17" s="35">
        <f t="shared" si="61"/>
        <v>364.32576379999995</v>
      </c>
      <c r="DD17" s="5">
        <f t="shared" si="93"/>
        <v>0</v>
      </c>
      <c r="DE17" s="5">
        <f t="shared" si="62"/>
        <v>1184.7724074999999</v>
      </c>
      <c r="DF17" s="5">
        <f t="shared" si="63"/>
        <v>1184.7724074999999</v>
      </c>
      <c r="DG17" s="35">
        <f t="shared" si="64"/>
        <v>411.26585659999995</v>
      </c>
      <c r="DI17" s="5">
        <f t="shared" si="94"/>
        <v>0</v>
      </c>
      <c r="DJ17" s="5">
        <f t="shared" si="65"/>
        <v>13717.2820675</v>
      </c>
      <c r="DK17" s="5">
        <f t="shared" si="66"/>
        <v>13717.2820675</v>
      </c>
      <c r="DL17" s="35">
        <f t="shared" si="67"/>
        <v>4761.6316214</v>
      </c>
      <c r="DN17" s="5">
        <f t="shared" si="95"/>
        <v>0</v>
      </c>
      <c r="DO17" s="5">
        <f t="shared" si="68"/>
        <v>505.07457</v>
      </c>
      <c r="DP17" s="36">
        <f t="shared" si="69"/>
        <v>505.07457</v>
      </c>
      <c r="DQ17" s="35">
        <f t="shared" si="70"/>
        <v>175.3247496</v>
      </c>
      <c r="DS17" s="5">
        <f t="shared" si="96"/>
        <v>0</v>
      </c>
      <c r="DT17" s="36">
        <f t="shared" si="71"/>
        <v>447.09106750000007</v>
      </c>
      <c r="DU17" s="36">
        <f t="shared" si="72"/>
        <v>447.09106750000007</v>
      </c>
      <c r="DV17" s="35">
        <f t="shared" si="73"/>
        <v>155.19714140000002</v>
      </c>
      <c r="DW17"/>
    </row>
    <row r="18" spans="1:127" ht="12.75">
      <c r="A18" s="37">
        <v>45200</v>
      </c>
      <c r="D18" s="3">
        <v>420475</v>
      </c>
      <c r="E18" s="35">
        <f t="shared" si="0"/>
        <v>420475</v>
      </c>
      <c r="F18" s="35">
        <f>'2011A'!F18</f>
        <v>145958</v>
      </c>
      <c r="H18" s="46"/>
      <c r="I18" s="36">
        <f t="shared" si="1"/>
        <v>63374.83295</v>
      </c>
      <c r="J18" s="36">
        <f t="shared" si="2"/>
        <v>63374.83295</v>
      </c>
      <c r="K18" s="36">
        <f t="shared" si="3"/>
        <v>21999.081675999998</v>
      </c>
      <c r="N18" s="5">
        <f t="shared" si="4"/>
        <v>26344.60884</v>
      </c>
      <c r="O18" s="5">
        <f t="shared" si="5"/>
        <v>26344.60884</v>
      </c>
      <c r="P18" s="35">
        <f t="shared" si="6"/>
        <v>9144.9109152</v>
      </c>
      <c r="S18" s="36">
        <f t="shared" si="7"/>
        <v>11.647157499999999</v>
      </c>
      <c r="T18" s="36">
        <f t="shared" si="8"/>
        <v>11.647157499999999</v>
      </c>
      <c r="U18" s="35">
        <f t="shared" si="9"/>
        <v>4.0430366</v>
      </c>
      <c r="X18" s="5">
        <f t="shared" si="10"/>
        <v>521.5151425</v>
      </c>
      <c r="Y18" s="5">
        <f t="shared" si="11"/>
        <v>521.5151425</v>
      </c>
      <c r="Z18" s="35">
        <f t="shared" si="12"/>
        <v>181.0317074</v>
      </c>
      <c r="AC18" s="5">
        <f t="shared" si="13"/>
        <v>314.0527775</v>
      </c>
      <c r="AD18" s="5">
        <f t="shared" si="14"/>
        <v>314.0527775</v>
      </c>
      <c r="AE18" s="35">
        <f t="shared" si="15"/>
        <v>109.0160302</v>
      </c>
      <c r="AH18" s="5">
        <f t="shared" si="16"/>
        <v>2334.0567250000004</v>
      </c>
      <c r="AI18" s="5">
        <f t="shared" si="17"/>
        <v>2334.0567250000004</v>
      </c>
      <c r="AJ18" s="35">
        <f t="shared" si="18"/>
        <v>810.2128580000001</v>
      </c>
      <c r="AM18" s="5">
        <f t="shared" si="19"/>
        <v>723.301095</v>
      </c>
      <c r="AN18" s="5">
        <f t="shared" si="20"/>
        <v>723.301095</v>
      </c>
      <c r="AO18" s="35">
        <f t="shared" si="21"/>
        <v>251.0769516</v>
      </c>
      <c r="AR18" s="5">
        <f t="shared" si="22"/>
        <v>1361.750335</v>
      </c>
      <c r="AS18" s="5">
        <f t="shared" si="23"/>
        <v>1361.750335</v>
      </c>
      <c r="AT18" s="35">
        <f t="shared" si="24"/>
        <v>472.6995788</v>
      </c>
      <c r="AW18" s="5">
        <f t="shared" si="25"/>
        <v>288.361755</v>
      </c>
      <c r="AX18" s="5">
        <f t="shared" si="26"/>
        <v>288.361755</v>
      </c>
      <c r="AY18" s="35">
        <f t="shared" si="27"/>
        <v>100.0979964</v>
      </c>
      <c r="BB18" s="5">
        <f t="shared" si="28"/>
        <v>5141.694442499999</v>
      </c>
      <c r="BC18" s="5">
        <f t="shared" si="29"/>
        <v>5141.694442499999</v>
      </c>
      <c r="BD18" s="35">
        <f t="shared" si="30"/>
        <v>1784.8182113999999</v>
      </c>
      <c r="BF18" s="36"/>
      <c r="BG18" s="5">
        <f t="shared" si="31"/>
        <v>2380.645355</v>
      </c>
      <c r="BH18" s="36">
        <f t="shared" si="32"/>
        <v>2380.645355</v>
      </c>
      <c r="BI18" s="35">
        <f t="shared" si="33"/>
        <v>826.3850044</v>
      </c>
      <c r="BL18" s="5">
        <f t="shared" si="34"/>
        <v>1140.16001</v>
      </c>
      <c r="BM18" s="5">
        <f t="shared" si="35"/>
        <v>1140.16001</v>
      </c>
      <c r="BN18" s="35">
        <f t="shared" si="36"/>
        <v>395.7797128</v>
      </c>
      <c r="BP18" s="5">
        <f t="shared" si="37"/>
        <v>0</v>
      </c>
      <c r="BQ18" s="5">
        <f t="shared" si="38"/>
        <v>168.23204750000002</v>
      </c>
      <c r="BR18" s="5">
        <f t="shared" si="39"/>
        <v>168.23204750000002</v>
      </c>
      <c r="BS18" s="35">
        <f t="shared" si="40"/>
        <v>58.397795800000004</v>
      </c>
      <c r="BV18" s="5">
        <f t="shared" si="41"/>
        <v>745.8806025</v>
      </c>
      <c r="BW18" s="5">
        <f t="shared" si="42"/>
        <v>745.8806025</v>
      </c>
      <c r="BX18" s="35">
        <f t="shared" si="43"/>
        <v>258.9148962</v>
      </c>
      <c r="CA18" s="5">
        <f t="shared" si="44"/>
        <v>102.72204249999999</v>
      </c>
      <c r="CB18" s="5">
        <f t="shared" si="45"/>
        <v>102.72204249999999</v>
      </c>
      <c r="CC18" s="35">
        <f t="shared" si="46"/>
        <v>35.6575394</v>
      </c>
      <c r="CF18" s="5">
        <f t="shared" si="47"/>
        <v>2142.90879</v>
      </c>
      <c r="CG18" s="5">
        <f t="shared" si="48"/>
        <v>2142.90879</v>
      </c>
      <c r="CH18" s="35">
        <f t="shared" si="49"/>
        <v>743.8603512</v>
      </c>
      <c r="CK18" s="5">
        <f t="shared" si="50"/>
        <v>415.09292</v>
      </c>
      <c r="CL18" s="5">
        <f t="shared" si="51"/>
        <v>415.09292</v>
      </c>
      <c r="CM18" s="35">
        <f t="shared" si="52"/>
        <v>144.08973759999998</v>
      </c>
      <c r="CP18" s="5">
        <f t="shared" si="53"/>
        <v>549.1823975</v>
      </c>
      <c r="CQ18" s="36">
        <f t="shared" si="54"/>
        <v>549.1823975</v>
      </c>
      <c r="CR18" s="35">
        <f t="shared" si="55"/>
        <v>190.6357438</v>
      </c>
      <c r="CU18" s="5">
        <f t="shared" si="56"/>
        <v>1785.252755</v>
      </c>
      <c r="CV18" s="36">
        <f t="shared" si="57"/>
        <v>1785.252755</v>
      </c>
      <c r="CW18" s="35">
        <f t="shared" si="58"/>
        <v>619.7084764</v>
      </c>
      <c r="CZ18" s="5">
        <f t="shared" si="59"/>
        <v>1049.5476474999998</v>
      </c>
      <c r="DA18" s="5">
        <f t="shared" si="60"/>
        <v>1049.5476474999998</v>
      </c>
      <c r="DB18" s="35">
        <f t="shared" si="61"/>
        <v>364.32576379999995</v>
      </c>
      <c r="DE18" s="5">
        <f t="shared" si="62"/>
        <v>1184.7724074999999</v>
      </c>
      <c r="DF18" s="5">
        <f t="shared" si="63"/>
        <v>1184.7724074999999</v>
      </c>
      <c r="DG18" s="35">
        <f t="shared" si="64"/>
        <v>411.26585659999995</v>
      </c>
      <c r="DJ18" s="5">
        <f t="shared" si="65"/>
        <v>13717.2820675</v>
      </c>
      <c r="DK18" s="5">
        <f t="shared" si="66"/>
        <v>13717.2820675</v>
      </c>
      <c r="DL18" s="35">
        <f t="shared" si="67"/>
        <v>4761.6316214</v>
      </c>
      <c r="DO18" s="5">
        <f t="shared" si="68"/>
        <v>505.07457</v>
      </c>
      <c r="DP18" s="36">
        <f t="shared" si="69"/>
        <v>505.07457</v>
      </c>
      <c r="DQ18" s="35">
        <f t="shared" si="70"/>
        <v>175.3247496</v>
      </c>
      <c r="DT18" s="36">
        <f t="shared" si="71"/>
        <v>447.09106750000007</v>
      </c>
      <c r="DU18" s="36">
        <f t="shared" si="72"/>
        <v>447.09106750000007</v>
      </c>
      <c r="DV18" s="35">
        <f t="shared" si="73"/>
        <v>155.19714140000002</v>
      </c>
      <c r="DW18"/>
    </row>
    <row r="19" spans="1:127" ht="12.75">
      <c r="A19" s="37">
        <v>45383</v>
      </c>
      <c r="C19" s="3">
        <v>6285000</v>
      </c>
      <c r="D19" s="3">
        <v>420475</v>
      </c>
      <c r="E19" s="35">
        <f t="shared" si="0"/>
        <v>6705475</v>
      </c>
      <c r="F19" s="35">
        <f>'2011A'!F19</f>
        <v>145958</v>
      </c>
      <c r="H19" s="46">
        <f t="shared" si="74"/>
        <v>947287.7700000001</v>
      </c>
      <c r="I19" s="36">
        <f t="shared" si="1"/>
        <v>63374.83295</v>
      </c>
      <c r="J19" s="36">
        <f t="shared" si="2"/>
        <v>1010662.6029500001</v>
      </c>
      <c r="K19" s="36">
        <f t="shared" si="3"/>
        <v>21999.081675999998</v>
      </c>
      <c r="M19" s="5">
        <f t="shared" si="75"/>
        <v>393782.904</v>
      </c>
      <c r="N19" s="5">
        <f t="shared" si="4"/>
        <v>26344.60884</v>
      </c>
      <c r="O19" s="5">
        <f t="shared" si="5"/>
        <v>420127.51284</v>
      </c>
      <c r="P19" s="35">
        <f t="shared" si="6"/>
        <v>9144.9109152</v>
      </c>
      <c r="R19" s="5">
        <f t="shared" si="76"/>
        <v>174.09449999999998</v>
      </c>
      <c r="S19" s="36">
        <f t="shared" si="7"/>
        <v>11.647157499999999</v>
      </c>
      <c r="T19" s="36">
        <f t="shared" si="8"/>
        <v>185.74165749999997</v>
      </c>
      <c r="U19" s="35">
        <f t="shared" si="9"/>
        <v>4.0430366</v>
      </c>
      <c r="W19" s="5">
        <f t="shared" si="77"/>
        <v>7795.2855</v>
      </c>
      <c r="X19" s="5">
        <f t="shared" si="10"/>
        <v>521.5151425</v>
      </c>
      <c r="Y19" s="5">
        <f t="shared" si="11"/>
        <v>8316.8006425</v>
      </c>
      <c r="Z19" s="35">
        <f t="shared" si="12"/>
        <v>181.0317074</v>
      </c>
      <c r="AB19" s="5">
        <f t="shared" si="78"/>
        <v>4694.2665</v>
      </c>
      <c r="AC19" s="5">
        <f t="shared" si="13"/>
        <v>314.0527775</v>
      </c>
      <c r="AD19" s="5">
        <f t="shared" si="14"/>
        <v>5008.3192775</v>
      </c>
      <c r="AE19" s="35">
        <f t="shared" si="15"/>
        <v>109.0160302</v>
      </c>
      <c r="AG19" s="5">
        <f t="shared" si="79"/>
        <v>34888.035</v>
      </c>
      <c r="AH19" s="5">
        <f t="shared" si="16"/>
        <v>2334.0567250000004</v>
      </c>
      <c r="AI19" s="5">
        <f t="shared" si="17"/>
        <v>37222.091725000006</v>
      </c>
      <c r="AJ19" s="35">
        <f t="shared" si="18"/>
        <v>810.2128580000001</v>
      </c>
      <c r="AL19" s="5">
        <f t="shared" si="80"/>
        <v>10811.457</v>
      </c>
      <c r="AM19" s="5">
        <f t="shared" si="19"/>
        <v>723.301095</v>
      </c>
      <c r="AN19" s="5">
        <f t="shared" si="20"/>
        <v>11534.758095000001</v>
      </c>
      <c r="AO19" s="35">
        <f t="shared" si="21"/>
        <v>251.0769516</v>
      </c>
      <c r="AQ19" s="5">
        <f t="shared" si="81"/>
        <v>20354.601</v>
      </c>
      <c r="AR19" s="5">
        <f t="shared" si="22"/>
        <v>1361.750335</v>
      </c>
      <c r="AS19" s="5">
        <f t="shared" si="23"/>
        <v>21716.351335</v>
      </c>
      <c r="AT19" s="35">
        <f t="shared" si="24"/>
        <v>472.6995788</v>
      </c>
      <c r="AV19" s="5">
        <f t="shared" si="82"/>
        <v>4310.253</v>
      </c>
      <c r="AW19" s="5">
        <f t="shared" si="25"/>
        <v>288.361755</v>
      </c>
      <c r="AX19" s="5">
        <f t="shared" si="26"/>
        <v>4598.614755</v>
      </c>
      <c r="AY19" s="35">
        <f t="shared" si="27"/>
        <v>100.0979964</v>
      </c>
      <c r="BA19" s="5">
        <f t="shared" si="83"/>
        <v>76854.8655</v>
      </c>
      <c r="BB19" s="5">
        <f t="shared" si="28"/>
        <v>5141.694442499999</v>
      </c>
      <c r="BC19" s="5">
        <f t="shared" si="29"/>
        <v>81996.5599425</v>
      </c>
      <c r="BD19" s="35">
        <f t="shared" si="30"/>
        <v>1784.8182113999999</v>
      </c>
      <c r="BF19" s="36">
        <f t="shared" si="84"/>
        <v>35584.413</v>
      </c>
      <c r="BG19" s="5">
        <f t="shared" si="31"/>
        <v>2380.645355</v>
      </c>
      <c r="BH19" s="36">
        <f t="shared" si="32"/>
        <v>37965.058355</v>
      </c>
      <c r="BI19" s="35">
        <f t="shared" si="33"/>
        <v>826.3850044</v>
      </c>
      <c r="BK19" s="5">
        <f t="shared" si="85"/>
        <v>17042.406000000003</v>
      </c>
      <c r="BL19" s="5">
        <f t="shared" si="34"/>
        <v>1140.16001</v>
      </c>
      <c r="BM19" s="5">
        <f t="shared" si="35"/>
        <v>18182.566010000002</v>
      </c>
      <c r="BN19" s="35">
        <f t="shared" si="36"/>
        <v>395.7797128</v>
      </c>
      <c r="BP19" s="5">
        <f t="shared" si="37"/>
        <v>2514.6285000000003</v>
      </c>
      <c r="BQ19" s="5">
        <f t="shared" si="38"/>
        <v>168.23204750000002</v>
      </c>
      <c r="BR19" s="5">
        <f t="shared" si="39"/>
        <v>2682.8605475000004</v>
      </c>
      <c r="BS19" s="35">
        <f t="shared" si="40"/>
        <v>58.397795800000004</v>
      </c>
      <c r="BU19" s="5">
        <f t="shared" si="86"/>
        <v>11148.9615</v>
      </c>
      <c r="BV19" s="5">
        <f t="shared" si="41"/>
        <v>745.8806025</v>
      </c>
      <c r="BW19" s="5">
        <f t="shared" si="42"/>
        <v>11894.842102499999</v>
      </c>
      <c r="BX19" s="35">
        <f t="shared" si="43"/>
        <v>258.9148962</v>
      </c>
      <c r="BZ19" s="5">
        <f t="shared" si="87"/>
        <v>1535.4254999999998</v>
      </c>
      <c r="CA19" s="5">
        <f t="shared" si="44"/>
        <v>102.72204249999999</v>
      </c>
      <c r="CB19" s="5">
        <f t="shared" si="45"/>
        <v>1638.1475424999999</v>
      </c>
      <c r="CC19" s="35">
        <f t="shared" si="46"/>
        <v>35.6575394</v>
      </c>
      <c r="CE19" s="5">
        <f t="shared" si="88"/>
        <v>32030.874</v>
      </c>
      <c r="CF19" s="5">
        <f t="shared" si="47"/>
        <v>2142.90879</v>
      </c>
      <c r="CG19" s="5">
        <f t="shared" si="48"/>
        <v>34173.78279</v>
      </c>
      <c r="CH19" s="35">
        <f t="shared" si="49"/>
        <v>743.8603512</v>
      </c>
      <c r="CJ19" s="5">
        <f t="shared" si="89"/>
        <v>6204.552</v>
      </c>
      <c r="CK19" s="5">
        <f t="shared" si="50"/>
        <v>415.09292</v>
      </c>
      <c r="CL19" s="5">
        <f t="shared" si="51"/>
        <v>6619.64492</v>
      </c>
      <c r="CM19" s="35">
        <f t="shared" si="52"/>
        <v>144.08973759999998</v>
      </c>
      <c r="CO19" s="5">
        <f t="shared" si="90"/>
        <v>8208.8385</v>
      </c>
      <c r="CP19" s="5">
        <f t="shared" si="53"/>
        <v>549.1823975</v>
      </c>
      <c r="CQ19" s="36">
        <f t="shared" si="54"/>
        <v>8758.0208975</v>
      </c>
      <c r="CR19" s="35">
        <f t="shared" si="55"/>
        <v>190.6357438</v>
      </c>
      <c r="CT19" s="5">
        <f t="shared" si="91"/>
        <v>26684.853</v>
      </c>
      <c r="CU19" s="5">
        <f t="shared" si="56"/>
        <v>1785.252755</v>
      </c>
      <c r="CV19" s="36">
        <f t="shared" si="57"/>
        <v>28470.105755</v>
      </c>
      <c r="CW19" s="35">
        <f t="shared" si="58"/>
        <v>619.7084764</v>
      </c>
      <c r="CY19" s="5">
        <f t="shared" si="92"/>
        <v>15687.9885</v>
      </c>
      <c r="CZ19" s="5">
        <f t="shared" si="59"/>
        <v>1049.5476474999998</v>
      </c>
      <c r="DA19" s="5">
        <f t="shared" si="60"/>
        <v>16737.5361475</v>
      </c>
      <c r="DB19" s="35">
        <f t="shared" si="61"/>
        <v>364.32576379999995</v>
      </c>
      <c r="DD19" s="5">
        <f t="shared" si="93"/>
        <v>17709.244499999997</v>
      </c>
      <c r="DE19" s="5">
        <f t="shared" si="62"/>
        <v>1184.7724074999999</v>
      </c>
      <c r="DF19" s="5">
        <f t="shared" si="63"/>
        <v>18894.016907499998</v>
      </c>
      <c r="DG19" s="35">
        <f t="shared" si="64"/>
        <v>411.26585659999995</v>
      </c>
      <c r="DI19" s="5">
        <f t="shared" si="94"/>
        <v>205037.4405</v>
      </c>
      <c r="DJ19" s="5">
        <f t="shared" si="65"/>
        <v>13717.2820675</v>
      </c>
      <c r="DK19" s="5">
        <f t="shared" si="66"/>
        <v>218754.7225675</v>
      </c>
      <c r="DL19" s="35">
        <f t="shared" si="67"/>
        <v>4761.6316214</v>
      </c>
      <c r="DN19" s="5">
        <f t="shared" si="95"/>
        <v>7549.5419999999995</v>
      </c>
      <c r="DO19" s="5">
        <f t="shared" si="68"/>
        <v>505.07457</v>
      </c>
      <c r="DP19" s="36">
        <f t="shared" si="69"/>
        <v>8054.616569999999</v>
      </c>
      <c r="DQ19" s="35">
        <f t="shared" si="70"/>
        <v>175.3247496</v>
      </c>
      <c r="DS19" s="5">
        <f t="shared" si="96"/>
        <v>6682.8405</v>
      </c>
      <c r="DT19" s="36">
        <f t="shared" si="71"/>
        <v>447.09106750000007</v>
      </c>
      <c r="DU19" s="36">
        <f t="shared" si="72"/>
        <v>7129.931567500001</v>
      </c>
      <c r="DV19" s="35">
        <f t="shared" si="73"/>
        <v>155.19714140000002</v>
      </c>
      <c r="DW19"/>
    </row>
    <row r="20" spans="1:127" ht="12.75">
      <c r="A20" s="37">
        <v>45566</v>
      </c>
      <c r="D20" s="3">
        <v>326200</v>
      </c>
      <c r="E20" s="35">
        <f t="shared" si="0"/>
        <v>326200</v>
      </c>
      <c r="F20" s="35">
        <f>'2011A'!F20</f>
        <v>145958</v>
      </c>
      <c r="H20" s="46"/>
      <c r="I20" s="36">
        <f t="shared" si="1"/>
        <v>49165.5164</v>
      </c>
      <c r="J20" s="36">
        <f t="shared" si="2"/>
        <v>49165.5164</v>
      </c>
      <c r="K20" s="36">
        <f t="shared" si="3"/>
        <v>21999.081675999998</v>
      </c>
      <c r="L20"/>
      <c r="N20" s="5">
        <f t="shared" si="4"/>
        <v>20437.865279999998</v>
      </c>
      <c r="O20" s="5">
        <f t="shared" si="5"/>
        <v>20437.865279999998</v>
      </c>
      <c r="P20" s="35">
        <f t="shared" si="6"/>
        <v>9144.9109152</v>
      </c>
      <c r="Q20"/>
      <c r="S20" s="36">
        <f t="shared" si="7"/>
        <v>9.03574</v>
      </c>
      <c r="T20" s="36">
        <f t="shared" si="8"/>
        <v>9.03574</v>
      </c>
      <c r="U20" s="35">
        <f t="shared" si="9"/>
        <v>4.0430366</v>
      </c>
      <c r="V20"/>
      <c r="X20" s="5">
        <f t="shared" si="10"/>
        <v>404.58585999999997</v>
      </c>
      <c r="Y20" s="5">
        <f t="shared" si="11"/>
        <v>404.58585999999997</v>
      </c>
      <c r="Z20" s="35">
        <f t="shared" si="12"/>
        <v>181.0317074</v>
      </c>
      <c r="AA20"/>
      <c r="AC20" s="5">
        <f t="shared" si="13"/>
        <v>243.63878</v>
      </c>
      <c r="AD20" s="5">
        <f t="shared" si="14"/>
        <v>243.63878</v>
      </c>
      <c r="AE20" s="35">
        <f t="shared" si="15"/>
        <v>109.0160302</v>
      </c>
      <c r="AF20"/>
      <c r="AH20" s="5">
        <f t="shared" si="16"/>
        <v>1810.7362</v>
      </c>
      <c r="AI20" s="5">
        <f t="shared" si="17"/>
        <v>1810.7362</v>
      </c>
      <c r="AJ20" s="35">
        <f t="shared" si="18"/>
        <v>810.2128580000001</v>
      </c>
      <c r="AK20"/>
      <c r="AM20" s="5">
        <f t="shared" si="19"/>
        <v>561.12924</v>
      </c>
      <c r="AN20" s="5">
        <f t="shared" si="20"/>
        <v>561.12924</v>
      </c>
      <c r="AO20" s="35">
        <f t="shared" si="21"/>
        <v>251.0769516</v>
      </c>
      <c r="AP20"/>
      <c r="AR20" s="5">
        <f t="shared" si="22"/>
        <v>1056.43132</v>
      </c>
      <c r="AS20" s="5">
        <f t="shared" si="23"/>
        <v>1056.43132</v>
      </c>
      <c r="AT20" s="35">
        <f t="shared" si="24"/>
        <v>472.6995788</v>
      </c>
      <c r="AU20"/>
      <c r="AW20" s="5">
        <f t="shared" si="25"/>
        <v>223.70795999999999</v>
      </c>
      <c r="AX20" s="5">
        <f t="shared" si="26"/>
        <v>223.70795999999999</v>
      </c>
      <c r="AY20" s="35">
        <f t="shared" si="27"/>
        <v>100.0979964</v>
      </c>
      <c r="AZ20"/>
      <c r="BB20" s="5">
        <f t="shared" si="28"/>
        <v>3988.87146</v>
      </c>
      <c r="BC20" s="5">
        <f t="shared" si="29"/>
        <v>3988.87146</v>
      </c>
      <c r="BD20" s="35">
        <f t="shared" si="30"/>
        <v>1784.8182113999999</v>
      </c>
      <c r="BE20"/>
      <c r="BF20" s="36"/>
      <c r="BG20" s="5">
        <f t="shared" si="31"/>
        <v>1846.87916</v>
      </c>
      <c r="BH20" s="36">
        <f t="shared" si="32"/>
        <v>1846.87916</v>
      </c>
      <c r="BI20" s="35">
        <f t="shared" si="33"/>
        <v>826.3850044</v>
      </c>
      <c r="BJ20"/>
      <c r="BL20" s="5">
        <f t="shared" si="34"/>
        <v>884.5239200000001</v>
      </c>
      <c r="BM20" s="5">
        <f t="shared" si="35"/>
        <v>884.5239200000001</v>
      </c>
      <c r="BN20" s="35">
        <f t="shared" si="36"/>
        <v>395.7797128</v>
      </c>
      <c r="BO20"/>
      <c r="BP20" s="5">
        <f t="shared" si="37"/>
        <v>0</v>
      </c>
      <c r="BQ20" s="5">
        <f t="shared" si="38"/>
        <v>130.51262</v>
      </c>
      <c r="BR20" s="5">
        <f t="shared" si="39"/>
        <v>130.51262</v>
      </c>
      <c r="BS20" s="35">
        <f t="shared" si="40"/>
        <v>58.397795800000004</v>
      </c>
      <c r="BT20"/>
      <c r="BV20" s="5">
        <f t="shared" si="41"/>
        <v>578.64618</v>
      </c>
      <c r="BW20" s="5">
        <f t="shared" si="42"/>
        <v>578.64618</v>
      </c>
      <c r="BX20" s="35">
        <f t="shared" si="43"/>
        <v>258.9148962</v>
      </c>
      <c r="BY20"/>
      <c r="CA20" s="5">
        <f t="shared" si="44"/>
        <v>79.69066</v>
      </c>
      <c r="CB20" s="5">
        <f t="shared" si="45"/>
        <v>79.69066</v>
      </c>
      <c r="CC20" s="35">
        <f t="shared" si="46"/>
        <v>35.6575394</v>
      </c>
      <c r="CD20"/>
      <c r="CF20" s="5">
        <f t="shared" si="47"/>
        <v>1662.44568</v>
      </c>
      <c r="CG20" s="5">
        <f t="shared" si="48"/>
        <v>1662.44568</v>
      </c>
      <c r="CH20" s="35">
        <f t="shared" si="49"/>
        <v>743.8603512</v>
      </c>
      <c r="CI20"/>
      <c r="CK20" s="5">
        <f t="shared" si="50"/>
        <v>322.02464</v>
      </c>
      <c r="CL20" s="5">
        <f t="shared" si="51"/>
        <v>322.02464</v>
      </c>
      <c r="CM20" s="35">
        <f t="shared" si="52"/>
        <v>144.08973759999998</v>
      </c>
      <c r="CN20"/>
      <c r="CP20" s="5">
        <f t="shared" si="53"/>
        <v>426.04981999999995</v>
      </c>
      <c r="CQ20" s="36">
        <f t="shared" si="54"/>
        <v>426.04981999999995</v>
      </c>
      <c r="CR20" s="35">
        <f t="shared" si="55"/>
        <v>190.6357438</v>
      </c>
      <c r="CS20"/>
      <c r="CU20" s="5">
        <f t="shared" si="56"/>
        <v>1384.9799600000001</v>
      </c>
      <c r="CV20" s="36">
        <f t="shared" si="57"/>
        <v>1384.9799600000001</v>
      </c>
      <c r="CW20" s="35">
        <f t="shared" si="58"/>
        <v>619.7084764</v>
      </c>
      <c r="CZ20" s="5">
        <f t="shared" si="59"/>
        <v>814.22782</v>
      </c>
      <c r="DA20" s="5">
        <f t="shared" si="60"/>
        <v>814.22782</v>
      </c>
      <c r="DB20" s="35">
        <f t="shared" si="61"/>
        <v>364.32576379999995</v>
      </c>
      <c r="DE20" s="5">
        <f t="shared" si="62"/>
        <v>919.13374</v>
      </c>
      <c r="DF20" s="5">
        <f t="shared" si="63"/>
        <v>919.13374</v>
      </c>
      <c r="DG20" s="35">
        <f t="shared" si="64"/>
        <v>411.26585659999995</v>
      </c>
      <c r="DJ20" s="5">
        <f t="shared" si="65"/>
        <v>10641.72046</v>
      </c>
      <c r="DK20" s="5">
        <f t="shared" si="66"/>
        <v>10641.72046</v>
      </c>
      <c r="DL20" s="35">
        <f t="shared" si="67"/>
        <v>4761.6316214</v>
      </c>
      <c r="DO20" s="5">
        <f t="shared" si="68"/>
        <v>391.83144</v>
      </c>
      <c r="DP20" s="36">
        <f t="shared" si="69"/>
        <v>391.83144</v>
      </c>
      <c r="DQ20" s="35">
        <f t="shared" si="70"/>
        <v>175.3247496</v>
      </c>
      <c r="DT20" s="36">
        <f t="shared" si="71"/>
        <v>346.84846000000005</v>
      </c>
      <c r="DU20" s="36">
        <f t="shared" si="72"/>
        <v>346.84846000000005</v>
      </c>
      <c r="DV20" s="35">
        <f t="shared" si="73"/>
        <v>155.19714140000002</v>
      </c>
      <c r="DW20"/>
    </row>
    <row r="21" spans="1:127" ht="12.75">
      <c r="A21" s="37">
        <v>45748</v>
      </c>
      <c r="C21" s="3">
        <v>0</v>
      </c>
      <c r="D21" s="3">
        <v>326200</v>
      </c>
      <c r="E21" s="35">
        <f t="shared" si="0"/>
        <v>326200</v>
      </c>
      <c r="F21" s="35">
        <f>'2011A'!F21</f>
        <v>145958</v>
      </c>
      <c r="H21" s="46">
        <f t="shared" si="74"/>
        <v>0</v>
      </c>
      <c r="I21" s="36">
        <f t="shared" si="1"/>
        <v>49165.5164</v>
      </c>
      <c r="J21" s="36">
        <f t="shared" si="2"/>
        <v>49165.5164</v>
      </c>
      <c r="K21" s="36">
        <f t="shared" si="3"/>
        <v>21999.081675999998</v>
      </c>
      <c r="L21"/>
      <c r="M21" s="5">
        <f t="shared" si="75"/>
        <v>0</v>
      </c>
      <c r="N21" s="5">
        <f t="shared" si="4"/>
        <v>20437.865279999998</v>
      </c>
      <c r="O21" s="5">
        <f t="shared" si="5"/>
        <v>20437.865279999998</v>
      </c>
      <c r="P21" s="35">
        <f t="shared" si="6"/>
        <v>9144.9109152</v>
      </c>
      <c r="Q21"/>
      <c r="R21" s="5">
        <f t="shared" si="76"/>
        <v>0</v>
      </c>
      <c r="S21" s="36">
        <f t="shared" si="7"/>
        <v>9.03574</v>
      </c>
      <c r="T21" s="36">
        <f t="shared" si="8"/>
        <v>9.03574</v>
      </c>
      <c r="U21" s="35">
        <f t="shared" si="9"/>
        <v>4.0430366</v>
      </c>
      <c r="V21"/>
      <c r="W21" s="5">
        <f t="shared" si="77"/>
        <v>0</v>
      </c>
      <c r="X21" s="5">
        <f t="shared" si="10"/>
        <v>404.58585999999997</v>
      </c>
      <c r="Y21" s="5">
        <f t="shared" si="11"/>
        <v>404.58585999999997</v>
      </c>
      <c r="Z21" s="35">
        <f t="shared" si="12"/>
        <v>181.0317074</v>
      </c>
      <c r="AA21"/>
      <c r="AB21" s="5">
        <f t="shared" si="78"/>
        <v>0</v>
      </c>
      <c r="AC21" s="5">
        <f t="shared" si="13"/>
        <v>243.63878</v>
      </c>
      <c r="AD21" s="5">
        <f t="shared" si="14"/>
        <v>243.63878</v>
      </c>
      <c r="AE21" s="35">
        <f t="shared" si="15"/>
        <v>109.0160302</v>
      </c>
      <c r="AF21"/>
      <c r="AG21" s="5">
        <f t="shared" si="79"/>
        <v>0</v>
      </c>
      <c r="AH21" s="5">
        <f t="shared" si="16"/>
        <v>1810.7362</v>
      </c>
      <c r="AI21" s="5">
        <f t="shared" si="17"/>
        <v>1810.7362</v>
      </c>
      <c r="AJ21" s="35">
        <f t="shared" si="18"/>
        <v>810.2128580000001</v>
      </c>
      <c r="AK21"/>
      <c r="AL21" s="5">
        <f t="shared" si="80"/>
        <v>0</v>
      </c>
      <c r="AM21" s="5">
        <f t="shared" si="19"/>
        <v>561.12924</v>
      </c>
      <c r="AN21" s="5">
        <f t="shared" si="20"/>
        <v>561.12924</v>
      </c>
      <c r="AO21" s="35">
        <f t="shared" si="21"/>
        <v>251.0769516</v>
      </c>
      <c r="AP21"/>
      <c r="AQ21" s="5">
        <f t="shared" si="81"/>
        <v>0</v>
      </c>
      <c r="AR21" s="5">
        <f t="shared" si="22"/>
        <v>1056.43132</v>
      </c>
      <c r="AS21" s="5">
        <f t="shared" si="23"/>
        <v>1056.43132</v>
      </c>
      <c r="AT21" s="35">
        <f t="shared" si="24"/>
        <v>472.6995788</v>
      </c>
      <c r="AU21"/>
      <c r="AV21" s="5">
        <f t="shared" si="82"/>
        <v>0</v>
      </c>
      <c r="AW21" s="5">
        <f t="shared" si="25"/>
        <v>223.70795999999999</v>
      </c>
      <c r="AX21" s="5">
        <f t="shared" si="26"/>
        <v>223.70795999999999</v>
      </c>
      <c r="AY21" s="35">
        <f t="shared" si="27"/>
        <v>100.0979964</v>
      </c>
      <c r="AZ21"/>
      <c r="BA21" s="5">
        <f t="shared" si="83"/>
        <v>0</v>
      </c>
      <c r="BB21" s="5">
        <f t="shared" si="28"/>
        <v>3988.87146</v>
      </c>
      <c r="BC21" s="5">
        <f t="shared" si="29"/>
        <v>3988.87146</v>
      </c>
      <c r="BD21" s="35">
        <f t="shared" si="30"/>
        <v>1784.8182113999999</v>
      </c>
      <c r="BE21"/>
      <c r="BF21" s="36">
        <f t="shared" si="84"/>
        <v>0</v>
      </c>
      <c r="BG21" s="5">
        <f t="shared" si="31"/>
        <v>1846.87916</v>
      </c>
      <c r="BH21" s="36">
        <f t="shared" si="32"/>
        <v>1846.87916</v>
      </c>
      <c r="BI21" s="35">
        <f t="shared" si="33"/>
        <v>826.3850044</v>
      </c>
      <c r="BJ21"/>
      <c r="BK21" s="5">
        <f t="shared" si="85"/>
        <v>0</v>
      </c>
      <c r="BL21" s="5">
        <f t="shared" si="34"/>
        <v>884.5239200000001</v>
      </c>
      <c r="BM21" s="5">
        <f t="shared" si="35"/>
        <v>884.5239200000001</v>
      </c>
      <c r="BN21" s="35">
        <f t="shared" si="36"/>
        <v>395.7797128</v>
      </c>
      <c r="BO21"/>
      <c r="BP21" s="5">
        <f t="shared" si="37"/>
        <v>0</v>
      </c>
      <c r="BQ21" s="5">
        <f t="shared" si="38"/>
        <v>130.51262</v>
      </c>
      <c r="BR21" s="5">
        <f t="shared" si="39"/>
        <v>130.51262</v>
      </c>
      <c r="BS21" s="35">
        <f t="shared" si="40"/>
        <v>58.397795800000004</v>
      </c>
      <c r="BT21"/>
      <c r="BU21" s="5">
        <f t="shared" si="86"/>
        <v>0</v>
      </c>
      <c r="BV21" s="5">
        <f t="shared" si="41"/>
        <v>578.64618</v>
      </c>
      <c r="BW21" s="5">
        <f t="shared" si="42"/>
        <v>578.64618</v>
      </c>
      <c r="BX21" s="35">
        <f t="shared" si="43"/>
        <v>258.9148962</v>
      </c>
      <c r="BY21"/>
      <c r="BZ21" s="5">
        <f t="shared" si="87"/>
        <v>0</v>
      </c>
      <c r="CA21" s="5">
        <f t="shared" si="44"/>
        <v>79.69066</v>
      </c>
      <c r="CB21" s="5">
        <f t="shared" si="45"/>
        <v>79.69066</v>
      </c>
      <c r="CC21" s="35">
        <f t="shared" si="46"/>
        <v>35.6575394</v>
      </c>
      <c r="CD21"/>
      <c r="CE21" s="5">
        <f t="shared" si="88"/>
        <v>0</v>
      </c>
      <c r="CF21" s="5">
        <f t="shared" si="47"/>
        <v>1662.44568</v>
      </c>
      <c r="CG21" s="5">
        <f t="shared" si="48"/>
        <v>1662.44568</v>
      </c>
      <c r="CH21" s="35">
        <f t="shared" si="49"/>
        <v>743.8603512</v>
      </c>
      <c r="CI21"/>
      <c r="CJ21" s="5">
        <f t="shared" si="89"/>
        <v>0</v>
      </c>
      <c r="CK21" s="5">
        <f t="shared" si="50"/>
        <v>322.02464</v>
      </c>
      <c r="CL21" s="5">
        <f t="shared" si="51"/>
        <v>322.02464</v>
      </c>
      <c r="CM21" s="35">
        <f t="shared" si="52"/>
        <v>144.08973759999998</v>
      </c>
      <c r="CN21"/>
      <c r="CO21" s="5">
        <f t="shared" si="90"/>
        <v>0</v>
      </c>
      <c r="CP21" s="5">
        <f t="shared" si="53"/>
        <v>426.04981999999995</v>
      </c>
      <c r="CQ21" s="36">
        <f t="shared" si="54"/>
        <v>426.04981999999995</v>
      </c>
      <c r="CR21" s="35">
        <f t="shared" si="55"/>
        <v>190.6357438</v>
      </c>
      <c r="CS21"/>
      <c r="CT21" s="5">
        <f t="shared" si="91"/>
        <v>0</v>
      </c>
      <c r="CU21" s="5">
        <f t="shared" si="56"/>
        <v>1384.9799600000001</v>
      </c>
      <c r="CV21" s="36">
        <f t="shared" si="57"/>
        <v>1384.9799600000001</v>
      </c>
      <c r="CW21" s="35">
        <f t="shared" si="58"/>
        <v>619.7084764</v>
      </c>
      <c r="CY21" s="5">
        <f t="shared" si="92"/>
        <v>0</v>
      </c>
      <c r="CZ21" s="5">
        <f t="shared" si="59"/>
        <v>814.22782</v>
      </c>
      <c r="DA21" s="5">
        <f t="shared" si="60"/>
        <v>814.22782</v>
      </c>
      <c r="DB21" s="35">
        <f t="shared" si="61"/>
        <v>364.32576379999995</v>
      </c>
      <c r="DD21" s="5">
        <f t="shared" si="93"/>
        <v>0</v>
      </c>
      <c r="DE21" s="5">
        <f t="shared" si="62"/>
        <v>919.13374</v>
      </c>
      <c r="DF21" s="5">
        <f t="shared" si="63"/>
        <v>919.13374</v>
      </c>
      <c r="DG21" s="35">
        <f t="shared" si="64"/>
        <v>411.26585659999995</v>
      </c>
      <c r="DI21" s="5">
        <f t="shared" si="94"/>
        <v>0</v>
      </c>
      <c r="DJ21" s="5">
        <f t="shared" si="65"/>
        <v>10641.72046</v>
      </c>
      <c r="DK21" s="5">
        <f t="shared" si="66"/>
        <v>10641.72046</v>
      </c>
      <c r="DL21" s="35">
        <f t="shared" si="67"/>
        <v>4761.6316214</v>
      </c>
      <c r="DN21" s="5">
        <f t="shared" si="95"/>
        <v>0</v>
      </c>
      <c r="DO21" s="5">
        <f t="shared" si="68"/>
        <v>391.83144</v>
      </c>
      <c r="DP21" s="36">
        <f t="shared" si="69"/>
        <v>391.83144</v>
      </c>
      <c r="DQ21" s="35">
        <f t="shared" si="70"/>
        <v>175.3247496</v>
      </c>
      <c r="DS21" s="5">
        <f t="shared" si="96"/>
        <v>0</v>
      </c>
      <c r="DT21" s="36">
        <f t="shared" si="71"/>
        <v>346.84846000000005</v>
      </c>
      <c r="DU21" s="36">
        <f t="shared" si="72"/>
        <v>346.84846000000005</v>
      </c>
      <c r="DV21" s="35">
        <f t="shared" si="73"/>
        <v>155.19714140000002</v>
      </c>
      <c r="DW21"/>
    </row>
    <row r="22" spans="1:127" ht="12.75">
      <c r="A22" s="37">
        <v>45931</v>
      </c>
      <c r="D22" s="3">
        <v>326200</v>
      </c>
      <c r="E22" s="35">
        <f t="shared" si="0"/>
        <v>326200</v>
      </c>
      <c r="F22" s="35">
        <f>'2011A'!F22</f>
        <v>145958</v>
      </c>
      <c r="H22" s="46"/>
      <c r="I22" s="36">
        <f t="shared" si="1"/>
        <v>49165.5164</v>
      </c>
      <c r="J22" s="36">
        <f t="shared" si="2"/>
        <v>49165.5164</v>
      </c>
      <c r="K22" s="36">
        <f t="shared" si="3"/>
        <v>21999.081675999998</v>
      </c>
      <c r="L22"/>
      <c r="N22" s="5">
        <f t="shared" si="4"/>
        <v>20437.865279999998</v>
      </c>
      <c r="O22" s="5">
        <f t="shared" si="5"/>
        <v>20437.865279999998</v>
      </c>
      <c r="P22" s="35">
        <f t="shared" si="6"/>
        <v>9144.9109152</v>
      </c>
      <c r="Q22"/>
      <c r="S22" s="36">
        <f t="shared" si="7"/>
        <v>9.03574</v>
      </c>
      <c r="T22" s="36">
        <f t="shared" si="8"/>
        <v>9.03574</v>
      </c>
      <c r="U22" s="35">
        <f t="shared" si="9"/>
        <v>4.0430366</v>
      </c>
      <c r="V22"/>
      <c r="X22" s="5">
        <f t="shared" si="10"/>
        <v>404.58585999999997</v>
      </c>
      <c r="Y22" s="5">
        <f t="shared" si="11"/>
        <v>404.58585999999997</v>
      </c>
      <c r="Z22" s="35">
        <f t="shared" si="12"/>
        <v>181.0317074</v>
      </c>
      <c r="AA22"/>
      <c r="AC22" s="5">
        <f t="shared" si="13"/>
        <v>243.63878</v>
      </c>
      <c r="AD22" s="5">
        <f t="shared" si="14"/>
        <v>243.63878</v>
      </c>
      <c r="AE22" s="35">
        <f t="shared" si="15"/>
        <v>109.0160302</v>
      </c>
      <c r="AF22"/>
      <c r="AH22" s="5">
        <f t="shared" si="16"/>
        <v>1810.7362</v>
      </c>
      <c r="AI22" s="5">
        <f t="shared" si="17"/>
        <v>1810.7362</v>
      </c>
      <c r="AJ22" s="35">
        <f t="shared" si="18"/>
        <v>810.2128580000001</v>
      </c>
      <c r="AK22"/>
      <c r="AM22" s="5">
        <f t="shared" si="19"/>
        <v>561.12924</v>
      </c>
      <c r="AN22" s="5">
        <f t="shared" si="20"/>
        <v>561.12924</v>
      </c>
      <c r="AO22" s="35">
        <f t="shared" si="21"/>
        <v>251.0769516</v>
      </c>
      <c r="AP22"/>
      <c r="AR22" s="5">
        <f t="shared" si="22"/>
        <v>1056.43132</v>
      </c>
      <c r="AS22" s="5">
        <f t="shared" si="23"/>
        <v>1056.43132</v>
      </c>
      <c r="AT22" s="35">
        <f t="shared" si="24"/>
        <v>472.6995788</v>
      </c>
      <c r="AU22"/>
      <c r="AW22" s="5">
        <f t="shared" si="25"/>
        <v>223.70795999999999</v>
      </c>
      <c r="AX22" s="5">
        <f t="shared" si="26"/>
        <v>223.70795999999999</v>
      </c>
      <c r="AY22" s="35">
        <f t="shared" si="27"/>
        <v>100.0979964</v>
      </c>
      <c r="AZ22"/>
      <c r="BB22" s="5">
        <f t="shared" si="28"/>
        <v>3988.87146</v>
      </c>
      <c r="BC22" s="5">
        <f t="shared" si="29"/>
        <v>3988.87146</v>
      </c>
      <c r="BD22" s="35">
        <f t="shared" si="30"/>
        <v>1784.8182113999999</v>
      </c>
      <c r="BE22"/>
      <c r="BF22" s="36"/>
      <c r="BG22" s="5">
        <f t="shared" si="31"/>
        <v>1846.87916</v>
      </c>
      <c r="BH22" s="36">
        <f t="shared" si="32"/>
        <v>1846.87916</v>
      </c>
      <c r="BI22" s="35">
        <f t="shared" si="33"/>
        <v>826.3850044</v>
      </c>
      <c r="BJ22"/>
      <c r="BL22" s="5">
        <f t="shared" si="34"/>
        <v>884.5239200000001</v>
      </c>
      <c r="BM22" s="5">
        <f t="shared" si="35"/>
        <v>884.5239200000001</v>
      </c>
      <c r="BN22" s="35">
        <f t="shared" si="36"/>
        <v>395.7797128</v>
      </c>
      <c r="BO22"/>
      <c r="BP22" s="5">
        <f t="shared" si="37"/>
        <v>0</v>
      </c>
      <c r="BQ22" s="5">
        <f t="shared" si="38"/>
        <v>130.51262</v>
      </c>
      <c r="BR22" s="5">
        <f t="shared" si="39"/>
        <v>130.51262</v>
      </c>
      <c r="BS22" s="35">
        <f t="shared" si="40"/>
        <v>58.397795800000004</v>
      </c>
      <c r="BT22"/>
      <c r="BV22" s="5">
        <f t="shared" si="41"/>
        <v>578.64618</v>
      </c>
      <c r="BW22" s="5">
        <f t="shared" si="42"/>
        <v>578.64618</v>
      </c>
      <c r="BX22" s="35">
        <f t="shared" si="43"/>
        <v>258.9148962</v>
      </c>
      <c r="BY22"/>
      <c r="CA22" s="5">
        <f t="shared" si="44"/>
        <v>79.69066</v>
      </c>
      <c r="CB22" s="5">
        <f t="shared" si="45"/>
        <v>79.69066</v>
      </c>
      <c r="CC22" s="35">
        <f t="shared" si="46"/>
        <v>35.6575394</v>
      </c>
      <c r="CD22"/>
      <c r="CF22" s="5">
        <f t="shared" si="47"/>
        <v>1662.44568</v>
      </c>
      <c r="CG22" s="5">
        <f t="shared" si="48"/>
        <v>1662.44568</v>
      </c>
      <c r="CH22" s="35">
        <f t="shared" si="49"/>
        <v>743.8603512</v>
      </c>
      <c r="CI22"/>
      <c r="CK22" s="5">
        <f t="shared" si="50"/>
        <v>322.02464</v>
      </c>
      <c r="CL22" s="5">
        <f t="shared" si="51"/>
        <v>322.02464</v>
      </c>
      <c r="CM22" s="35">
        <f t="shared" si="52"/>
        <v>144.08973759999998</v>
      </c>
      <c r="CN22"/>
      <c r="CP22" s="5">
        <f t="shared" si="53"/>
        <v>426.04981999999995</v>
      </c>
      <c r="CQ22" s="36">
        <f t="shared" si="54"/>
        <v>426.04981999999995</v>
      </c>
      <c r="CR22" s="35">
        <f t="shared" si="55"/>
        <v>190.6357438</v>
      </c>
      <c r="CS22"/>
      <c r="CU22" s="5">
        <f t="shared" si="56"/>
        <v>1384.9799600000001</v>
      </c>
      <c r="CV22" s="36">
        <f t="shared" si="57"/>
        <v>1384.9799600000001</v>
      </c>
      <c r="CW22" s="35">
        <f t="shared" si="58"/>
        <v>619.7084764</v>
      </c>
      <c r="CZ22" s="5">
        <f t="shared" si="59"/>
        <v>814.22782</v>
      </c>
      <c r="DA22" s="5">
        <f t="shared" si="60"/>
        <v>814.22782</v>
      </c>
      <c r="DB22" s="35">
        <f t="shared" si="61"/>
        <v>364.32576379999995</v>
      </c>
      <c r="DE22" s="5">
        <f t="shared" si="62"/>
        <v>919.13374</v>
      </c>
      <c r="DF22" s="5">
        <f t="shared" si="63"/>
        <v>919.13374</v>
      </c>
      <c r="DG22" s="35">
        <f t="shared" si="64"/>
        <v>411.26585659999995</v>
      </c>
      <c r="DJ22" s="5">
        <f t="shared" si="65"/>
        <v>10641.72046</v>
      </c>
      <c r="DK22" s="5">
        <f t="shared" si="66"/>
        <v>10641.72046</v>
      </c>
      <c r="DL22" s="35">
        <f t="shared" si="67"/>
        <v>4761.6316214</v>
      </c>
      <c r="DO22" s="5">
        <f t="shared" si="68"/>
        <v>391.83144</v>
      </c>
      <c r="DP22" s="36">
        <f t="shared" si="69"/>
        <v>391.83144</v>
      </c>
      <c r="DQ22" s="35">
        <f t="shared" si="70"/>
        <v>175.3247496</v>
      </c>
      <c r="DT22" s="36">
        <f t="shared" si="71"/>
        <v>346.84846000000005</v>
      </c>
      <c r="DU22" s="36">
        <f t="shared" si="72"/>
        <v>346.84846000000005</v>
      </c>
      <c r="DV22" s="35">
        <f t="shared" si="73"/>
        <v>155.19714140000002</v>
      </c>
      <c r="DW22"/>
    </row>
    <row r="23" spans="1:127" ht="12.75">
      <c r="A23" s="37">
        <v>46113</v>
      </c>
      <c r="C23" s="3">
        <v>0</v>
      </c>
      <c r="D23" s="3">
        <v>326200</v>
      </c>
      <c r="E23" s="35">
        <f t="shared" si="0"/>
        <v>326200</v>
      </c>
      <c r="F23" s="35">
        <f>'2011A'!F23</f>
        <v>145958</v>
      </c>
      <c r="H23" s="46">
        <f t="shared" si="74"/>
        <v>0</v>
      </c>
      <c r="I23" s="36">
        <f t="shared" si="1"/>
        <v>49165.5164</v>
      </c>
      <c r="J23" s="36">
        <f t="shared" si="2"/>
        <v>49165.5164</v>
      </c>
      <c r="K23" s="36">
        <f t="shared" si="3"/>
        <v>21999.081675999998</v>
      </c>
      <c r="L23"/>
      <c r="M23" s="5">
        <f t="shared" si="75"/>
        <v>0</v>
      </c>
      <c r="N23" s="5">
        <f t="shared" si="4"/>
        <v>20437.865279999998</v>
      </c>
      <c r="O23" s="5">
        <f t="shared" si="5"/>
        <v>20437.865279999998</v>
      </c>
      <c r="P23" s="35">
        <f t="shared" si="6"/>
        <v>9144.9109152</v>
      </c>
      <c r="Q23"/>
      <c r="R23" s="5">
        <f t="shared" si="76"/>
        <v>0</v>
      </c>
      <c r="S23" s="36">
        <f t="shared" si="7"/>
        <v>9.03574</v>
      </c>
      <c r="T23" s="36">
        <f t="shared" si="8"/>
        <v>9.03574</v>
      </c>
      <c r="U23" s="35">
        <f t="shared" si="9"/>
        <v>4.0430366</v>
      </c>
      <c r="V23"/>
      <c r="W23" s="5">
        <f t="shared" si="77"/>
        <v>0</v>
      </c>
      <c r="X23" s="5">
        <f t="shared" si="10"/>
        <v>404.58585999999997</v>
      </c>
      <c r="Y23" s="5">
        <f t="shared" si="11"/>
        <v>404.58585999999997</v>
      </c>
      <c r="Z23" s="35">
        <f t="shared" si="12"/>
        <v>181.0317074</v>
      </c>
      <c r="AA23"/>
      <c r="AB23" s="5">
        <f t="shared" si="78"/>
        <v>0</v>
      </c>
      <c r="AC23" s="5">
        <f t="shared" si="13"/>
        <v>243.63878</v>
      </c>
      <c r="AD23" s="5">
        <f t="shared" si="14"/>
        <v>243.63878</v>
      </c>
      <c r="AE23" s="35">
        <f t="shared" si="15"/>
        <v>109.0160302</v>
      </c>
      <c r="AF23"/>
      <c r="AG23" s="5">
        <f t="shared" si="79"/>
        <v>0</v>
      </c>
      <c r="AH23" s="5">
        <f t="shared" si="16"/>
        <v>1810.7362</v>
      </c>
      <c r="AI23" s="5">
        <f t="shared" si="17"/>
        <v>1810.7362</v>
      </c>
      <c r="AJ23" s="35">
        <f t="shared" si="18"/>
        <v>810.2128580000001</v>
      </c>
      <c r="AK23"/>
      <c r="AL23" s="5">
        <f t="shared" si="80"/>
        <v>0</v>
      </c>
      <c r="AM23" s="5">
        <f t="shared" si="19"/>
        <v>561.12924</v>
      </c>
      <c r="AN23" s="5">
        <f t="shared" si="20"/>
        <v>561.12924</v>
      </c>
      <c r="AO23" s="35">
        <f t="shared" si="21"/>
        <v>251.0769516</v>
      </c>
      <c r="AP23"/>
      <c r="AQ23" s="5">
        <f t="shared" si="81"/>
        <v>0</v>
      </c>
      <c r="AR23" s="5">
        <f t="shared" si="22"/>
        <v>1056.43132</v>
      </c>
      <c r="AS23" s="5">
        <f t="shared" si="23"/>
        <v>1056.43132</v>
      </c>
      <c r="AT23" s="35">
        <f t="shared" si="24"/>
        <v>472.6995788</v>
      </c>
      <c r="AU23"/>
      <c r="AV23" s="5">
        <f t="shared" si="82"/>
        <v>0</v>
      </c>
      <c r="AW23" s="5">
        <f t="shared" si="25"/>
        <v>223.70795999999999</v>
      </c>
      <c r="AX23" s="5">
        <f t="shared" si="26"/>
        <v>223.70795999999999</v>
      </c>
      <c r="AY23" s="35">
        <f t="shared" si="27"/>
        <v>100.0979964</v>
      </c>
      <c r="AZ23"/>
      <c r="BA23" s="5">
        <f t="shared" si="83"/>
        <v>0</v>
      </c>
      <c r="BB23" s="5">
        <f t="shared" si="28"/>
        <v>3988.87146</v>
      </c>
      <c r="BC23" s="5">
        <f t="shared" si="29"/>
        <v>3988.87146</v>
      </c>
      <c r="BD23" s="35">
        <f t="shared" si="30"/>
        <v>1784.8182113999999</v>
      </c>
      <c r="BE23"/>
      <c r="BF23" s="36">
        <f t="shared" si="84"/>
        <v>0</v>
      </c>
      <c r="BG23" s="5">
        <f t="shared" si="31"/>
        <v>1846.87916</v>
      </c>
      <c r="BH23" s="36">
        <f t="shared" si="32"/>
        <v>1846.87916</v>
      </c>
      <c r="BI23" s="35">
        <f t="shared" si="33"/>
        <v>826.3850044</v>
      </c>
      <c r="BJ23"/>
      <c r="BK23" s="5">
        <f t="shared" si="85"/>
        <v>0</v>
      </c>
      <c r="BL23" s="5">
        <f t="shared" si="34"/>
        <v>884.5239200000001</v>
      </c>
      <c r="BM23" s="5">
        <f t="shared" si="35"/>
        <v>884.5239200000001</v>
      </c>
      <c r="BN23" s="35">
        <f t="shared" si="36"/>
        <v>395.7797128</v>
      </c>
      <c r="BO23"/>
      <c r="BP23" s="5">
        <f t="shared" si="37"/>
        <v>0</v>
      </c>
      <c r="BQ23" s="5">
        <f t="shared" si="38"/>
        <v>130.51262</v>
      </c>
      <c r="BR23" s="5">
        <f t="shared" si="39"/>
        <v>130.51262</v>
      </c>
      <c r="BS23" s="35">
        <f t="shared" si="40"/>
        <v>58.397795800000004</v>
      </c>
      <c r="BT23"/>
      <c r="BU23" s="5">
        <f t="shared" si="86"/>
        <v>0</v>
      </c>
      <c r="BV23" s="5">
        <f t="shared" si="41"/>
        <v>578.64618</v>
      </c>
      <c r="BW23" s="5">
        <f t="shared" si="42"/>
        <v>578.64618</v>
      </c>
      <c r="BX23" s="35">
        <f t="shared" si="43"/>
        <v>258.9148962</v>
      </c>
      <c r="BY23"/>
      <c r="BZ23" s="5">
        <f t="shared" si="87"/>
        <v>0</v>
      </c>
      <c r="CA23" s="5">
        <f t="shared" si="44"/>
        <v>79.69066</v>
      </c>
      <c r="CB23" s="5">
        <f t="shared" si="45"/>
        <v>79.69066</v>
      </c>
      <c r="CC23" s="35">
        <f t="shared" si="46"/>
        <v>35.6575394</v>
      </c>
      <c r="CD23"/>
      <c r="CE23" s="5">
        <f t="shared" si="88"/>
        <v>0</v>
      </c>
      <c r="CF23" s="5">
        <f t="shared" si="47"/>
        <v>1662.44568</v>
      </c>
      <c r="CG23" s="5">
        <f t="shared" si="48"/>
        <v>1662.44568</v>
      </c>
      <c r="CH23" s="35">
        <f t="shared" si="49"/>
        <v>743.8603512</v>
      </c>
      <c r="CI23"/>
      <c r="CJ23" s="5">
        <f t="shared" si="89"/>
        <v>0</v>
      </c>
      <c r="CK23" s="5">
        <f t="shared" si="50"/>
        <v>322.02464</v>
      </c>
      <c r="CL23" s="5">
        <f t="shared" si="51"/>
        <v>322.02464</v>
      </c>
      <c r="CM23" s="35">
        <f t="shared" si="52"/>
        <v>144.08973759999998</v>
      </c>
      <c r="CN23"/>
      <c r="CO23" s="5">
        <f t="shared" si="90"/>
        <v>0</v>
      </c>
      <c r="CP23" s="5">
        <f t="shared" si="53"/>
        <v>426.04981999999995</v>
      </c>
      <c r="CQ23" s="36">
        <f t="shared" si="54"/>
        <v>426.04981999999995</v>
      </c>
      <c r="CR23" s="35">
        <f t="shared" si="55"/>
        <v>190.6357438</v>
      </c>
      <c r="CS23"/>
      <c r="CT23" s="5">
        <f t="shared" si="91"/>
        <v>0</v>
      </c>
      <c r="CU23" s="5">
        <f t="shared" si="56"/>
        <v>1384.9799600000001</v>
      </c>
      <c r="CV23" s="36">
        <f t="shared" si="57"/>
        <v>1384.9799600000001</v>
      </c>
      <c r="CW23" s="35">
        <f t="shared" si="58"/>
        <v>619.7084764</v>
      </c>
      <c r="CY23" s="5">
        <f t="shared" si="92"/>
        <v>0</v>
      </c>
      <c r="CZ23" s="5">
        <f t="shared" si="59"/>
        <v>814.22782</v>
      </c>
      <c r="DA23" s="5">
        <f t="shared" si="60"/>
        <v>814.22782</v>
      </c>
      <c r="DB23" s="35">
        <f t="shared" si="61"/>
        <v>364.32576379999995</v>
      </c>
      <c r="DD23" s="5">
        <f t="shared" si="93"/>
        <v>0</v>
      </c>
      <c r="DE23" s="5">
        <f t="shared" si="62"/>
        <v>919.13374</v>
      </c>
      <c r="DF23" s="5">
        <f t="shared" si="63"/>
        <v>919.13374</v>
      </c>
      <c r="DG23" s="35">
        <f t="shared" si="64"/>
        <v>411.26585659999995</v>
      </c>
      <c r="DI23" s="5">
        <f t="shared" si="94"/>
        <v>0</v>
      </c>
      <c r="DJ23" s="5">
        <f t="shared" si="65"/>
        <v>10641.72046</v>
      </c>
      <c r="DK23" s="5">
        <f t="shared" si="66"/>
        <v>10641.72046</v>
      </c>
      <c r="DL23" s="35">
        <f t="shared" si="67"/>
        <v>4761.6316214</v>
      </c>
      <c r="DN23" s="5">
        <f t="shared" si="95"/>
        <v>0</v>
      </c>
      <c r="DO23" s="5">
        <f t="shared" si="68"/>
        <v>391.83144</v>
      </c>
      <c r="DP23" s="36">
        <f t="shared" si="69"/>
        <v>391.83144</v>
      </c>
      <c r="DQ23" s="35">
        <f t="shared" si="70"/>
        <v>175.3247496</v>
      </c>
      <c r="DS23" s="5">
        <f t="shared" si="96"/>
        <v>0</v>
      </c>
      <c r="DT23" s="36">
        <f t="shared" si="71"/>
        <v>346.84846000000005</v>
      </c>
      <c r="DU23" s="36">
        <f t="shared" si="72"/>
        <v>346.84846000000005</v>
      </c>
      <c r="DV23" s="35">
        <f t="shared" si="73"/>
        <v>155.19714140000002</v>
      </c>
      <c r="DW23"/>
    </row>
    <row r="24" spans="1:127" ht="12.75">
      <c r="A24" s="37">
        <v>46296</v>
      </c>
      <c r="D24" s="3">
        <v>326200</v>
      </c>
      <c r="E24" s="35">
        <f t="shared" si="0"/>
        <v>326200</v>
      </c>
      <c r="F24" s="35">
        <f>'2011A'!F24</f>
        <v>145958</v>
      </c>
      <c r="H24" s="46"/>
      <c r="I24" s="36">
        <f t="shared" si="1"/>
        <v>49165.5164</v>
      </c>
      <c r="J24" s="36">
        <f t="shared" si="2"/>
        <v>49165.5164</v>
      </c>
      <c r="K24" s="36">
        <f t="shared" si="3"/>
        <v>21999.081675999998</v>
      </c>
      <c r="L24"/>
      <c r="N24" s="5">
        <f t="shared" si="4"/>
        <v>20437.865279999998</v>
      </c>
      <c r="O24" s="5">
        <f t="shared" si="5"/>
        <v>20437.865279999998</v>
      </c>
      <c r="P24" s="35">
        <f t="shared" si="6"/>
        <v>9144.9109152</v>
      </c>
      <c r="Q24"/>
      <c r="S24" s="36">
        <f t="shared" si="7"/>
        <v>9.03574</v>
      </c>
      <c r="T24" s="36">
        <f t="shared" si="8"/>
        <v>9.03574</v>
      </c>
      <c r="U24" s="35">
        <f t="shared" si="9"/>
        <v>4.0430366</v>
      </c>
      <c r="V24"/>
      <c r="X24" s="5">
        <f t="shared" si="10"/>
        <v>404.58585999999997</v>
      </c>
      <c r="Y24" s="5">
        <f t="shared" si="11"/>
        <v>404.58585999999997</v>
      </c>
      <c r="Z24" s="35">
        <f t="shared" si="12"/>
        <v>181.0317074</v>
      </c>
      <c r="AA24"/>
      <c r="AC24" s="5">
        <f t="shared" si="13"/>
        <v>243.63878</v>
      </c>
      <c r="AD24" s="5">
        <f t="shared" si="14"/>
        <v>243.63878</v>
      </c>
      <c r="AE24" s="35">
        <f t="shared" si="15"/>
        <v>109.0160302</v>
      </c>
      <c r="AF24"/>
      <c r="AH24" s="5">
        <f t="shared" si="16"/>
        <v>1810.7362</v>
      </c>
      <c r="AI24" s="5">
        <f t="shared" si="17"/>
        <v>1810.7362</v>
      </c>
      <c r="AJ24" s="35">
        <f t="shared" si="18"/>
        <v>810.2128580000001</v>
      </c>
      <c r="AK24"/>
      <c r="AM24" s="5">
        <f t="shared" si="19"/>
        <v>561.12924</v>
      </c>
      <c r="AN24" s="5">
        <f t="shared" si="20"/>
        <v>561.12924</v>
      </c>
      <c r="AO24" s="35">
        <f t="shared" si="21"/>
        <v>251.0769516</v>
      </c>
      <c r="AP24"/>
      <c r="AR24" s="5">
        <f t="shared" si="22"/>
        <v>1056.43132</v>
      </c>
      <c r="AS24" s="5">
        <f t="shared" si="23"/>
        <v>1056.43132</v>
      </c>
      <c r="AT24" s="35">
        <f t="shared" si="24"/>
        <v>472.6995788</v>
      </c>
      <c r="AU24"/>
      <c r="AW24" s="5">
        <f t="shared" si="25"/>
        <v>223.70795999999999</v>
      </c>
      <c r="AX24" s="5">
        <f t="shared" si="26"/>
        <v>223.70795999999999</v>
      </c>
      <c r="AY24" s="35">
        <f t="shared" si="27"/>
        <v>100.0979964</v>
      </c>
      <c r="AZ24"/>
      <c r="BB24" s="5">
        <f t="shared" si="28"/>
        <v>3988.87146</v>
      </c>
      <c r="BC24" s="5">
        <f t="shared" si="29"/>
        <v>3988.87146</v>
      </c>
      <c r="BD24" s="35">
        <f t="shared" si="30"/>
        <v>1784.8182113999999</v>
      </c>
      <c r="BE24"/>
      <c r="BF24" s="36"/>
      <c r="BG24" s="5">
        <f t="shared" si="31"/>
        <v>1846.87916</v>
      </c>
      <c r="BH24" s="36">
        <f t="shared" si="32"/>
        <v>1846.87916</v>
      </c>
      <c r="BI24" s="35">
        <f t="shared" si="33"/>
        <v>826.3850044</v>
      </c>
      <c r="BJ24"/>
      <c r="BL24" s="5">
        <f t="shared" si="34"/>
        <v>884.5239200000001</v>
      </c>
      <c r="BM24" s="5">
        <f t="shared" si="35"/>
        <v>884.5239200000001</v>
      </c>
      <c r="BN24" s="35">
        <f t="shared" si="36"/>
        <v>395.7797128</v>
      </c>
      <c r="BO24"/>
      <c r="BP24" s="5">
        <f t="shared" si="37"/>
        <v>0</v>
      </c>
      <c r="BQ24" s="5">
        <f t="shared" si="38"/>
        <v>130.51262</v>
      </c>
      <c r="BR24" s="5">
        <f t="shared" si="39"/>
        <v>130.51262</v>
      </c>
      <c r="BS24" s="35">
        <f t="shared" si="40"/>
        <v>58.397795800000004</v>
      </c>
      <c r="BT24"/>
      <c r="BV24" s="5">
        <f t="shared" si="41"/>
        <v>578.64618</v>
      </c>
      <c r="BW24" s="5">
        <f t="shared" si="42"/>
        <v>578.64618</v>
      </c>
      <c r="BX24" s="35">
        <f t="shared" si="43"/>
        <v>258.9148962</v>
      </c>
      <c r="BY24"/>
      <c r="CA24" s="5">
        <f t="shared" si="44"/>
        <v>79.69066</v>
      </c>
      <c r="CB24" s="5">
        <f t="shared" si="45"/>
        <v>79.69066</v>
      </c>
      <c r="CC24" s="35">
        <f t="shared" si="46"/>
        <v>35.6575394</v>
      </c>
      <c r="CD24"/>
      <c r="CF24" s="5">
        <f t="shared" si="47"/>
        <v>1662.44568</v>
      </c>
      <c r="CG24" s="5">
        <f t="shared" si="48"/>
        <v>1662.44568</v>
      </c>
      <c r="CH24" s="35">
        <f t="shared" si="49"/>
        <v>743.8603512</v>
      </c>
      <c r="CI24"/>
      <c r="CK24" s="5">
        <f t="shared" si="50"/>
        <v>322.02464</v>
      </c>
      <c r="CL24" s="5">
        <f t="shared" si="51"/>
        <v>322.02464</v>
      </c>
      <c r="CM24" s="35">
        <f t="shared" si="52"/>
        <v>144.08973759999998</v>
      </c>
      <c r="CN24"/>
      <c r="CP24" s="5">
        <f t="shared" si="53"/>
        <v>426.04981999999995</v>
      </c>
      <c r="CQ24" s="36">
        <f t="shared" si="54"/>
        <v>426.04981999999995</v>
      </c>
      <c r="CR24" s="35">
        <f t="shared" si="55"/>
        <v>190.6357438</v>
      </c>
      <c r="CS24"/>
      <c r="CU24" s="5">
        <f t="shared" si="56"/>
        <v>1384.9799600000001</v>
      </c>
      <c r="CV24" s="36">
        <f t="shared" si="57"/>
        <v>1384.9799600000001</v>
      </c>
      <c r="CW24" s="35">
        <f t="shared" si="58"/>
        <v>619.7084764</v>
      </c>
      <c r="CZ24" s="5">
        <f t="shared" si="59"/>
        <v>814.22782</v>
      </c>
      <c r="DA24" s="5">
        <f t="shared" si="60"/>
        <v>814.22782</v>
      </c>
      <c r="DB24" s="35">
        <f t="shared" si="61"/>
        <v>364.32576379999995</v>
      </c>
      <c r="DE24" s="5">
        <f t="shared" si="62"/>
        <v>919.13374</v>
      </c>
      <c r="DF24" s="5">
        <f t="shared" si="63"/>
        <v>919.13374</v>
      </c>
      <c r="DG24" s="35">
        <f t="shared" si="64"/>
        <v>411.26585659999995</v>
      </c>
      <c r="DJ24" s="5">
        <f t="shared" si="65"/>
        <v>10641.72046</v>
      </c>
      <c r="DK24" s="5">
        <f t="shared" si="66"/>
        <v>10641.72046</v>
      </c>
      <c r="DL24" s="35">
        <f t="shared" si="67"/>
        <v>4761.6316214</v>
      </c>
      <c r="DO24" s="5">
        <f t="shared" si="68"/>
        <v>391.83144</v>
      </c>
      <c r="DP24" s="36">
        <f t="shared" si="69"/>
        <v>391.83144</v>
      </c>
      <c r="DQ24" s="35">
        <f t="shared" si="70"/>
        <v>175.3247496</v>
      </c>
      <c r="DT24" s="36">
        <f t="shared" si="71"/>
        <v>346.84846000000005</v>
      </c>
      <c r="DU24" s="36">
        <f t="shared" si="72"/>
        <v>346.84846000000005</v>
      </c>
      <c r="DV24" s="35">
        <f t="shared" si="73"/>
        <v>155.19714140000002</v>
      </c>
      <c r="DW24"/>
    </row>
    <row r="25" spans="1:127" ht="12.75">
      <c r="A25" s="37">
        <v>46478</v>
      </c>
      <c r="C25" s="3">
        <v>0</v>
      </c>
      <c r="D25" s="3">
        <v>326200</v>
      </c>
      <c r="E25" s="35">
        <f t="shared" si="0"/>
        <v>326200</v>
      </c>
      <c r="F25" s="35">
        <f>'2011A'!F25</f>
        <v>145958</v>
      </c>
      <c r="H25" s="46">
        <f t="shared" si="74"/>
        <v>0</v>
      </c>
      <c r="I25" s="36">
        <f t="shared" si="1"/>
        <v>49165.5164</v>
      </c>
      <c r="J25" s="36">
        <f t="shared" si="2"/>
        <v>49165.5164</v>
      </c>
      <c r="K25" s="36">
        <f t="shared" si="3"/>
        <v>21999.081675999998</v>
      </c>
      <c r="L25"/>
      <c r="M25" s="5">
        <f t="shared" si="75"/>
        <v>0</v>
      </c>
      <c r="N25" s="5">
        <f t="shared" si="4"/>
        <v>20437.865279999998</v>
      </c>
      <c r="O25" s="5">
        <f t="shared" si="5"/>
        <v>20437.865279999998</v>
      </c>
      <c r="P25" s="35">
        <f t="shared" si="6"/>
        <v>9144.9109152</v>
      </c>
      <c r="Q25"/>
      <c r="R25" s="5">
        <f t="shared" si="76"/>
        <v>0</v>
      </c>
      <c r="S25" s="36">
        <f t="shared" si="7"/>
        <v>9.03574</v>
      </c>
      <c r="T25" s="36">
        <f t="shared" si="8"/>
        <v>9.03574</v>
      </c>
      <c r="U25" s="35">
        <f t="shared" si="9"/>
        <v>4.0430366</v>
      </c>
      <c r="V25"/>
      <c r="W25" s="5">
        <f t="shared" si="77"/>
        <v>0</v>
      </c>
      <c r="X25" s="5">
        <f t="shared" si="10"/>
        <v>404.58585999999997</v>
      </c>
      <c r="Y25" s="5">
        <f t="shared" si="11"/>
        <v>404.58585999999997</v>
      </c>
      <c r="Z25" s="35">
        <f t="shared" si="12"/>
        <v>181.0317074</v>
      </c>
      <c r="AA25"/>
      <c r="AB25" s="5">
        <f t="shared" si="78"/>
        <v>0</v>
      </c>
      <c r="AC25" s="5">
        <f t="shared" si="13"/>
        <v>243.63878</v>
      </c>
      <c r="AD25" s="5">
        <f t="shared" si="14"/>
        <v>243.63878</v>
      </c>
      <c r="AE25" s="35">
        <f t="shared" si="15"/>
        <v>109.0160302</v>
      </c>
      <c r="AF25"/>
      <c r="AG25" s="5">
        <f t="shared" si="79"/>
        <v>0</v>
      </c>
      <c r="AH25" s="5">
        <f t="shared" si="16"/>
        <v>1810.7362</v>
      </c>
      <c r="AI25" s="5">
        <f t="shared" si="17"/>
        <v>1810.7362</v>
      </c>
      <c r="AJ25" s="35">
        <f t="shared" si="18"/>
        <v>810.2128580000001</v>
      </c>
      <c r="AK25"/>
      <c r="AL25" s="5">
        <f t="shared" si="80"/>
        <v>0</v>
      </c>
      <c r="AM25" s="5">
        <f t="shared" si="19"/>
        <v>561.12924</v>
      </c>
      <c r="AN25" s="5">
        <f t="shared" si="20"/>
        <v>561.12924</v>
      </c>
      <c r="AO25" s="35">
        <f t="shared" si="21"/>
        <v>251.0769516</v>
      </c>
      <c r="AP25"/>
      <c r="AQ25" s="5">
        <f t="shared" si="81"/>
        <v>0</v>
      </c>
      <c r="AR25" s="5">
        <f t="shared" si="22"/>
        <v>1056.43132</v>
      </c>
      <c r="AS25" s="5">
        <f t="shared" si="23"/>
        <v>1056.43132</v>
      </c>
      <c r="AT25" s="35">
        <f t="shared" si="24"/>
        <v>472.6995788</v>
      </c>
      <c r="AU25"/>
      <c r="AV25" s="5">
        <f t="shared" si="82"/>
        <v>0</v>
      </c>
      <c r="AW25" s="5">
        <f t="shared" si="25"/>
        <v>223.70795999999999</v>
      </c>
      <c r="AX25" s="5">
        <f t="shared" si="26"/>
        <v>223.70795999999999</v>
      </c>
      <c r="AY25" s="35">
        <f t="shared" si="27"/>
        <v>100.0979964</v>
      </c>
      <c r="AZ25"/>
      <c r="BA25" s="5">
        <f t="shared" si="83"/>
        <v>0</v>
      </c>
      <c r="BB25" s="5">
        <f t="shared" si="28"/>
        <v>3988.87146</v>
      </c>
      <c r="BC25" s="5">
        <f t="shared" si="29"/>
        <v>3988.87146</v>
      </c>
      <c r="BD25" s="35">
        <f t="shared" si="30"/>
        <v>1784.8182113999999</v>
      </c>
      <c r="BE25"/>
      <c r="BF25" s="36">
        <f t="shared" si="84"/>
        <v>0</v>
      </c>
      <c r="BG25" s="5">
        <f t="shared" si="31"/>
        <v>1846.87916</v>
      </c>
      <c r="BH25" s="36">
        <f t="shared" si="32"/>
        <v>1846.87916</v>
      </c>
      <c r="BI25" s="35">
        <f t="shared" si="33"/>
        <v>826.3850044</v>
      </c>
      <c r="BJ25"/>
      <c r="BK25" s="5">
        <f t="shared" si="85"/>
        <v>0</v>
      </c>
      <c r="BL25" s="5">
        <f t="shared" si="34"/>
        <v>884.5239200000001</v>
      </c>
      <c r="BM25" s="5">
        <f t="shared" si="35"/>
        <v>884.5239200000001</v>
      </c>
      <c r="BN25" s="35">
        <f t="shared" si="36"/>
        <v>395.7797128</v>
      </c>
      <c r="BO25"/>
      <c r="BP25" s="5">
        <f t="shared" si="37"/>
        <v>0</v>
      </c>
      <c r="BQ25" s="5">
        <f t="shared" si="38"/>
        <v>130.51262</v>
      </c>
      <c r="BR25" s="5">
        <f t="shared" si="39"/>
        <v>130.51262</v>
      </c>
      <c r="BS25" s="35">
        <f t="shared" si="40"/>
        <v>58.397795800000004</v>
      </c>
      <c r="BT25"/>
      <c r="BU25" s="5">
        <f t="shared" si="86"/>
        <v>0</v>
      </c>
      <c r="BV25" s="5">
        <f t="shared" si="41"/>
        <v>578.64618</v>
      </c>
      <c r="BW25" s="5">
        <f t="shared" si="42"/>
        <v>578.64618</v>
      </c>
      <c r="BX25" s="35">
        <f t="shared" si="43"/>
        <v>258.9148962</v>
      </c>
      <c r="BY25"/>
      <c r="BZ25" s="5">
        <f t="shared" si="87"/>
        <v>0</v>
      </c>
      <c r="CA25" s="5">
        <f t="shared" si="44"/>
        <v>79.69066</v>
      </c>
      <c r="CB25" s="5">
        <f t="shared" si="45"/>
        <v>79.69066</v>
      </c>
      <c r="CC25" s="35">
        <f t="shared" si="46"/>
        <v>35.6575394</v>
      </c>
      <c r="CD25"/>
      <c r="CE25" s="5">
        <f t="shared" si="88"/>
        <v>0</v>
      </c>
      <c r="CF25" s="5">
        <f t="shared" si="47"/>
        <v>1662.44568</v>
      </c>
      <c r="CG25" s="5">
        <f t="shared" si="48"/>
        <v>1662.44568</v>
      </c>
      <c r="CH25" s="35">
        <f t="shared" si="49"/>
        <v>743.8603512</v>
      </c>
      <c r="CI25"/>
      <c r="CJ25" s="5">
        <f t="shared" si="89"/>
        <v>0</v>
      </c>
      <c r="CK25" s="5">
        <f t="shared" si="50"/>
        <v>322.02464</v>
      </c>
      <c r="CL25" s="5">
        <f t="shared" si="51"/>
        <v>322.02464</v>
      </c>
      <c r="CM25" s="35">
        <f t="shared" si="52"/>
        <v>144.08973759999998</v>
      </c>
      <c r="CN25"/>
      <c r="CO25" s="5">
        <f t="shared" si="90"/>
        <v>0</v>
      </c>
      <c r="CP25" s="5">
        <f t="shared" si="53"/>
        <v>426.04981999999995</v>
      </c>
      <c r="CQ25" s="36">
        <f t="shared" si="54"/>
        <v>426.04981999999995</v>
      </c>
      <c r="CR25" s="35">
        <f t="shared" si="55"/>
        <v>190.6357438</v>
      </c>
      <c r="CS25"/>
      <c r="CT25" s="5">
        <f t="shared" si="91"/>
        <v>0</v>
      </c>
      <c r="CU25" s="5">
        <f t="shared" si="56"/>
        <v>1384.9799600000001</v>
      </c>
      <c r="CV25" s="36">
        <f t="shared" si="57"/>
        <v>1384.9799600000001</v>
      </c>
      <c r="CW25" s="35">
        <f t="shared" si="58"/>
        <v>619.7084764</v>
      </c>
      <c r="CY25" s="5">
        <f t="shared" si="92"/>
        <v>0</v>
      </c>
      <c r="CZ25" s="5">
        <f t="shared" si="59"/>
        <v>814.22782</v>
      </c>
      <c r="DA25" s="5">
        <f t="shared" si="60"/>
        <v>814.22782</v>
      </c>
      <c r="DB25" s="35">
        <f t="shared" si="61"/>
        <v>364.32576379999995</v>
      </c>
      <c r="DD25" s="5">
        <f t="shared" si="93"/>
        <v>0</v>
      </c>
      <c r="DE25" s="5">
        <f t="shared" si="62"/>
        <v>919.13374</v>
      </c>
      <c r="DF25" s="5">
        <f t="shared" si="63"/>
        <v>919.13374</v>
      </c>
      <c r="DG25" s="35">
        <f t="shared" si="64"/>
        <v>411.26585659999995</v>
      </c>
      <c r="DI25" s="5">
        <f t="shared" si="94"/>
        <v>0</v>
      </c>
      <c r="DJ25" s="5">
        <f t="shared" si="65"/>
        <v>10641.72046</v>
      </c>
      <c r="DK25" s="5">
        <f t="shared" si="66"/>
        <v>10641.72046</v>
      </c>
      <c r="DL25" s="35">
        <f t="shared" si="67"/>
        <v>4761.6316214</v>
      </c>
      <c r="DN25" s="5">
        <f t="shared" si="95"/>
        <v>0</v>
      </c>
      <c r="DO25" s="5">
        <f t="shared" si="68"/>
        <v>391.83144</v>
      </c>
      <c r="DP25" s="36">
        <f t="shared" si="69"/>
        <v>391.83144</v>
      </c>
      <c r="DQ25" s="35">
        <f t="shared" si="70"/>
        <v>175.3247496</v>
      </c>
      <c r="DS25" s="5">
        <f t="shared" si="96"/>
        <v>0</v>
      </c>
      <c r="DT25" s="36">
        <f t="shared" si="71"/>
        <v>346.84846000000005</v>
      </c>
      <c r="DU25" s="36">
        <f t="shared" si="72"/>
        <v>346.84846000000005</v>
      </c>
      <c r="DV25" s="35">
        <f t="shared" si="73"/>
        <v>155.19714140000002</v>
      </c>
      <c r="DW25"/>
    </row>
    <row r="26" spans="1:127" ht="12.75">
      <c r="A26" s="37">
        <v>46661</v>
      </c>
      <c r="D26" s="3">
        <v>326200</v>
      </c>
      <c r="E26" s="35">
        <f t="shared" si="0"/>
        <v>326200</v>
      </c>
      <c r="F26" s="35">
        <f>'2011A'!F26</f>
        <v>145958</v>
      </c>
      <c r="H26" s="46"/>
      <c r="I26" s="36">
        <f t="shared" si="1"/>
        <v>49165.5164</v>
      </c>
      <c r="J26" s="36">
        <f t="shared" si="2"/>
        <v>49165.5164</v>
      </c>
      <c r="K26" s="36">
        <f t="shared" si="3"/>
        <v>21999.081675999998</v>
      </c>
      <c r="L26"/>
      <c r="N26" s="5">
        <f t="shared" si="4"/>
        <v>20437.865279999998</v>
      </c>
      <c r="O26" s="5">
        <f t="shared" si="5"/>
        <v>20437.865279999998</v>
      </c>
      <c r="P26" s="35">
        <f t="shared" si="6"/>
        <v>9144.9109152</v>
      </c>
      <c r="Q26"/>
      <c r="S26" s="36">
        <f t="shared" si="7"/>
        <v>9.03574</v>
      </c>
      <c r="T26" s="36">
        <f t="shared" si="8"/>
        <v>9.03574</v>
      </c>
      <c r="U26" s="35">
        <f t="shared" si="9"/>
        <v>4.0430366</v>
      </c>
      <c r="V26"/>
      <c r="X26" s="5">
        <f t="shared" si="10"/>
        <v>404.58585999999997</v>
      </c>
      <c r="Y26" s="5">
        <f t="shared" si="11"/>
        <v>404.58585999999997</v>
      </c>
      <c r="Z26" s="35">
        <f t="shared" si="12"/>
        <v>181.0317074</v>
      </c>
      <c r="AA26"/>
      <c r="AC26" s="5">
        <f t="shared" si="13"/>
        <v>243.63878</v>
      </c>
      <c r="AD26" s="5">
        <f t="shared" si="14"/>
        <v>243.63878</v>
      </c>
      <c r="AE26" s="35">
        <f t="shared" si="15"/>
        <v>109.0160302</v>
      </c>
      <c r="AF26"/>
      <c r="AH26" s="5">
        <f t="shared" si="16"/>
        <v>1810.7362</v>
      </c>
      <c r="AI26" s="5">
        <f t="shared" si="17"/>
        <v>1810.7362</v>
      </c>
      <c r="AJ26" s="35">
        <f t="shared" si="18"/>
        <v>810.2128580000001</v>
      </c>
      <c r="AK26"/>
      <c r="AM26" s="5">
        <f t="shared" si="19"/>
        <v>561.12924</v>
      </c>
      <c r="AN26" s="5">
        <f t="shared" si="20"/>
        <v>561.12924</v>
      </c>
      <c r="AO26" s="35">
        <f t="shared" si="21"/>
        <v>251.0769516</v>
      </c>
      <c r="AP26"/>
      <c r="AR26" s="5">
        <f t="shared" si="22"/>
        <v>1056.43132</v>
      </c>
      <c r="AS26" s="5">
        <f t="shared" si="23"/>
        <v>1056.43132</v>
      </c>
      <c r="AT26" s="35">
        <f t="shared" si="24"/>
        <v>472.6995788</v>
      </c>
      <c r="AU26"/>
      <c r="AW26" s="5">
        <f t="shared" si="25"/>
        <v>223.70795999999999</v>
      </c>
      <c r="AX26" s="5">
        <f t="shared" si="26"/>
        <v>223.70795999999999</v>
      </c>
      <c r="AY26" s="35">
        <f t="shared" si="27"/>
        <v>100.0979964</v>
      </c>
      <c r="AZ26"/>
      <c r="BB26" s="5">
        <f t="shared" si="28"/>
        <v>3988.87146</v>
      </c>
      <c r="BC26" s="5">
        <f t="shared" si="29"/>
        <v>3988.87146</v>
      </c>
      <c r="BD26" s="35">
        <f t="shared" si="30"/>
        <v>1784.8182113999999</v>
      </c>
      <c r="BE26"/>
      <c r="BF26" s="36"/>
      <c r="BG26" s="5">
        <f t="shared" si="31"/>
        <v>1846.87916</v>
      </c>
      <c r="BH26" s="36">
        <f t="shared" si="32"/>
        <v>1846.87916</v>
      </c>
      <c r="BI26" s="35">
        <f t="shared" si="33"/>
        <v>826.3850044</v>
      </c>
      <c r="BJ26"/>
      <c r="BL26" s="5">
        <f t="shared" si="34"/>
        <v>884.5239200000001</v>
      </c>
      <c r="BM26" s="5">
        <f t="shared" si="35"/>
        <v>884.5239200000001</v>
      </c>
      <c r="BN26" s="35">
        <f t="shared" si="36"/>
        <v>395.7797128</v>
      </c>
      <c r="BO26"/>
      <c r="BP26" s="5">
        <f t="shared" si="37"/>
        <v>0</v>
      </c>
      <c r="BQ26" s="5">
        <f t="shared" si="38"/>
        <v>130.51262</v>
      </c>
      <c r="BR26" s="5">
        <f t="shared" si="39"/>
        <v>130.51262</v>
      </c>
      <c r="BS26" s="35">
        <f t="shared" si="40"/>
        <v>58.397795800000004</v>
      </c>
      <c r="BT26"/>
      <c r="BV26" s="5">
        <f t="shared" si="41"/>
        <v>578.64618</v>
      </c>
      <c r="BW26" s="5">
        <f t="shared" si="42"/>
        <v>578.64618</v>
      </c>
      <c r="BX26" s="35">
        <f t="shared" si="43"/>
        <v>258.9148962</v>
      </c>
      <c r="BY26"/>
      <c r="CA26" s="5">
        <f t="shared" si="44"/>
        <v>79.69066</v>
      </c>
      <c r="CB26" s="5">
        <f t="shared" si="45"/>
        <v>79.69066</v>
      </c>
      <c r="CC26" s="35">
        <f t="shared" si="46"/>
        <v>35.6575394</v>
      </c>
      <c r="CD26"/>
      <c r="CF26" s="5">
        <f t="shared" si="47"/>
        <v>1662.44568</v>
      </c>
      <c r="CG26" s="5">
        <f t="shared" si="48"/>
        <v>1662.44568</v>
      </c>
      <c r="CH26" s="35">
        <f t="shared" si="49"/>
        <v>743.8603512</v>
      </c>
      <c r="CI26"/>
      <c r="CK26" s="5">
        <f t="shared" si="50"/>
        <v>322.02464</v>
      </c>
      <c r="CL26" s="5">
        <f t="shared" si="51"/>
        <v>322.02464</v>
      </c>
      <c r="CM26" s="35">
        <f t="shared" si="52"/>
        <v>144.08973759999998</v>
      </c>
      <c r="CN26"/>
      <c r="CP26" s="5">
        <f t="shared" si="53"/>
        <v>426.04981999999995</v>
      </c>
      <c r="CQ26" s="36">
        <f t="shared" si="54"/>
        <v>426.04981999999995</v>
      </c>
      <c r="CR26" s="35">
        <f t="shared" si="55"/>
        <v>190.6357438</v>
      </c>
      <c r="CS26"/>
      <c r="CU26" s="5">
        <f t="shared" si="56"/>
        <v>1384.9799600000001</v>
      </c>
      <c r="CV26" s="36">
        <f t="shared" si="57"/>
        <v>1384.9799600000001</v>
      </c>
      <c r="CW26" s="35">
        <f t="shared" si="58"/>
        <v>619.7084764</v>
      </c>
      <c r="CZ26" s="5">
        <f t="shared" si="59"/>
        <v>814.22782</v>
      </c>
      <c r="DA26" s="5">
        <f t="shared" si="60"/>
        <v>814.22782</v>
      </c>
      <c r="DB26" s="35">
        <f t="shared" si="61"/>
        <v>364.32576379999995</v>
      </c>
      <c r="DE26" s="5">
        <f t="shared" si="62"/>
        <v>919.13374</v>
      </c>
      <c r="DF26" s="5">
        <f t="shared" si="63"/>
        <v>919.13374</v>
      </c>
      <c r="DG26" s="35">
        <f t="shared" si="64"/>
        <v>411.26585659999995</v>
      </c>
      <c r="DJ26" s="5">
        <f t="shared" si="65"/>
        <v>10641.72046</v>
      </c>
      <c r="DK26" s="5">
        <f t="shared" si="66"/>
        <v>10641.72046</v>
      </c>
      <c r="DL26" s="35">
        <f t="shared" si="67"/>
        <v>4761.6316214</v>
      </c>
      <c r="DO26" s="5">
        <f t="shared" si="68"/>
        <v>391.83144</v>
      </c>
      <c r="DP26" s="36">
        <f t="shared" si="69"/>
        <v>391.83144</v>
      </c>
      <c r="DQ26" s="35">
        <f t="shared" si="70"/>
        <v>175.3247496</v>
      </c>
      <c r="DT26" s="36">
        <f t="shared" si="71"/>
        <v>346.84846000000005</v>
      </c>
      <c r="DU26" s="36">
        <f t="shared" si="72"/>
        <v>346.84846000000005</v>
      </c>
      <c r="DV26" s="35">
        <f t="shared" si="73"/>
        <v>155.19714140000002</v>
      </c>
      <c r="DW26"/>
    </row>
    <row r="27" spans="1:127" ht="12.75">
      <c r="A27" s="37">
        <v>46844</v>
      </c>
      <c r="C27" s="3">
        <v>0</v>
      </c>
      <c r="D27" s="3">
        <v>326200</v>
      </c>
      <c r="E27" s="35">
        <f t="shared" si="0"/>
        <v>326200</v>
      </c>
      <c r="F27" s="35">
        <f>'2011A'!F27</f>
        <v>145958</v>
      </c>
      <c r="H27" s="46">
        <f t="shared" si="74"/>
        <v>0</v>
      </c>
      <c r="I27" s="36">
        <f t="shared" si="1"/>
        <v>49165.5164</v>
      </c>
      <c r="J27" s="36">
        <f t="shared" si="2"/>
        <v>49165.5164</v>
      </c>
      <c r="K27" s="36">
        <f t="shared" si="3"/>
        <v>21999.081675999998</v>
      </c>
      <c r="L27"/>
      <c r="M27" s="5">
        <f t="shared" si="75"/>
        <v>0</v>
      </c>
      <c r="N27" s="5">
        <f t="shared" si="4"/>
        <v>20437.865279999998</v>
      </c>
      <c r="O27" s="5">
        <f t="shared" si="5"/>
        <v>20437.865279999998</v>
      </c>
      <c r="P27" s="35">
        <f t="shared" si="6"/>
        <v>9144.9109152</v>
      </c>
      <c r="Q27"/>
      <c r="R27" s="5">
        <f t="shared" si="76"/>
        <v>0</v>
      </c>
      <c r="S27" s="36">
        <f t="shared" si="7"/>
        <v>9.03574</v>
      </c>
      <c r="T27" s="36">
        <f t="shared" si="8"/>
        <v>9.03574</v>
      </c>
      <c r="U27" s="35">
        <f t="shared" si="9"/>
        <v>4.0430366</v>
      </c>
      <c r="V27"/>
      <c r="W27" s="5">
        <f t="shared" si="77"/>
        <v>0</v>
      </c>
      <c r="X27" s="5">
        <f t="shared" si="10"/>
        <v>404.58585999999997</v>
      </c>
      <c r="Y27" s="5">
        <f t="shared" si="11"/>
        <v>404.58585999999997</v>
      </c>
      <c r="Z27" s="35">
        <f t="shared" si="12"/>
        <v>181.0317074</v>
      </c>
      <c r="AA27"/>
      <c r="AB27" s="5">
        <f t="shared" si="78"/>
        <v>0</v>
      </c>
      <c r="AC27" s="5">
        <f t="shared" si="13"/>
        <v>243.63878</v>
      </c>
      <c r="AD27" s="5">
        <f t="shared" si="14"/>
        <v>243.63878</v>
      </c>
      <c r="AE27" s="35">
        <f t="shared" si="15"/>
        <v>109.0160302</v>
      </c>
      <c r="AF27"/>
      <c r="AG27" s="5">
        <f t="shared" si="79"/>
        <v>0</v>
      </c>
      <c r="AH27" s="5">
        <f t="shared" si="16"/>
        <v>1810.7362</v>
      </c>
      <c r="AI27" s="5">
        <f t="shared" si="17"/>
        <v>1810.7362</v>
      </c>
      <c r="AJ27" s="35">
        <f t="shared" si="18"/>
        <v>810.2128580000001</v>
      </c>
      <c r="AK27"/>
      <c r="AL27" s="5">
        <f t="shared" si="80"/>
        <v>0</v>
      </c>
      <c r="AM27" s="5">
        <f t="shared" si="19"/>
        <v>561.12924</v>
      </c>
      <c r="AN27" s="5">
        <f t="shared" si="20"/>
        <v>561.12924</v>
      </c>
      <c r="AO27" s="35">
        <f t="shared" si="21"/>
        <v>251.0769516</v>
      </c>
      <c r="AP27"/>
      <c r="AQ27" s="5">
        <f t="shared" si="81"/>
        <v>0</v>
      </c>
      <c r="AR27" s="5">
        <f t="shared" si="22"/>
        <v>1056.43132</v>
      </c>
      <c r="AS27" s="5">
        <f t="shared" si="23"/>
        <v>1056.43132</v>
      </c>
      <c r="AT27" s="35">
        <f t="shared" si="24"/>
        <v>472.6995788</v>
      </c>
      <c r="AU27"/>
      <c r="AV27" s="5">
        <f t="shared" si="82"/>
        <v>0</v>
      </c>
      <c r="AW27" s="5">
        <f t="shared" si="25"/>
        <v>223.70795999999999</v>
      </c>
      <c r="AX27" s="5">
        <f t="shared" si="26"/>
        <v>223.70795999999999</v>
      </c>
      <c r="AY27" s="35">
        <f t="shared" si="27"/>
        <v>100.0979964</v>
      </c>
      <c r="AZ27"/>
      <c r="BA27" s="5">
        <f t="shared" si="83"/>
        <v>0</v>
      </c>
      <c r="BB27" s="5">
        <f t="shared" si="28"/>
        <v>3988.87146</v>
      </c>
      <c r="BC27" s="5">
        <f t="shared" si="29"/>
        <v>3988.87146</v>
      </c>
      <c r="BD27" s="35">
        <f t="shared" si="30"/>
        <v>1784.8182113999999</v>
      </c>
      <c r="BE27"/>
      <c r="BF27" s="36">
        <f t="shared" si="84"/>
        <v>0</v>
      </c>
      <c r="BG27" s="5">
        <f t="shared" si="31"/>
        <v>1846.87916</v>
      </c>
      <c r="BH27" s="36">
        <f t="shared" si="32"/>
        <v>1846.87916</v>
      </c>
      <c r="BI27" s="35">
        <f t="shared" si="33"/>
        <v>826.3850044</v>
      </c>
      <c r="BJ27"/>
      <c r="BK27" s="5">
        <f t="shared" si="85"/>
        <v>0</v>
      </c>
      <c r="BL27" s="5">
        <f t="shared" si="34"/>
        <v>884.5239200000001</v>
      </c>
      <c r="BM27" s="5">
        <f t="shared" si="35"/>
        <v>884.5239200000001</v>
      </c>
      <c r="BN27" s="35">
        <f t="shared" si="36"/>
        <v>395.7797128</v>
      </c>
      <c r="BO27"/>
      <c r="BP27" s="5">
        <f t="shared" si="37"/>
        <v>0</v>
      </c>
      <c r="BQ27" s="5">
        <f t="shared" si="38"/>
        <v>130.51262</v>
      </c>
      <c r="BR27" s="5">
        <f t="shared" si="39"/>
        <v>130.51262</v>
      </c>
      <c r="BS27" s="35">
        <f t="shared" si="40"/>
        <v>58.397795800000004</v>
      </c>
      <c r="BT27"/>
      <c r="BU27" s="5">
        <f t="shared" si="86"/>
        <v>0</v>
      </c>
      <c r="BV27" s="5">
        <f t="shared" si="41"/>
        <v>578.64618</v>
      </c>
      <c r="BW27" s="5">
        <f t="shared" si="42"/>
        <v>578.64618</v>
      </c>
      <c r="BX27" s="35">
        <f t="shared" si="43"/>
        <v>258.9148962</v>
      </c>
      <c r="BY27"/>
      <c r="BZ27" s="5">
        <f t="shared" si="87"/>
        <v>0</v>
      </c>
      <c r="CA27" s="5">
        <f t="shared" si="44"/>
        <v>79.69066</v>
      </c>
      <c r="CB27" s="5">
        <f t="shared" si="45"/>
        <v>79.69066</v>
      </c>
      <c r="CC27" s="35">
        <f t="shared" si="46"/>
        <v>35.6575394</v>
      </c>
      <c r="CD27"/>
      <c r="CE27" s="5">
        <f t="shared" si="88"/>
        <v>0</v>
      </c>
      <c r="CF27" s="5">
        <f t="shared" si="47"/>
        <v>1662.44568</v>
      </c>
      <c r="CG27" s="5">
        <f t="shared" si="48"/>
        <v>1662.44568</v>
      </c>
      <c r="CH27" s="35">
        <f t="shared" si="49"/>
        <v>743.8603512</v>
      </c>
      <c r="CI27"/>
      <c r="CJ27" s="5">
        <f t="shared" si="89"/>
        <v>0</v>
      </c>
      <c r="CK27" s="5">
        <f t="shared" si="50"/>
        <v>322.02464</v>
      </c>
      <c r="CL27" s="5">
        <f t="shared" si="51"/>
        <v>322.02464</v>
      </c>
      <c r="CM27" s="35">
        <f t="shared" si="52"/>
        <v>144.08973759999998</v>
      </c>
      <c r="CN27"/>
      <c r="CO27" s="5">
        <f t="shared" si="90"/>
        <v>0</v>
      </c>
      <c r="CP27" s="5">
        <f t="shared" si="53"/>
        <v>426.04981999999995</v>
      </c>
      <c r="CQ27" s="36">
        <f t="shared" si="54"/>
        <v>426.04981999999995</v>
      </c>
      <c r="CR27" s="35">
        <f t="shared" si="55"/>
        <v>190.6357438</v>
      </c>
      <c r="CS27"/>
      <c r="CT27" s="5">
        <f t="shared" si="91"/>
        <v>0</v>
      </c>
      <c r="CU27" s="5">
        <f t="shared" si="56"/>
        <v>1384.9799600000001</v>
      </c>
      <c r="CV27" s="36">
        <f t="shared" si="57"/>
        <v>1384.9799600000001</v>
      </c>
      <c r="CW27" s="35">
        <f t="shared" si="58"/>
        <v>619.7084764</v>
      </c>
      <c r="CY27" s="5">
        <f t="shared" si="92"/>
        <v>0</v>
      </c>
      <c r="CZ27" s="5">
        <f t="shared" si="59"/>
        <v>814.22782</v>
      </c>
      <c r="DA27" s="5">
        <f t="shared" si="60"/>
        <v>814.22782</v>
      </c>
      <c r="DB27" s="35">
        <f t="shared" si="61"/>
        <v>364.32576379999995</v>
      </c>
      <c r="DD27" s="5">
        <f t="shared" si="93"/>
        <v>0</v>
      </c>
      <c r="DE27" s="5">
        <f t="shared" si="62"/>
        <v>919.13374</v>
      </c>
      <c r="DF27" s="5">
        <f t="shared" si="63"/>
        <v>919.13374</v>
      </c>
      <c r="DG27" s="35">
        <f t="shared" si="64"/>
        <v>411.26585659999995</v>
      </c>
      <c r="DI27" s="5">
        <f t="shared" si="94"/>
        <v>0</v>
      </c>
      <c r="DJ27" s="5">
        <f t="shared" si="65"/>
        <v>10641.72046</v>
      </c>
      <c r="DK27" s="5">
        <f t="shared" si="66"/>
        <v>10641.72046</v>
      </c>
      <c r="DL27" s="35">
        <f t="shared" si="67"/>
        <v>4761.6316214</v>
      </c>
      <c r="DN27" s="5">
        <f t="shared" si="95"/>
        <v>0</v>
      </c>
      <c r="DO27" s="5">
        <f t="shared" si="68"/>
        <v>391.83144</v>
      </c>
      <c r="DP27" s="36">
        <f t="shared" si="69"/>
        <v>391.83144</v>
      </c>
      <c r="DQ27" s="35">
        <f t="shared" si="70"/>
        <v>175.3247496</v>
      </c>
      <c r="DS27" s="5">
        <f t="shared" si="96"/>
        <v>0</v>
      </c>
      <c r="DT27" s="36">
        <f t="shared" si="71"/>
        <v>346.84846000000005</v>
      </c>
      <c r="DU27" s="36">
        <f t="shared" si="72"/>
        <v>346.84846000000005</v>
      </c>
      <c r="DV27" s="35">
        <f t="shared" si="73"/>
        <v>155.19714140000002</v>
      </c>
      <c r="DW27"/>
    </row>
    <row r="28" spans="1:127" ht="12.75">
      <c r="A28" s="37">
        <v>47027</v>
      </c>
      <c r="D28" s="3">
        <v>326200</v>
      </c>
      <c r="E28" s="35">
        <f t="shared" si="0"/>
        <v>326200</v>
      </c>
      <c r="F28" s="35">
        <f>'2011A'!F28</f>
        <v>145958</v>
      </c>
      <c r="H28" s="46"/>
      <c r="I28" s="36">
        <f t="shared" si="1"/>
        <v>49165.5164</v>
      </c>
      <c r="J28" s="36">
        <f t="shared" si="2"/>
        <v>49165.5164</v>
      </c>
      <c r="K28" s="36">
        <f t="shared" si="3"/>
        <v>21999.081675999998</v>
      </c>
      <c r="L28"/>
      <c r="N28" s="5">
        <f t="shared" si="4"/>
        <v>20437.865279999998</v>
      </c>
      <c r="O28" s="5">
        <f t="shared" si="5"/>
        <v>20437.865279999998</v>
      </c>
      <c r="P28" s="35">
        <f t="shared" si="6"/>
        <v>9144.9109152</v>
      </c>
      <c r="Q28"/>
      <c r="S28" s="36">
        <f t="shared" si="7"/>
        <v>9.03574</v>
      </c>
      <c r="T28" s="36">
        <f t="shared" si="8"/>
        <v>9.03574</v>
      </c>
      <c r="U28" s="35">
        <f t="shared" si="9"/>
        <v>4.0430366</v>
      </c>
      <c r="V28"/>
      <c r="X28" s="5">
        <f t="shared" si="10"/>
        <v>404.58585999999997</v>
      </c>
      <c r="Y28" s="5">
        <f t="shared" si="11"/>
        <v>404.58585999999997</v>
      </c>
      <c r="Z28" s="35">
        <f t="shared" si="12"/>
        <v>181.0317074</v>
      </c>
      <c r="AA28"/>
      <c r="AC28" s="5">
        <f t="shared" si="13"/>
        <v>243.63878</v>
      </c>
      <c r="AD28" s="5">
        <f t="shared" si="14"/>
        <v>243.63878</v>
      </c>
      <c r="AE28" s="35">
        <f t="shared" si="15"/>
        <v>109.0160302</v>
      </c>
      <c r="AF28"/>
      <c r="AH28" s="5">
        <f t="shared" si="16"/>
        <v>1810.7362</v>
      </c>
      <c r="AI28" s="5">
        <f t="shared" si="17"/>
        <v>1810.7362</v>
      </c>
      <c r="AJ28" s="35">
        <f t="shared" si="18"/>
        <v>810.2128580000001</v>
      </c>
      <c r="AK28"/>
      <c r="AM28" s="5">
        <f t="shared" si="19"/>
        <v>561.12924</v>
      </c>
      <c r="AN28" s="5">
        <f t="shared" si="20"/>
        <v>561.12924</v>
      </c>
      <c r="AO28" s="35">
        <f t="shared" si="21"/>
        <v>251.0769516</v>
      </c>
      <c r="AP28"/>
      <c r="AR28" s="5">
        <f t="shared" si="22"/>
        <v>1056.43132</v>
      </c>
      <c r="AS28" s="5">
        <f t="shared" si="23"/>
        <v>1056.43132</v>
      </c>
      <c r="AT28" s="35">
        <f t="shared" si="24"/>
        <v>472.6995788</v>
      </c>
      <c r="AU28"/>
      <c r="AW28" s="5">
        <f t="shared" si="25"/>
        <v>223.70795999999999</v>
      </c>
      <c r="AX28" s="5">
        <f t="shared" si="26"/>
        <v>223.70795999999999</v>
      </c>
      <c r="AY28" s="35">
        <f t="shared" si="27"/>
        <v>100.0979964</v>
      </c>
      <c r="AZ28"/>
      <c r="BB28" s="5">
        <f t="shared" si="28"/>
        <v>3988.87146</v>
      </c>
      <c r="BC28" s="5">
        <f t="shared" si="29"/>
        <v>3988.87146</v>
      </c>
      <c r="BD28" s="35">
        <f t="shared" si="30"/>
        <v>1784.8182113999999</v>
      </c>
      <c r="BE28"/>
      <c r="BF28" s="36"/>
      <c r="BG28" s="5">
        <f t="shared" si="31"/>
        <v>1846.87916</v>
      </c>
      <c r="BH28" s="36">
        <f t="shared" si="32"/>
        <v>1846.87916</v>
      </c>
      <c r="BI28" s="35">
        <f t="shared" si="33"/>
        <v>826.3850044</v>
      </c>
      <c r="BJ28"/>
      <c r="BL28" s="5">
        <f t="shared" si="34"/>
        <v>884.5239200000001</v>
      </c>
      <c r="BM28" s="5">
        <f t="shared" si="35"/>
        <v>884.5239200000001</v>
      </c>
      <c r="BN28" s="35">
        <f t="shared" si="36"/>
        <v>395.7797128</v>
      </c>
      <c r="BO28"/>
      <c r="BP28" s="5">
        <f t="shared" si="37"/>
        <v>0</v>
      </c>
      <c r="BQ28" s="5">
        <f t="shared" si="38"/>
        <v>130.51262</v>
      </c>
      <c r="BR28" s="5">
        <f t="shared" si="39"/>
        <v>130.51262</v>
      </c>
      <c r="BS28" s="35">
        <f t="shared" si="40"/>
        <v>58.397795800000004</v>
      </c>
      <c r="BT28"/>
      <c r="BV28" s="5">
        <f t="shared" si="41"/>
        <v>578.64618</v>
      </c>
      <c r="BW28" s="5">
        <f t="shared" si="42"/>
        <v>578.64618</v>
      </c>
      <c r="BX28" s="35">
        <f t="shared" si="43"/>
        <v>258.9148962</v>
      </c>
      <c r="BY28"/>
      <c r="CA28" s="5">
        <f t="shared" si="44"/>
        <v>79.69066</v>
      </c>
      <c r="CB28" s="5">
        <f t="shared" si="45"/>
        <v>79.69066</v>
      </c>
      <c r="CC28" s="35">
        <f t="shared" si="46"/>
        <v>35.6575394</v>
      </c>
      <c r="CD28"/>
      <c r="CF28" s="5">
        <f t="shared" si="47"/>
        <v>1662.44568</v>
      </c>
      <c r="CG28" s="5">
        <f t="shared" si="48"/>
        <v>1662.44568</v>
      </c>
      <c r="CH28" s="35">
        <f t="shared" si="49"/>
        <v>743.8603512</v>
      </c>
      <c r="CI28"/>
      <c r="CK28" s="5">
        <f t="shared" si="50"/>
        <v>322.02464</v>
      </c>
      <c r="CL28" s="5">
        <f t="shared" si="51"/>
        <v>322.02464</v>
      </c>
      <c r="CM28" s="35">
        <f t="shared" si="52"/>
        <v>144.08973759999998</v>
      </c>
      <c r="CN28"/>
      <c r="CP28" s="5">
        <f t="shared" si="53"/>
        <v>426.04981999999995</v>
      </c>
      <c r="CQ28" s="36">
        <f t="shared" si="54"/>
        <v>426.04981999999995</v>
      </c>
      <c r="CR28" s="35">
        <f t="shared" si="55"/>
        <v>190.6357438</v>
      </c>
      <c r="CS28"/>
      <c r="CU28" s="5">
        <f t="shared" si="56"/>
        <v>1384.9799600000001</v>
      </c>
      <c r="CV28" s="36">
        <f t="shared" si="57"/>
        <v>1384.9799600000001</v>
      </c>
      <c r="CW28" s="35">
        <f t="shared" si="58"/>
        <v>619.7084764</v>
      </c>
      <c r="CZ28" s="5">
        <f t="shared" si="59"/>
        <v>814.22782</v>
      </c>
      <c r="DA28" s="5">
        <f t="shared" si="60"/>
        <v>814.22782</v>
      </c>
      <c r="DB28" s="35">
        <f t="shared" si="61"/>
        <v>364.32576379999995</v>
      </c>
      <c r="DE28" s="5">
        <f t="shared" si="62"/>
        <v>919.13374</v>
      </c>
      <c r="DF28" s="5">
        <f t="shared" si="63"/>
        <v>919.13374</v>
      </c>
      <c r="DG28" s="35">
        <f t="shared" si="64"/>
        <v>411.26585659999995</v>
      </c>
      <c r="DJ28" s="5">
        <f t="shared" si="65"/>
        <v>10641.72046</v>
      </c>
      <c r="DK28" s="5">
        <f t="shared" si="66"/>
        <v>10641.72046</v>
      </c>
      <c r="DL28" s="35">
        <f t="shared" si="67"/>
        <v>4761.6316214</v>
      </c>
      <c r="DO28" s="5">
        <f t="shared" si="68"/>
        <v>391.83144</v>
      </c>
      <c r="DP28" s="36">
        <f t="shared" si="69"/>
        <v>391.83144</v>
      </c>
      <c r="DQ28" s="35">
        <f t="shared" si="70"/>
        <v>175.3247496</v>
      </c>
      <c r="DT28" s="36">
        <f t="shared" si="71"/>
        <v>346.84846000000005</v>
      </c>
      <c r="DU28" s="36">
        <f t="shared" si="72"/>
        <v>346.84846000000005</v>
      </c>
      <c r="DV28" s="35">
        <f t="shared" si="73"/>
        <v>155.19714140000002</v>
      </c>
      <c r="DW28"/>
    </row>
    <row r="29" spans="1:127" ht="12.75">
      <c r="A29" s="37">
        <v>47209</v>
      </c>
      <c r="C29" s="3">
        <v>7795000</v>
      </c>
      <c r="D29" s="3">
        <v>326200</v>
      </c>
      <c r="E29" s="35">
        <f t="shared" si="0"/>
        <v>8121200</v>
      </c>
      <c r="F29" s="35">
        <f>'2011A'!F29</f>
        <v>145958</v>
      </c>
      <c r="H29" s="46">
        <f t="shared" si="74"/>
        <v>1174877.99</v>
      </c>
      <c r="I29" s="36">
        <f t="shared" si="1"/>
        <v>49165.5164</v>
      </c>
      <c r="J29" s="36">
        <f t="shared" si="2"/>
        <v>1224043.5064</v>
      </c>
      <c r="K29" s="36">
        <f t="shared" si="3"/>
        <v>21999.081675999998</v>
      </c>
      <c r="L29"/>
      <c r="M29" s="5">
        <f t="shared" si="75"/>
        <v>488391.048</v>
      </c>
      <c r="N29" s="5">
        <f t="shared" si="4"/>
        <v>20437.865279999998</v>
      </c>
      <c r="O29" s="5">
        <f t="shared" si="5"/>
        <v>508828.91328</v>
      </c>
      <c r="P29" s="35">
        <f t="shared" si="6"/>
        <v>9144.9109152</v>
      </c>
      <c r="Q29"/>
      <c r="R29" s="5">
        <f t="shared" si="76"/>
        <v>215.92149999999998</v>
      </c>
      <c r="S29" s="36">
        <f t="shared" si="7"/>
        <v>9.03574</v>
      </c>
      <c r="T29" s="36">
        <f t="shared" si="8"/>
        <v>224.95723999999998</v>
      </c>
      <c r="U29" s="35">
        <f t="shared" si="9"/>
        <v>4.0430366</v>
      </c>
      <c r="V29"/>
      <c r="W29" s="5">
        <f t="shared" si="77"/>
        <v>9668.1385</v>
      </c>
      <c r="X29" s="5">
        <f t="shared" si="10"/>
        <v>404.58585999999997</v>
      </c>
      <c r="Y29" s="5">
        <f t="shared" si="11"/>
        <v>10072.724359999998</v>
      </c>
      <c r="Z29" s="35">
        <f t="shared" si="12"/>
        <v>181.0317074</v>
      </c>
      <c r="AA29"/>
      <c r="AB29" s="5">
        <f t="shared" si="78"/>
        <v>5822.0855</v>
      </c>
      <c r="AC29" s="5">
        <f t="shared" si="13"/>
        <v>243.63878</v>
      </c>
      <c r="AD29" s="5">
        <f t="shared" si="14"/>
        <v>6065.72428</v>
      </c>
      <c r="AE29" s="35">
        <f t="shared" si="15"/>
        <v>109.0160302</v>
      </c>
      <c r="AF29"/>
      <c r="AG29" s="5">
        <f t="shared" si="79"/>
        <v>43270.045000000006</v>
      </c>
      <c r="AH29" s="5">
        <f t="shared" si="16"/>
        <v>1810.7362</v>
      </c>
      <c r="AI29" s="5">
        <f t="shared" si="17"/>
        <v>45080.781200000005</v>
      </c>
      <c r="AJ29" s="35">
        <f t="shared" si="18"/>
        <v>810.2128580000001</v>
      </c>
      <c r="AK29"/>
      <c r="AL29" s="5">
        <f t="shared" si="80"/>
        <v>13408.959</v>
      </c>
      <c r="AM29" s="5">
        <f t="shared" si="19"/>
        <v>561.12924</v>
      </c>
      <c r="AN29" s="5">
        <f t="shared" si="20"/>
        <v>13970.088240000001</v>
      </c>
      <c r="AO29" s="35">
        <f t="shared" si="21"/>
        <v>251.0769516</v>
      </c>
      <c r="AP29"/>
      <c r="AQ29" s="5">
        <f t="shared" si="81"/>
        <v>25244.887</v>
      </c>
      <c r="AR29" s="5">
        <f t="shared" si="22"/>
        <v>1056.43132</v>
      </c>
      <c r="AS29" s="5">
        <f t="shared" si="23"/>
        <v>26301.31832</v>
      </c>
      <c r="AT29" s="35">
        <f t="shared" si="24"/>
        <v>472.6995788</v>
      </c>
      <c r="AU29"/>
      <c r="AV29" s="5">
        <f t="shared" si="82"/>
        <v>5345.811</v>
      </c>
      <c r="AW29" s="5">
        <f t="shared" si="25"/>
        <v>223.70795999999999</v>
      </c>
      <c r="AX29" s="5">
        <f t="shared" si="26"/>
        <v>5569.518959999999</v>
      </c>
      <c r="AY29" s="35">
        <f t="shared" si="27"/>
        <v>100.0979964</v>
      </c>
      <c r="AZ29"/>
      <c r="BA29" s="5">
        <f t="shared" si="83"/>
        <v>95319.5985</v>
      </c>
      <c r="BB29" s="5">
        <f t="shared" si="28"/>
        <v>3988.87146</v>
      </c>
      <c r="BC29" s="5">
        <f t="shared" si="29"/>
        <v>99308.46995999999</v>
      </c>
      <c r="BD29" s="35">
        <f t="shared" si="30"/>
        <v>1784.8182113999999</v>
      </c>
      <c r="BE29"/>
      <c r="BF29" s="36">
        <f t="shared" si="84"/>
        <v>44133.731</v>
      </c>
      <c r="BG29" s="5">
        <f t="shared" si="31"/>
        <v>1846.87916</v>
      </c>
      <c r="BH29" s="36">
        <f t="shared" si="32"/>
        <v>45980.61016</v>
      </c>
      <c r="BI29" s="35">
        <f t="shared" si="33"/>
        <v>826.3850044</v>
      </c>
      <c r="BJ29"/>
      <c r="BK29" s="5">
        <f t="shared" si="85"/>
        <v>21136.922000000002</v>
      </c>
      <c r="BL29" s="5">
        <f t="shared" si="34"/>
        <v>884.5239200000001</v>
      </c>
      <c r="BM29" s="5">
        <f t="shared" si="35"/>
        <v>22021.445920000002</v>
      </c>
      <c r="BN29" s="35">
        <f t="shared" si="36"/>
        <v>395.7797128</v>
      </c>
      <c r="BO29"/>
      <c r="BP29" s="5">
        <f t="shared" si="37"/>
        <v>3118.7795</v>
      </c>
      <c r="BQ29" s="5">
        <f t="shared" si="38"/>
        <v>130.51262</v>
      </c>
      <c r="BR29" s="5">
        <f t="shared" si="39"/>
        <v>3249.29212</v>
      </c>
      <c r="BS29" s="35">
        <f t="shared" si="40"/>
        <v>58.397795800000004</v>
      </c>
      <c r="BT29"/>
      <c r="BU29" s="5">
        <f t="shared" si="86"/>
        <v>13827.5505</v>
      </c>
      <c r="BV29" s="5">
        <f t="shared" si="41"/>
        <v>578.64618</v>
      </c>
      <c r="BW29" s="5">
        <f t="shared" si="42"/>
        <v>14406.19668</v>
      </c>
      <c r="BX29" s="35">
        <f t="shared" si="43"/>
        <v>258.9148962</v>
      </c>
      <c r="BY29"/>
      <c r="BZ29" s="5">
        <f t="shared" si="87"/>
        <v>1904.3184999999999</v>
      </c>
      <c r="CA29" s="5">
        <f t="shared" si="44"/>
        <v>79.69066</v>
      </c>
      <c r="CB29" s="5">
        <f t="shared" si="45"/>
        <v>1984.0091599999998</v>
      </c>
      <c r="CC29" s="35">
        <f t="shared" si="46"/>
        <v>35.6575394</v>
      </c>
      <c r="CD29"/>
      <c r="CE29" s="5">
        <f t="shared" si="88"/>
        <v>39726.438</v>
      </c>
      <c r="CF29" s="5">
        <f t="shared" si="47"/>
        <v>1662.44568</v>
      </c>
      <c r="CG29" s="5">
        <f t="shared" si="48"/>
        <v>41388.88368</v>
      </c>
      <c r="CH29" s="35">
        <f t="shared" si="49"/>
        <v>743.8603512</v>
      </c>
      <c r="CI29"/>
      <c r="CJ29" s="5">
        <f t="shared" si="89"/>
        <v>7695.223999999999</v>
      </c>
      <c r="CK29" s="5">
        <f t="shared" si="50"/>
        <v>322.02464</v>
      </c>
      <c r="CL29" s="5">
        <f t="shared" si="51"/>
        <v>8017.248639999999</v>
      </c>
      <c r="CM29" s="35">
        <f t="shared" si="52"/>
        <v>144.08973759999998</v>
      </c>
      <c r="CN29"/>
      <c r="CO29" s="5">
        <f t="shared" si="90"/>
        <v>10181.0495</v>
      </c>
      <c r="CP29" s="5">
        <f t="shared" si="53"/>
        <v>426.04981999999995</v>
      </c>
      <c r="CQ29" s="36">
        <f t="shared" si="54"/>
        <v>10607.09932</v>
      </c>
      <c r="CR29" s="35">
        <f t="shared" si="55"/>
        <v>190.6357438</v>
      </c>
      <c r="CS29"/>
      <c r="CT29" s="5">
        <f t="shared" si="91"/>
        <v>33096.011</v>
      </c>
      <c r="CU29" s="5">
        <f t="shared" si="56"/>
        <v>1384.9799600000001</v>
      </c>
      <c r="CV29" s="36">
        <f t="shared" si="57"/>
        <v>34480.990959999996</v>
      </c>
      <c r="CW29" s="35">
        <f t="shared" si="58"/>
        <v>619.7084764</v>
      </c>
      <c r="CY29" s="5">
        <f t="shared" si="92"/>
        <v>19457.099499999997</v>
      </c>
      <c r="CZ29" s="5">
        <f t="shared" si="59"/>
        <v>814.22782</v>
      </c>
      <c r="DA29" s="5">
        <f t="shared" si="60"/>
        <v>20271.327319999997</v>
      </c>
      <c r="DB29" s="35">
        <f t="shared" si="61"/>
        <v>364.32576379999995</v>
      </c>
      <c r="DD29" s="5">
        <f t="shared" si="93"/>
        <v>21963.9715</v>
      </c>
      <c r="DE29" s="5">
        <f t="shared" si="62"/>
        <v>919.13374</v>
      </c>
      <c r="DF29" s="5">
        <f t="shared" si="63"/>
        <v>22883.10524</v>
      </c>
      <c r="DG29" s="35">
        <f t="shared" si="64"/>
        <v>411.26585659999995</v>
      </c>
      <c r="DI29" s="5">
        <f t="shared" si="94"/>
        <v>254298.62350000002</v>
      </c>
      <c r="DJ29" s="5">
        <f t="shared" si="65"/>
        <v>10641.72046</v>
      </c>
      <c r="DK29" s="5">
        <f t="shared" si="66"/>
        <v>264940.34396</v>
      </c>
      <c r="DL29" s="35">
        <f t="shared" si="67"/>
        <v>4761.6316214</v>
      </c>
      <c r="DN29" s="5">
        <f t="shared" si="95"/>
        <v>9363.354</v>
      </c>
      <c r="DO29" s="5">
        <f t="shared" si="68"/>
        <v>391.83144</v>
      </c>
      <c r="DP29" s="36">
        <f t="shared" si="69"/>
        <v>9755.18544</v>
      </c>
      <c r="DQ29" s="35">
        <f t="shared" si="70"/>
        <v>175.3247496</v>
      </c>
      <c r="DS29" s="5">
        <f t="shared" si="96"/>
        <v>8288.4235</v>
      </c>
      <c r="DT29" s="36">
        <f t="shared" si="71"/>
        <v>346.84846000000005</v>
      </c>
      <c r="DU29" s="36">
        <f t="shared" si="72"/>
        <v>8635.27196</v>
      </c>
      <c r="DV29" s="35">
        <f t="shared" si="73"/>
        <v>155.19714140000002</v>
      </c>
      <c r="DW29"/>
    </row>
    <row r="30" spans="1:127" ht="12.75">
      <c r="A30" s="37">
        <v>47392</v>
      </c>
      <c r="D30" s="3">
        <v>170300</v>
      </c>
      <c r="E30" s="35">
        <f t="shared" si="0"/>
        <v>170300</v>
      </c>
      <c r="F30" s="35">
        <f>'2011A'!F30</f>
        <v>145958</v>
      </c>
      <c r="H30" s="46"/>
      <c r="I30" s="36">
        <f t="shared" si="1"/>
        <v>25667.956599999998</v>
      </c>
      <c r="J30" s="36">
        <f t="shared" si="2"/>
        <v>25667.956599999998</v>
      </c>
      <c r="K30" s="36">
        <f t="shared" si="3"/>
        <v>21999.081675999998</v>
      </c>
      <c r="L30"/>
      <c r="N30" s="5">
        <f t="shared" si="4"/>
        <v>10670.044319999999</v>
      </c>
      <c r="O30" s="5">
        <f t="shared" si="5"/>
        <v>10670.044319999999</v>
      </c>
      <c r="P30" s="35">
        <f t="shared" si="6"/>
        <v>9144.9109152</v>
      </c>
      <c r="Q30"/>
      <c r="S30" s="36">
        <f t="shared" si="7"/>
        <v>4.7173099999999994</v>
      </c>
      <c r="T30" s="36">
        <f t="shared" si="8"/>
        <v>4.7173099999999994</v>
      </c>
      <c r="U30" s="35">
        <f t="shared" si="9"/>
        <v>4.0430366</v>
      </c>
      <c r="V30"/>
      <c r="X30" s="5">
        <f t="shared" si="10"/>
        <v>211.22308999999998</v>
      </c>
      <c r="Y30" s="5">
        <f t="shared" si="11"/>
        <v>211.22308999999998</v>
      </c>
      <c r="Z30" s="35">
        <f t="shared" si="12"/>
        <v>181.0317074</v>
      </c>
      <c r="AA30"/>
      <c r="AC30" s="5">
        <f t="shared" si="13"/>
        <v>127.19707</v>
      </c>
      <c r="AD30" s="5">
        <f t="shared" si="14"/>
        <v>127.19707</v>
      </c>
      <c r="AE30" s="35">
        <f t="shared" si="15"/>
        <v>109.0160302</v>
      </c>
      <c r="AF30"/>
      <c r="AH30" s="5">
        <f t="shared" si="16"/>
        <v>945.3353000000001</v>
      </c>
      <c r="AI30" s="5">
        <f t="shared" si="17"/>
        <v>945.3353000000001</v>
      </c>
      <c r="AJ30" s="35">
        <f t="shared" si="18"/>
        <v>810.2128580000001</v>
      </c>
      <c r="AK30"/>
      <c r="AM30" s="5">
        <f t="shared" si="19"/>
        <v>292.95006</v>
      </c>
      <c r="AN30" s="5">
        <f t="shared" si="20"/>
        <v>292.95006</v>
      </c>
      <c r="AO30" s="35">
        <f t="shared" si="21"/>
        <v>251.0769516</v>
      </c>
      <c r="AP30"/>
      <c r="AR30" s="5">
        <f t="shared" si="22"/>
        <v>551.53358</v>
      </c>
      <c r="AS30" s="5">
        <f t="shared" si="23"/>
        <v>551.53358</v>
      </c>
      <c r="AT30" s="35">
        <f t="shared" si="24"/>
        <v>472.6995788</v>
      </c>
      <c r="AU30"/>
      <c r="AW30" s="5">
        <f t="shared" si="25"/>
        <v>116.79173999999999</v>
      </c>
      <c r="AX30" s="5">
        <f t="shared" si="26"/>
        <v>116.79173999999999</v>
      </c>
      <c r="AY30" s="35">
        <f t="shared" si="27"/>
        <v>100.0979964</v>
      </c>
      <c r="AZ30"/>
      <c r="BB30" s="5">
        <f t="shared" si="28"/>
        <v>2082.4794899999997</v>
      </c>
      <c r="BC30" s="5">
        <f t="shared" si="29"/>
        <v>2082.4794899999997</v>
      </c>
      <c r="BD30" s="35">
        <f t="shared" si="30"/>
        <v>1784.8182113999999</v>
      </c>
      <c r="BE30"/>
      <c r="BF30" s="36"/>
      <c r="BG30" s="5">
        <f t="shared" si="31"/>
        <v>964.20454</v>
      </c>
      <c r="BH30" s="36">
        <f t="shared" si="32"/>
        <v>964.20454</v>
      </c>
      <c r="BI30" s="35">
        <f t="shared" si="33"/>
        <v>826.3850044</v>
      </c>
      <c r="BJ30"/>
      <c r="BL30" s="5">
        <f t="shared" si="34"/>
        <v>461.78548000000006</v>
      </c>
      <c r="BM30" s="5">
        <f t="shared" si="35"/>
        <v>461.78548000000006</v>
      </c>
      <c r="BN30" s="35">
        <f t="shared" si="36"/>
        <v>395.7797128</v>
      </c>
      <c r="BO30"/>
      <c r="BP30" s="5">
        <f t="shared" si="37"/>
        <v>0</v>
      </c>
      <c r="BQ30" s="5">
        <f t="shared" si="38"/>
        <v>68.13703000000001</v>
      </c>
      <c r="BR30" s="5">
        <f t="shared" si="39"/>
        <v>68.13703000000001</v>
      </c>
      <c r="BS30" s="35">
        <f t="shared" si="40"/>
        <v>58.397795800000004</v>
      </c>
      <c r="BT30"/>
      <c r="BV30" s="5">
        <f t="shared" si="41"/>
        <v>302.09517</v>
      </c>
      <c r="BW30" s="5">
        <f t="shared" si="42"/>
        <v>302.09517</v>
      </c>
      <c r="BX30" s="35">
        <f t="shared" si="43"/>
        <v>258.9148962</v>
      </c>
      <c r="BY30"/>
      <c r="CA30" s="5">
        <f t="shared" si="44"/>
        <v>41.60429</v>
      </c>
      <c r="CB30" s="5">
        <f t="shared" si="45"/>
        <v>41.60429</v>
      </c>
      <c r="CC30" s="35">
        <f t="shared" si="46"/>
        <v>35.6575394</v>
      </c>
      <c r="CD30"/>
      <c r="CF30" s="5">
        <f t="shared" si="47"/>
        <v>867.91692</v>
      </c>
      <c r="CG30" s="5">
        <f t="shared" si="48"/>
        <v>867.91692</v>
      </c>
      <c r="CH30" s="35">
        <f t="shared" si="49"/>
        <v>743.8603512</v>
      </c>
      <c r="CI30"/>
      <c r="CK30" s="5">
        <f t="shared" si="50"/>
        <v>168.12016</v>
      </c>
      <c r="CL30" s="5">
        <f t="shared" si="51"/>
        <v>168.12016</v>
      </c>
      <c r="CM30" s="35">
        <f t="shared" si="52"/>
        <v>144.08973759999998</v>
      </c>
      <c r="CN30"/>
      <c r="CP30" s="5">
        <f t="shared" si="53"/>
        <v>222.42882999999998</v>
      </c>
      <c r="CQ30" s="36">
        <f t="shared" si="54"/>
        <v>222.42882999999998</v>
      </c>
      <c r="CR30" s="35">
        <f t="shared" si="55"/>
        <v>190.6357438</v>
      </c>
      <c r="CS30"/>
      <c r="CU30" s="5">
        <f t="shared" si="56"/>
        <v>723.05974</v>
      </c>
      <c r="CV30" s="36">
        <f t="shared" si="57"/>
        <v>723.05974</v>
      </c>
      <c r="CW30" s="35">
        <f t="shared" si="58"/>
        <v>619.7084764</v>
      </c>
      <c r="CZ30" s="5">
        <f t="shared" si="59"/>
        <v>425.08583</v>
      </c>
      <c r="DA30" s="5">
        <f t="shared" si="60"/>
        <v>425.08583</v>
      </c>
      <c r="DB30" s="35">
        <f t="shared" si="61"/>
        <v>364.32576379999995</v>
      </c>
      <c r="DE30" s="5">
        <f t="shared" si="62"/>
        <v>479.85430999999994</v>
      </c>
      <c r="DF30" s="5">
        <f t="shared" si="63"/>
        <v>479.85430999999994</v>
      </c>
      <c r="DG30" s="35">
        <f t="shared" si="64"/>
        <v>411.26585659999995</v>
      </c>
      <c r="DJ30" s="5">
        <f t="shared" si="65"/>
        <v>5555.74799</v>
      </c>
      <c r="DK30" s="5">
        <f t="shared" si="66"/>
        <v>5555.74799</v>
      </c>
      <c r="DL30" s="35">
        <f t="shared" si="67"/>
        <v>4761.6316214</v>
      </c>
      <c r="DO30" s="5">
        <f t="shared" si="68"/>
        <v>204.56436</v>
      </c>
      <c r="DP30" s="36">
        <f t="shared" si="69"/>
        <v>204.56436</v>
      </c>
      <c r="DQ30" s="35">
        <f t="shared" si="70"/>
        <v>175.3247496</v>
      </c>
      <c r="DT30" s="36">
        <f t="shared" si="71"/>
        <v>181.07999</v>
      </c>
      <c r="DU30" s="36">
        <f t="shared" si="72"/>
        <v>181.07999</v>
      </c>
      <c r="DV30" s="35">
        <f t="shared" si="73"/>
        <v>155.19714140000002</v>
      </c>
      <c r="DW30"/>
    </row>
    <row r="31" spans="1:127" ht="12.75">
      <c r="A31" s="37">
        <v>11049</v>
      </c>
      <c r="C31" s="3">
        <v>0</v>
      </c>
      <c r="D31" s="3">
        <v>170300</v>
      </c>
      <c r="E31" s="35">
        <f t="shared" si="0"/>
        <v>170300</v>
      </c>
      <c r="F31" s="35">
        <f>'2011A'!F31</f>
        <v>145958</v>
      </c>
      <c r="H31" s="46">
        <f t="shared" si="74"/>
        <v>0</v>
      </c>
      <c r="I31" s="36">
        <f t="shared" si="1"/>
        <v>25667.956599999998</v>
      </c>
      <c r="J31" s="36">
        <f t="shared" si="2"/>
        <v>25667.956599999998</v>
      </c>
      <c r="K31" s="36">
        <f t="shared" si="3"/>
        <v>21999.081675999998</v>
      </c>
      <c r="L31"/>
      <c r="M31" s="5">
        <f t="shared" si="75"/>
        <v>0</v>
      </c>
      <c r="N31" s="5">
        <f t="shared" si="4"/>
        <v>10670.044319999999</v>
      </c>
      <c r="O31" s="5">
        <f t="shared" si="5"/>
        <v>10670.044319999999</v>
      </c>
      <c r="P31" s="35">
        <f t="shared" si="6"/>
        <v>9144.9109152</v>
      </c>
      <c r="Q31"/>
      <c r="R31" s="5">
        <f t="shared" si="76"/>
        <v>0</v>
      </c>
      <c r="S31" s="36">
        <f t="shared" si="7"/>
        <v>4.7173099999999994</v>
      </c>
      <c r="T31" s="36">
        <f t="shared" si="8"/>
        <v>4.7173099999999994</v>
      </c>
      <c r="U31" s="35">
        <f t="shared" si="9"/>
        <v>4.0430366</v>
      </c>
      <c r="V31"/>
      <c r="W31" s="5">
        <f t="shared" si="77"/>
        <v>0</v>
      </c>
      <c r="X31" s="5">
        <f t="shared" si="10"/>
        <v>211.22308999999998</v>
      </c>
      <c r="Y31" s="5">
        <f t="shared" si="11"/>
        <v>211.22308999999998</v>
      </c>
      <c r="Z31" s="35">
        <f t="shared" si="12"/>
        <v>181.0317074</v>
      </c>
      <c r="AA31"/>
      <c r="AB31" s="5">
        <f t="shared" si="78"/>
        <v>0</v>
      </c>
      <c r="AC31" s="5">
        <f t="shared" si="13"/>
        <v>127.19707</v>
      </c>
      <c r="AD31" s="5">
        <f t="shared" si="14"/>
        <v>127.19707</v>
      </c>
      <c r="AE31" s="35">
        <f t="shared" si="15"/>
        <v>109.0160302</v>
      </c>
      <c r="AF31"/>
      <c r="AG31" s="5">
        <f t="shared" si="79"/>
        <v>0</v>
      </c>
      <c r="AH31" s="5">
        <f t="shared" si="16"/>
        <v>945.3353000000001</v>
      </c>
      <c r="AI31" s="5">
        <f t="shared" si="17"/>
        <v>945.3353000000001</v>
      </c>
      <c r="AJ31" s="35">
        <f t="shared" si="18"/>
        <v>810.2128580000001</v>
      </c>
      <c r="AK31"/>
      <c r="AL31" s="5">
        <f t="shared" si="80"/>
        <v>0</v>
      </c>
      <c r="AM31" s="5">
        <f t="shared" si="19"/>
        <v>292.95006</v>
      </c>
      <c r="AN31" s="5">
        <f t="shared" si="20"/>
        <v>292.95006</v>
      </c>
      <c r="AO31" s="35">
        <f t="shared" si="21"/>
        <v>251.0769516</v>
      </c>
      <c r="AP31"/>
      <c r="AQ31" s="5">
        <f t="shared" si="81"/>
        <v>0</v>
      </c>
      <c r="AR31" s="5">
        <f t="shared" si="22"/>
        <v>551.53358</v>
      </c>
      <c r="AS31" s="5">
        <f t="shared" si="23"/>
        <v>551.53358</v>
      </c>
      <c r="AT31" s="35">
        <f t="shared" si="24"/>
        <v>472.6995788</v>
      </c>
      <c r="AU31"/>
      <c r="AV31" s="5">
        <f t="shared" si="82"/>
        <v>0</v>
      </c>
      <c r="AW31" s="5">
        <f t="shared" si="25"/>
        <v>116.79173999999999</v>
      </c>
      <c r="AX31" s="5">
        <f t="shared" si="26"/>
        <v>116.79173999999999</v>
      </c>
      <c r="AY31" s="35">
        <f t="shared" si="27"/>
        <v>100.0979964</v>
      </c>
      <c r="AZ31"/>
      <c r="BA31" s="5">
        <f t="shared" si="83"/>
        <v>0</v>
      </c>
      <c r="BB31" s="5">
        <f t="shared" si="28"/>
        <v>2082.4794899999997</v>
      </c>
      <c r="BC31" s="5">
        <f t="shared" si="29"/>
        <v>2082.4794899999997</v>
      </c>
      <c r="BD31" s="35">
        <f t="shared" si="30"/>
        <v>1784.8182113999999</v>
      </c>
      <c r="BE31"/>
      <c r="BF31" s="36">
        <f t="shared" si="84"/>
        <v>0</v>
      </c>
      <c r="BG31" s="5">
        <f t="shared" si="31"/>
        <v>964.20454</v>
      </c>
      <c r="BH31" s="36">
        <f t="shared" si="32"/>
        <v>964.20454</v>
      </c>
      <c r="BI31" s="35">
        <f t="shared" si="33"/>
        <v>826.3850044</v>
      </c>
      <c r="BJ31"/>
      <c r="BK31" s="5">
        <f t="shared" si="85"/>
        <v>0</v>
      </c>
      <c r="BL31" s="5">
        <f t="shared" si="34"/>
        <v>461.78548000000006</v>
      </c>
      <c r="BM31" s="5">
        <f t="shared" si="35"/>
        <v>461.78548000000006</v>
      </c>
      <c r="BN31" s="35">
        <f t="shared" si="36"/>
        <v>395.7797128</v>
      </c>
      <c r="BO31"/>
      <c r="BP31" s="5">
        <f t="shared" si="37"/>
        <v>0</v>
      </c>
      <c r="BQ31" s="5">
        <f t="shared" si="38"/>
        <v>68.13703000000001</v>
      </c>
      <c r="BR31" s="5">
        <f t="shared" si="39"/>
        <v>68.13703000000001</v>
      </c>
      <c r="BS31" s="35">
        <f t="shared" si="40"/>
        <v>58.397795800000004</v>
      </c>
      <c r="BT31"/>
      <c r="BU31" s="5">
        <f t="shared" si="86"/>
        <v>0</v>
      </c>
      <c r="BV31" s="5">
        <f t="shared" si="41"/>
        <v>302.09517</v>
      </c>
      <c r="BW31" s="5">
        <f t="shared" si="42"/>
        <v>302.09517</v>
      </c>
      <c r="BX31" s="35">
        <f t="shared" si="43"/>
        <v>258.9148962</v>
      </c>
      <c r="BY31"/>
      <c r="BZ31" s="5">
        <f t="shared" si="87"/>
        <v>0</v>
      </c>
      <c r="CA31" s="5">
        <f t="shared" si="44"/>
        <v>41.60429</v>
      </c>
      <c r="CB31" s="5">
        <f t="shared" si="45"/>
        <v>41.60429</v>
      </c>
      <c r="CC31" s="35">
        <f t="shared" si="46"/>
        <v>35.6575394</v>
      </c>
      <c r="CD31"/>
      <c r="CE31" s="5">
        <f t="shared" si="88"/>
        <v>0</v>
      </c>
      <c r="CF31" s="5">
        <f t="shared" si="47"/>
        <v>867.91692</v>
      </c>
      <c r="CG31" s="5">
        <f t="shared" si="48"/>
        <v>867.91692</v>
      </c>
      <c r="CH31" s="35">
        <f t="shared" si="49"/>
        <v>743.8603512</v>
      </c>
      <c r="CI31"/>
      <c r="CJ31" s="5">
        <f t="shared" si="89"/>
        <v>0</v>
      </c>
      <c r="CK31" s="5">
        <f t="shared" si="50"/>
        <v>168.12016</v>
      </c>
      <c r="CL31" s="5">
        <f t="shared" si="51"/>
        <v>168.12016</v>
      </c>
      <c r="CM31" s="35">
        <f t="shared" si="52"/>
        <v>144.08973759999998</v>
      </c>
      <c r="CN31"/>
      <c r="CO31" s="5">
        <f t="shared" si="90"/>
        <v>0</v>
      </c>
      <c r="CP31" s="5">
        <f t="shared" si="53"/>
        <v>222.42882999999998</v>
      </c>
      <c r="CQ31" s="36">
        <f t="shared" si="54"/>
        <v>222.42882999999998</v>
      </c>
      <c r="CR31" s="35">
        <f t="shared" si="55"/>
        <v>190.6357438</v>
      </c>
      <c r="CS31"/>
      <c r="CT31" s="5">
        <f t="shared" si="91"/>
        <v>0</v>
      </c>
      <c r="CU31" s="5">
        <f t="shared" si="56"/>
        <v>723.05974</v>
      </c>
      <c r="CV31" s="36">
        <f t="shared" si="57"/>
        <v>723.05974</v>
      </c>
      <c r="CW31" s="35">
        <f t="shared" si="58"/>
        <v>619.7084764</v>
      </c>
      <c r="CY31" s="5">
        <f t="shared" si="92"/>
        <v>0</v>
      </c>
      <c r="CZ31" s="5">
        <f t="shared" si="59"/>
        <v>425.08583</v>
      </c>
      <c r="DA31" s="5">
        <f t="shared" si="60"/>
        <v>425.08583</v>
      </c>
      <c r="DB31" s="35">
        <f t="shared" si="61"/>
        <v>364.32576379999995</v>
      </c>
      <c r="DD31" s="5">
        <f t="shared" si="93"/>
        <v>0</v>
      </c>
      <c r="DE31" s="5">
        <f t="shared" si="62"/>
        <v>479.85430999999994</v>
      </c>
      <c r="DF31" s="5">
        <f t="shared" si="63"/>
        <v>479.85430999999994</v>
      </c>
      <c r="DG31" s="35">
        <f t="shared" si="64"/>
        <v>411.26585659999995</v>
      </c>
      <c r="DI31" s="5">
        <f t="shared" si="94"/>
        <v>0</v>
      </c>
      <c r="DJ31" s="5">
        <f t="shared" si="65"/>
        <v>5555.74799</v>
      </c>
      <c r="DK31" s="5">
        <f t="shared" si="66"/>
        <v>5555.74799</v>
      </c>
      <c r="DL31" s="35">
        <f t="shared" si="67"/>
        <v>4761.6316214</v>
      </c>
      <c r="DN31" s="5">
        <f t="shared" si="95"/>
        <v>0</v>
      </c>
      <c r="DO31" s="5">
        <f t="shared" si="68"/>
        <v>204.56436</v>
      </c>
      <c r="DP31" s="36">
        <f t="shared" si="69"/>
        <v>204.56436</v>
      </c>
      <c r="DQ31" s="35">
        <f t="shared" si="70"/>
        <v>175.3247496</v>
      </c>
      <c r="DS31" s="5">
        <f t="shared" si="96"/>
        <v>0</v>
      </c>
      <c r="DT31" s="36">
        <f t="shared" si="71"/>
        <v>181.07999</v>
      </c>
      <c r="DU31" s="36">
        <f t="shared" si="72"/>
        <v>181.07999</v>
      </c>
      <c r="DV31" s="35">
        <f t="shared" si="73"/>
        <v>155.19714140000002</v>
      </c>
      <c r="DW31"/>
    </row>
    <row r="32" spans="1:127" ht="12.75">
      <c r="A32" s="37">
        <v>11232</v>
      </c>
      <c r="D32" s="3">
        <v>170300</v>
      </c>
      <c r="E32" s="35">
        <f t="shared" si="0"/>
        <v>170300</v>
      </c>
      <c r="F32" s="35">
        <f>'2011A'!F32</f>
        <v>145958</v>
      </c>
      <c r="H32" s="46"/>
      <c r="I32" s="36">
        <f t="shared" si="1"/>
        <v>25667.956599999998</v>
      </c>
      <c r="J32" s="36">
        <f t="shared" si="2"/>
        <v>25667.956599999998</v>
      </c>
      <c r="K32" s="36">
        <f t="shared" si="3"/>
        <v>21999.081675999998</v>
      </c>
      <c r="L32"/>
      <c r="N32" s="5">
        <f t="shared" si="4"/>
        <v>10670.044319999999</v>
      </c>
      <c r="O32" s="5">
        <f t="shared" si="5"/>
        <v>10670.044319999999</v>
      </c>
      <c r="P32" s="35">
        <f t="shared" si="6"/>
        <v>9144.9109152</v>
      </c>
      <c r="Q32"/>
      <c r="S32" s="36">
        <f t="shared" si="7"/>
        <v>4.7173099999999994</v>
      </c>
      <c r="T32" s="36">
        <f t="shared" si="8"/>
        <v>4.7173099999999994</v>
      </c>
      <c r="U32" s="35">
        <f t="shared" si="9"/>
        <v>4.0430366</v>
      </c>
      <c r="V32"/>
      <c r="X32" s="5">
        <f t="shared" si="10"/>
        <v>211.22308999999998</v>
      </c>
      <c r="Y32" s="5">
        <f t="shared" si="11"/>
        <v>211.22308999999998</v>
      </c>
      <c r="Z32" s="35">
        <f t="shared" si="12"/>
        <v>181.0317074</v>
      </c>
      <c r="AA32"/>
      <c r="AC32" s="5">
        <f t="shared" si="13"/>
        <v>127.19707</v>
      </c>
      <c r="AD32" s="5">
        <f t="shared" si="14"/>
        <v>127.19707</v>
      </c>
      <c r="AE32" s="35">
        <f t="shared" si="15"/>
        <v>109.0160302</v>
      </c>
      <c r="AF32"/>
      <c r="AH32" s="5">
        <f t="shared" si="16"/>
        <v>945.3353000000001</v>
      </c>
      <c r="AI32" s="5">
        <f t="shared" si="17"/>
        <v>945.3353000000001</v>
      </c>
      <c r="AJ32" s="35">
        <f t="shared" si="18"/>
        <v>810.2128580000001</v>
      </c>
      <c r="AK32"/>
      <c r="AM32" s="5">
        <f t="shared" si="19"/>
        <v>292.95006</v>
      </c>
      <c r="AN32" s="5">
        <f t="shared" si="20"/>
        <v>292.95006</v>
      </c>
      <c r="AO32" s="35">
        <f t="shared" si="21"/>
        <v>251.0769516</v>
      </c>
      <c r="AP32"/>
      <c r="AR32" s="5">
        <f t="shared" si="22"/>
        <v>551.53358</v>
      </c>
      <c r="AS32" s="5">
        <f t="shared" si="23"/>
        <v>551.53358</v>
      </c>
      <c r="AT32" s="35">
        <f t="shared" si="24"/>
        <v>472.6995788</v>
      </c>
      <c r="AU32"/>
      <c r="AW32" s="5">
        <f t="shared" si="25"/>
        <v>116.79173999999999</v>
      </c>
      <c r="AX32" s="5">
        <f t="shared" si="26"/>
        <v>116.79173999999999</v>
      </c>
      <c r="AY32" s="35">
        <f t="shared" si="27"/>
        <v>100.0979964</v>
      </c>
      <c r="AZ32"/>
      <c r="BB32" s="5">
        <f t="shared" si="28"/>
        <v>2082.4794899999997</v>
      </c>
      <c r="BC32" s="5">
        <f t="shared" si="29"/>
        <v>2082.4794899999997</v>
      </c>
      <c r="BD32" s="35">
        <f t="shared" si="30"/>
        <v>1784.8182113999999</v>
      </c>
      <c r="BE32"/>
      <c r="BF32" s="36"/>
      <c r="BG32" s="5">
        <f t="shared" si="31"/>
        <v>964.20454</v>
      </c>
      <c r="BH32" s="36">
        <f t="shared" si="32"/>
        <v>964.20454</v>
      </c>
      <c r="BI32" s="35">
        <f t="shared" si="33"/>
        <v>826.3850044</v>
      </c>
      <c r="BJ32"/>
      <c r="BL32" s="5">
        <f t="shared" si="34"/>
        <v>461.78548000000006</v>
      </c>
      <c r="BM32" s="5">
        <f t="shared" si="35"/>
        <v>461.78548000000006</v>
      </c>
      <c r="BN32" s="35">
        <f t="shared" si="36"/>
        <v>395.7797128</v>
      </c>
      <c r="BO32"/>
      <c r="BP32" s="5">
        <f t="shared" si="37"/>
        <v>0</v>
      </c>
      <c r="BQ32" s="5">
        <f t="shared" si="38"/>
        <v>68.13703000000001</v>
      </c>
      <c r="BR32" s="5">
        <f t="shared" si="39"/>
        <v>68.13703000000001</v>
      </c>
      <c r="BS32" s="35">
        <f t="shared" si="40"/>
        <v>58.397795800000004</v>
      </c>
      <c r="BT32"/>
      <c r="BV32" s="5">
        <f t="shared" si="41"/>
        <v>302.09517</v>
      </c>
      <c r="BW32" s="5">
        <f t="shared" si="42"/>
        <v>302.09517</v>
      </c>
      <c r="BX32" s="35">
        <f t="shared" si="43"/>
        <v>258.9148962</v>
      </c>
      <c r="BY32"/>
      <c r="CA32" s="5">
        <f t="shared" si="44"/>
        <v>41.60429</v>
      </c>
      <c r="CB32" s="5">
        <f t="shared" si="45"/>
        <v>41.60429</v>
      </c>
      <c r="CC32" s="35">
        <f t="shared" si="46"/>
        <v>35.6575394</v>
      </c>
      <c r="CD32"/>
      <c r="CF32" s="5">
        <f t="shared" si="47"/>
        <v>867.91692</v>
      </c>
      <c r="CG32" s="5">
        <f t="shared" si="48"/>
        <v>867.91692</v>
      </c>
      <c r="CH32" s="35">
        <f t="shared" si="49"/>
        <v>743.8603512</v>
      </c>
      <c r="CI32"/>
      <c r="CK32" s="5">
        <f t="shared" si="50"/>
        <v>168.12016</v>
      </c>
      <c r="CL32" s="5">
        <f t="shared" si="51"/>
        <v>168.12016</v>
      </c>
      <c r="CM32" s="35">
        <f t="shared" si="52"/>
        <v>144.08973759999998</v>
      </c>
      <c r="CN32"/>
      <c r="CP32" s="5">
        <f t="shared" si="53"/>
        <v>222.42882999999998</v>
      </c>
      <c r="CQ32" s="36">
        <f t="shared" si="54"/>
        <v>222.42882999999998</v>
      </c>
      <c r="CR32" s="35">
        <f t="shared" si="55"/>
        <v>190.6357438</v>
      </c>
      <c r="CS32"/>
      <c r="CU32" s="5">
        <f t="shared" si="56"/>
        <v>723.05974</v>
      </c>
      <c r="CV32" s="36">
        <f t="shared" si="57"/>
        <v>723.05974</v>
      </c>
      <c r="CW32" s="35">
        <f t="shared" si="58"/>
        <v>619.7084764</v>
      </c>
      <c r="CZ32" s="5">
        <f t="shared" si="59"/>
        <v>425.08583</v>
      </c>
      <c r="DA32" s="5">
        <f t="shared" si="60"/>
        <v>425.08583</v>
      </c>
      <c r="DB32" s="35">
        <f t="shared" si="61"/>
        <v>364.32576379999995</v>
      </c>
      <c r="DE32" s="5">
        <f t="shared" si="62"/>
        <v>479.85430999999994</v>
      </c>
      <c r="DF32" s="5">
        <f t="shared" si="63"/>
        <v>479.85430999999994</v>
      </c>
      <c r="DG32" s="35">
        <f t="shared" si="64"/>
        <v>411.26585659999995</v>
      </c>
      <c r="DJ32" s="5">
        <f t="shared" si="65"/>
        <v>5555.74799</v>
      </c>
      <c r="DK32" s="5">
        <f t="shared" si="66"/>
        <v>5555.74799</v>
      </c>
      <c r="DL32" s="35">
        <f t="shared" si="67"/>
        <v>4761.6316214</v>
      </c>
      <c r="DO32" s="5">
        <f t="shared" si="68"/>
        <v>204.56436</v>
      </c>
      <c r="DP32" s="36">
        <f t="shared" si="69"/>
        <v>204.56436</v>
      </c>
      <c r="DQ32" s="35">
        <f t="shared" si="70"/>
        <v>175.3247496</v>
      </c>
      <c r="DT32" s="36">
        <f t="shared" si="71"/>
        <v>181.07999</v>
      </c>
      <c r="DU32" s="36">
        <f t="shared" si="72"/>
        <v>181.07999</v>
      </c>
      <c r="DV32" s="35">
        <f t="shared" si="73"/>
        <v>155.19714140000002</v>
      </c>
      <c r="DW32"/>
    </row>
    <row r="33" spans="1:127" ht="12.75">
      <c r="A33" s="37">
        <v>11414</v>
      </c>
      <c r="C33" s="3">
        <v>8515000</v>
      </c>
      <c r="D33" s="3">
        <v>170300</v>
      </c>
      <c r="E33" s="35">
        <f t="shared" si="0"/>
        <v>8685300</v>
      </c>
      <c r="F33" s="35">
        <f>'2011A'!F33</f>
        <v>145958</v>
      </c>
      <c r="H33" s="46">
        <f t="shared" si="74"/>
        <v>1283397.8299999998</v>
      </c>
      <c r="I33" s="36">
        <f t="shared" si="1"/>
        <v>25667.956599999998</v>
      </c>
      <c r="J33" s="36">
        <f t="shared" si="2"/>
        <v>1309065.7865999998</v>
      </c>
      <c r="K33" s="36">
        <f t="shared" si="3"/>
        <v>21999.081675999998</v>
      </c>
      <c r="L33"/>
      <c r="M33" s="5">
        <f t="shared" si="75"/>
        <v>533502.216</v>
      </c>
      <c r="N33" s="5">
        <f t="shared" si="4"/>
        <v>10670.044319999999</v>
      </c>
      <c r="O33" s="5">
        <f t="shared" si="5"/>
        <v>544172.26032</v>
      </c>
      <c r="P33" s="35">
        <f t="shared" si="6"/>
        <v>9144.9109152</v>
      </c>
      <c r="Q33"/>
      <c r="R33" s="5">
        <f t="shared" si="76"/>
        <v>235.8655</v>
      </c>
      <c r="S33" s="36">
        <f t="shared" si="7"/>
        <v>4.7173099999999994</v>
      </c>
      <c r="T33" s="36">
        <f t="shared" si="8"/>
        <v>240.58281</v>
      </c>
      <c r="U33" s="35">
        <f t="shared" si="9"/>
        <v>4.0430366</v>
      </c>
      <c r="V33"/>
      <c r="W33" s="5">
        <f t="shared" si="77"/>
        <v>10561.154499999999</v>
      </c>
      <c r="X33" s="5">
        <f t="shared" si="10"/>
        <v>211.22308999999998</v>
      </c>
      <c r="Y33" s="5">
        <f t="shared" si="11"/>
        <v>10772.377589999998</v>
      </c>
      <c r="Z33" s="35">
        <f t="shared" si="12"/>
        <v>181.0317074</v>
      </c>
      <c r="AA33"/>
      <c r="AB33" s="5">
        <f t="shared" si="78"/>
        <v>6359.8535</v>
      </c>
      <c r="AC33" s="5">
        <f t="shared" si="13"/>
        <v>127.19707</v>
      </c>
      <c r="AD33" s="5">
        <f t="shared" si="14"/>
        <v>6487.05057</v>
      </c>
      <c r="AE33" s="35">
        <f t="shared" si="15"/>
        <v>109.0160302</v>
      </c>
      <c r="AF33"/>
      <c r="AG33" s="5">
        <f t="shared" si="79"/>
        <v>47266.76500000001</v>
      </c>
      <c r="AH33" s="5">
        <f t="shared" si="16"/>
        <v>945.3353000000001</v>
      </c>
      <c r="AI33" s="5">
        <f t="shared" si="17"/>
        <v>48212.100300000006</v>
      </c>
      <c r="AJ33" s="35">
        <f t="shared" si="18"/>
        <v>810.2128580000001</v>
      </c>
      <c r="AK33"/>
      <c r="AL33" s="5">
        <f t="shared" si="80"/>
        <v>14647.503</v>
      </c>
      <c r="AM33" s="5">
        <f t="shared" si="19"/>
        <v>292.95006</v>
      </c>
      <c r="AN33" s="5">
        <f t="shared" si="20"/>
        <v>14940.45306</v>
      </c>
      <c r="AO33" s="35">
        <f t="shared" si="21"/>
        <v>251.0769516</v>
      </c>
      <c r="AP33"/>
      <c r="AQ33" s="5">
        <f t="shared" si="81"/>
        <v>27576.679</v>
      </c>
      <c r="AR33" s="5">
        <f t="shared" si="22"/>
        <v>551.53358</v>
      </c>
      <c r="AS33" s="5">
        <f t="shared" si="23"/>
        <v>28128.21258</v>
      </c>
      <c r="AT33" s="35">
        <f t="shared" si="24"/>
        <v>472.6995788</v>
      </c>
      <c r="AU33"/>
      <c r="AV33" s="5">
        <f t="shared" si="82"/>
        <v>5839.5869999999995</v>
      </c>
      <c r="AW33" s="5">
        <f t="shared" si="25"/>
        <v>116.79173999999999</v>
      </c>
      <c r="AX33" s="5">
        <f t="shared" si="26"/>
        <v>5956.378739999999</v>
      </c>
      <c r="AY33" s="35">
        <f t="shared" si="27"/>
        <v>100.0979964</v>
      </c>
      <c r="AZ33"/>
      <c r="BA33" s="5">
        <f t="shared" si="83"/>
        <v>104123.9745</v>
      </c>
      <c r="BB33" s="5">
        <f t="shared" si="28"/>
        <v>2082.4794899999997</v>
      </c>
      <c r="BC33" s="5">
        <f t="shared" si="29"/>
        <v>106206.45399</v>
      </c>
      <c r="BD33" s="35">
        <f t="shared" si="30"/>
        <v>1784.8182113999999</v>
      </c>
      <c r="BE33"/>
      <c r="BF33" s="36">
        <f t="shared" si="84"/>
        <v>48210.227</v>
      </c>
      <c r="BG33" s="5">
        <f t="shared" si="31"/>
        <v>964.20454</v>
      </c>
      <c r="BH33" s="36">
        <f t="shared" si="32"/>
        <v>49174.43154</v>
      </c>
      <c r="BI33" s="35">
        <f t="shared" si="33"/>
        <v>826.3850044</v>
      </c>
      <c r="BJ33"/>
      <c r="BK33" s="5">
        <f t="shared" si="85"/>
        <v>23089.274</v>
      </c>
      <c r="BL33" s="5">
        <f t="shared" si="34"/>
        <v>461.78548000000006</v>
      </c>
      <c r="BM33" s="5">
        <f t="shared" si="35"/>
        <v>23551.05948</v>
      </c>
      <c r="BN33" s="35">
        <f t="shared" si="36"/>
        <v>395.7797128</v>
      </c>
      <c r="BO33"/>
      <c r="BP33" s="5">
        <f t="shared" si="37"/>
        <v>3406.8515</v>
      </c>
      <c r="BQ33" s="5">
        <f t="shared" si="38"/>
        <v>68.13703000000001</v>
      </c>
      <c r="BR33" s="5">
        <f t="shared" si="39"/>
        <v>3474.98853</v>
      </c>
      <c r="BS33" s="35">
        <f t="shared" si="40"/>
        <v>58.397795800000004</v>
      </c>
      <c r="BT33"/>
      <c r="BU33" s="5">
        <f t="shared" si="86"/>
        <v>15104.7585</v>
      </c>
      <c r="BV33" s="5">
        <f t="shared" si="41"/>
        <v>302.09517</v>
      </c>
      <c r="BW33" s="5">
        <f t="shared" si="42"/>
        <v>15406.85367</v>
      </c>
      <c r="BX33" s="35">
        <f t="shared" si="43"/>
        <v>258.9148962</v>
      </c>
      <c r="BY33"/>
      <c r="BZ33" s="5">
        <f t="shared" si="87"/>
        <v>2080.2144999999996</v>
      </c>
      <c r="CA33" s="5">
        <f t="shared" si="44"/>
        <v>41.60429</v>
      </c>
      <c r="CB33" s="5">
        <f t="shared" si="45"/>
        <v>2121.81879</v>
      </c>
      <c r="CC33" s="35">
        <f t="shared" si="46"/>
        <v>35.6575394</v>
      </c>
      <c r="CD33"/>
      <c r="CE33" s="5">
        <f t="shared" si="88"/>
        <v>43395.846</v>
      </c>
      <c r="CF33" s="5">
        <f t="shared" si="47"/>
        <v>867.91692</v>
      </c>
      <c r="CG33" s="5">
        <f t="shared" si="48"/>
        <v>44263.76292</v>
      </c>
      <c r="CH33" s="35">
        <f t="shared" si="49"/>
        <v>743.8603512</v>
      </c>
      <c r="CI33"/>
      <c r="CJ33" s="5">
        <f t="shared" si="89"/>
        <v>8406.008</v>
      </c>
      <c r="CK33" s="5">
        <f t="shared" si="50"/>
        <v>168.12016</v>
      </c>
      <c r="CL33" s="5">
        <f t="shared" si="51"/>
        <v>8574.12816</v>
      </c>
      <c r="CM33" s="35">
        <f t="shared" si="52"/>
        <v>144.08973759999998</v>
      </c>
      <c r="CN33"/>
      <c r="CO33" s="5">
        <f t="shared" si="90"/>
        <v>11121.441499999999</v>
      </c>
      <c r="CP33" s="5">
        <f t="shared" si="53"/>
        <v>222.42882999999998</v>
      </c>
      <c r="CQ33" s="36">
        <f t="shared" si="54"/>
        <v>11343.87033</v>
      </c>
      <c r="CR33" s="35">
        <f t="shared" si="55"/>
        <v>190.6357438</v>
      </c>
      <c r="CS33"/>
      <c r="CT33" s="5">
        <f t="shared" si="91"/>
        <v>36152.987</v>
      </c>
      <c r="CU33" s="5">
        <f t="shared" si="56"/>
        <v>723.05974</v>
      </c>
      <c r="CV33" s="36">
        <f t="shared" si="57"/>
        <v>36876.04674</v>
      </c>
      <c r="CW33" s="35">
        <f t="shared" si="58"/>
        <v>619.7084764</v>
      </c>
      <c r="CY33" s="5">
        <f t="shared" si="92"/>
        <v>21254.2915</v>
      </c>
      <c r="CZ33" s="5">
        <f t="shared" si="59"/>
        <v>425.08583</v>
      </c>
      <c r="DA33" s="5">
        <f t="shared" si="60"/>
        <v>21679.37733</v>
      </c>
      <c r="DB33" s="35">
        <f t="shared" si="61"/>
        <v>364.32576379999995</v>
      </c>
      <c r="DD33" s="5">
        <f t="shared" si="93"/>
        <v>23992.7155</v>
      </c>
      <c r="DE33" s="5">
        <f t="shared" si="62"/>
        <v>479.85430999999994</v>
      </c>
      <c r="DF33" s="5">
        <f t="shared" si="63"/>
        <v>24472.569809999997</v>
      </c>
      <c r="DG33" s="35">
        <f t="shared" si="64"/>
        <v>411.26585659999995</v>
      </c>
      <c r="DI33" s="5">
        <f t="shared" si="94"/>
        <v>277787.3995</v>
      </c>
      <c r="DJ33" s="5">
        <f t="shared" si="65"/>
        <v>5555.74799</v>
      </c>
      <c r="DK33" s="5">
        <f t="shared" si="66"/>
        <v>283343.14749</v>
      </c>
      <c r="DL33" s="35">
        <f t="shared" si="67"/>
        <v>4761.6316214</v>
      </c>
      <c r="DN33" s="5">
        <f t="shared" si="95"/>
        <v>10228.217999999999</v>
      </c>
      <c r="DO33" s="5">
        <f t="shared" si="68"/>
        <v>204.56436</v>
      </c>
      <c r="DP33" s="36">
        <f t="shared" si="69"/>
        <v>10432.78236</v>
      </c>
      <c r="DQ33" s="35">
        <f t="shared" si="70"/>
        <v>175.3247496</v>
      </c>
      <c r="DS33" s="5">
        <f t="shared" si="96"/>
        <v>9053.999500000002</v>
      </c>
      <c r="DT33" s="36">
        <f t="shared" si="71"/>
        <v>181.07999</v>
      </c>
      <c r="DU33" s="36">
        <f t="shared" si="72"/>
        <v>9235.079490000002</v>
      </c>
      <c r="DV33" s="35">
        <f t="shared" si="73"/>
        <v>155.19714140000002</v>
      </c>
      <c r="DW33"/>
    </row>
    <row r="34" spans="2:127" ht="12.75">
      <c r="B34" s="34"/>
      <c r="C34" s="35"/>
      <c r="D34" s="35"/>
      <c r="E34" s="35"/>
      <c r="F34" s="35"/>
      <c r="H34"/>
      <c r="I34"/>
      <c r="J34"/>
      <c r="K34" s="35"/>
      <c r="L34"/>
      <c r="M34"/>
      <c r="N34"/>
      <c r="O34"/>
      <c r="P34" s="35"/>
      <c r="Q34"/>
      <c r="R34"/>
      <c r="S34"/>
      <c r="T34"/>
      <c r="U34" s="35"/>
      <c r="V34"/>
      <c r="W34"/>
      <c r="X34"/>
      <c r="Y34"/>
      <c r="Z34" s="35"/>
      <c r="AA34"/>
      <c r="AB34"/>
      <c r="AC34"/>
      <c r="AD34"/>
      <c r="AE34" s="35"/>
      <c r="AF34"/>
      <c r="AG34"/>
      <c r="AH34"/>
      <c r="AI34"/>
      <c r="AJ34" s="35"/>
      <c r="AK34"/>
      <c r="AL34"/>
      <c r="AM34"/>
      <c r="AO34" s="35"/>
      <c r="AP34"/>
      <c r="AQ34"/>
      <c r="AR34"/>
      <c r="AS34"/>
      <c r="AT34" s="35"/>
      <c r="AU34"/>
      <c r="AV34"/>
      <c r="AW34"/>
      <c r="AX34"/>
      <c r="AY34" s="35"/>
      <c r="AZ34"/>
      <c r="BA34"/>
      <c r="BB34"/>
      <c r="BC34"/>
      <c r="BD34" s="35"/>
      <c r="BE34"/>
      <c r="BF34"/>
      <c r="BG34"/>
      <c r="BH34"/>
      <c r="BI34" s="35"/>
      <c r="BJ34"/>
      <c r="BK34"/>
      <c r="BL34"/>
      <c r="BM34"/>
      <c r="BN34" s="35"/>
      <c r="BO34"/>
      <c r="BP34"/>
      <c r="BQ34"/>
      <c r="BR34"/>
      <c r="BS34" s="35"/>
      <c r="BT34"/>
      <c r="BU34"/>
      <c r="BV34"/>
      <c r="BW34"/>
      <c r="BX34" s="35"/>
      <c r="BY34"/>
      <c r="BZ34"/>
      <c r="CA34"/>
      <c r="CB34"/>
      <c r="CC34" s="35"/>
      <c r="CD34"/>
      <c r="CE34"/>
      <c r="CF34"/>
      <c r="CG34"/>
      <c r="CH34" s="35"/>
      <c r="CI34"/>
      <c r="CJ34"/>
      <c r="CK34"/>
      <c r="CL34"/>
      <c r="CM34" s="35"/>
      <c r="CN34"/>
      <c r="CO34"/>
      <c r="CP34"/>
      <c r="CR34" s="35"/>
      <c r="CS34"/>
      <c r="CT34"/>
      <c r="CU34"/>
      <c r="CW34" s="35"/>
      <c r="DB34" s="35"/>
      <c r="DG34" s="35"/>
      <c r="DL34" s="35"/>
      <c r="DQ34" s="35"/>
      <c r="DV34" s="35"/>
      <c r="DW34"/>
    </row>
    <row r="35" spans="1:127" ht="13.5" thickBot="1">
      <c r="A35" s="38" t="s">
        <v>16</v>
      </c>
      <c r="C35" s="39">
        <f>SUM(C8:C34)</f>
        <v>38120000</v>
      </c>
      <c r="D35" s="39">
        <f>SUM(D8:D34)</f>
        <v>10566650</v>
      </c>
      <c r="E35" s="39">
        <f>SUM(E8:E34)</f>
        <v>48686650</v>
      </c>
      <c r="F35" s="39">
        <f>SUM(F8:F34)</f>
        <v>3794908</v>
      </c>
      <c r="H35" s="39">
        <f>SUM(H8:H34)</f>
        <v>5745522.64</v>
      </c>
      <c r="I35" s="39">
        <f>SUM(I8:I34)</f>
        <v>1592626.6213</v>
      </c>
      <c r="J35" s="39">
        <f>SUM(J8:J34)</f>
        <v>7338149.261300001</v>
      </c>
      <c r="K35" s="39">
        <f>SUM(K8:K34)</f>
        <v>571976.1235759998</v>
      </c>
      <c r="M35" s="39">
        <f>SUM(M8:M34)</f>
        <v>2388385.728</v>
      </c>
      <c r="N35" s="39">
        <f>SUM(N8:N34)</f>
        <v>662047.1157600002</v>
      </c>
      <c r="O35" s="39">
        <f>SUM(O8:O34)</f>
        <v>3050432.843759999</v>
      </c>
      <c r="P35" s="39">
        <f>SUM(P8:P34)</f>
        <v>237767.68379519988</v>
      </c>
      <c r="R35" s="39">
        <f>SUM(R8:R34)</f>
        <v>1055.924</v>
      </c>
      <c r="S35" s="39">
        <f>SUM(S8:S34)</f>
        <v>292.69620499999996</v>
      </c>
      <c r="T35" s="39">
        <f>SUM(T8:T34)</f>
        <v>1348.6202050000006</v>
      </c>
      <c r="U35" s="39">
        <f>SUM(U8:U34)</f>
        <v>105.11895159999993</v>
      </c>
      <c r="W35" s="39">
        <f>SUM(W8:W34)</f>
        <v>47280.236</v>
      </c>
      <c r="X35" s="39">
        <f>SUM(X8:X34)</f>
        <v>13105.815994999992</v>
      </c>
      <c r="Y35" s="39">
        <f>SUM(Y8:Y34)</f>
        <v>60386.05199499999</v>
      </c>
      <c r="Z35" s="39">
        <f>SUM(Z8:Z34)</f>
        <v>4706.824392400001</v>
      </c>
      <c r="AB35" s="39">
        <f>SUM(AB8:AB34)</f>
        <v>28471.828</v>
      </c>
      <c r="AC35" s="39">
        <f>SUM(AC8:AC34)</f>
        <v>7892.230885000003</v>
      </c>
      <c r="AD35" s="39">
        <f>SUM(AD8:AD34)</f>
        <v>36364.058885000006</v>
      </c>
      <c r="AE35" s="39">
        <f>SUM(AE8:AE34)</f>
        <v>2834.416785199999</v>
      </c>
      <c r="AG35" s="39">
        <f>SUM(AG8:AG34)</f>
        <v>211604.12000000002</v>
      </c>
      <c r="AH35" s="39">
        <f>SUM(AH8:AH34)</f>
        <v>58655.47415</v>
      </c>
      <c r="AI35" s="39">
        <f>SUM(AI8:AI34)</f>
        <v>270259.5941500002</v>
      </c>
      <c r="AJ35" s="39">
        <f>SUM(AJ8:AJ34)</f>
        <v>21065.534308000002</v>
      </c>
      <c r="AL35" s="39">
        <f>SUM(AL8:AL34)</f>
        <v>65574.024</v>
      </c>
      <c r="AM35" s="39">
        <f>SUM(AM8:AM34)</f>
        <v>18176.75133</v>
      </c>
      <c r="AN35" s="39">
        <f>SUM(AN8:AN34)</f>
        <v>83750.77533000005</v>
      </c>
      <c r="AO35" s="39">
        <f>SUM(AO8:AO34)</f>
        <v>6528.0007416</v>
      </c>
      <c r="AQ35" s="39">
        <f>SUM(AQ8:AQ34)</f>
        <v>123455.432</v>
      </c>
      <c r="AR35" s="39">
        <f>SUM(AR8:AR34)</f>
        <v>34221.15269</v>
      </c>
      <c r="AS35" s="39">
        <f>SUM(AS8:AS34)</f>
        <v>157676.58469000005</v>
      </c>
      <c r="AT35" s="39">
        <f>SUM(AT8:AT34)</f>
        <v>12290.189048800006</v>
      </c>
      <c r="AV35" s="39">
        <f>SUM(AV8:AV34)</f>
        <v>26142.695999999996</v>
      </c>
      <c r="AW35" s="39">
        <f>SUM(AW8:AW34)</f>
        <v>7246.608569999995</v>
      </c>
      <c r="AX35" s="39">
        <f>SUM(AX8:AX34)</f>
        <v>33389.30457</v>
      </c>
      <c r="AY35" s="39">
        <f>SUM(AY8:AY34)</f>
        <v>2602.5479063999996</v>
      </c>
      <c r="BA35" s="39">
        <f>SUM(BA8:BA34)</f>
        <v>466142.796</v>
      </c>
      <c r="BB35" s="39">
        <f>SUM(BB8:BB34)</f>
        <v>129212.16619499991</v>
      </c>
      <c r="BC35" s="39">
        <f>SUM(BC8:BC34)</f>
        <v>595354.9621949999</v>
      </c>
      <c r="BD35" s="39">
        <f>SUM(BD8:BD34)</f>
        <v>46405.27349640001</v>
      </c>
      <c r="BF35" s="39">
        <f>SUM(BF8:BF34)</f>
        <v>215827.816</v>
      </c>
      <c r="BG35" s="39">
        <f>SUM(BG8:BG34)</f>
        <v>59826.258969999966</v>
      </c>
      <c r="BH35" s="39">
        <f>SUM(BH8:BH34)</f>
        <v>275654.07497000013</v>
      </c>
      <c r="BI35" s="39">
        <f>SUM(BI8:BI34)</f>
        <v>21486.010114399985</v>
      </c>
      <c r="BK35" s="39">
        <f>SUM(BK8:BK34)</f>
        <v>103366.19200000001</v>
      </c>
      <c r="BL35" s="39">
        <f>SUM(BL8:BL34)</f>
        <v>28652.52813999999</v>
      </c>
      <c r="BM35" s="39">
        <f>SUM(BM8:BM34)</f>
        <v>132018.7201400001</v>
      </c>
      <c r="BN35" s="39">
        <f>SUM(BN8:BN34)</f>
        <v>10290.272532800003</v>
      </c>
      <c r="BP35" s="39">
        <f>SUM(BP8:BP34)</f>
        <v>15251.812000000002</v>
      </c>
      <c r="BQ35" s="39">
        <f>SUM(BQ8:BQ34)</f>
        <v>4227.716665</v>
      </c>
      <c r="BR35" s="39">
        <f>SUM(BR8:BR34)</f>
        <v>19479.528664999994</v>
      </c>
      <c r="BS35" s="39">
        <f>SUM(BS8:BS34)</f>
        <v>1518.3426908000006</v>
      </c>
      <c r="BU35" s="39">
        <f>SUM(BU8:BU34)</f>
        <v>67621.068</v>
      </c>
      <c r="BV35" s="39">
        <f>SUM(BV8:BV34)</f>
        <v>18744.180435</v>
      </c>
      <c r="BW35" s="39">
        <f>SUM(BW8:BW34)</f>
        <v>86365.24843500003</v>
      </c>
      <c r="BX35" s="39">
        <f>SUM(BX8:BX34)</f>
        <v>6731.787301199999</v>
      </c>
      <c r="BZ35" s="39">
        <f>SUM(BZ8:BZ34)</f>
        <v>9312.715999999999</v>
      </c>
      <c r="CA35" s="39">
        <f>SUM(CA8:CA34)</f>
        <v>2581.4325950000016</v>
      </c>
      <c r="CB35" s="39">
        <f>SUM(CB8:CB34)</f>
        <v>11894.148594999997</v>
      </c>
      <c r="CC35" s="39">
        <f>SUM(CC8:CC34)</f>
        <v>927.0960244000003</v>
      </c>
      <c r="CE35" s="39">
        <f>SUM(CE8:CE34)</f>
        <v>194274.76799999998</v>
      </c>
      <c r="CF35" s="39">
        <f>SUM(CF8:CF34)</f>
        <v>53851.87505999999</v>
      </c>
      <c r="CG35" s="39">
        <f>SUM(CG8:CG34)</f>
        <v>248126.64306</v>
      </c>
      <c r="CH35" s="39">
        <f>SUM(CH8:CH34)</f>
        <v>19340.369131200012</v>
      </c>
      <c r="CJ35" s="39">
        <f>SUM(CJ8:CJ34)</f>
        <v>37632.064</v>
      </c>
      <c r="CK35" s="39">
        <f>SUM(CK8:CK34)</f>
        <v>10431.396879999998</v>
      </c>
      <c r="CL35" s="39">
        <f>SUM(CL8:CL34)</f>
        <v>48063.460879999984</v>
      </c>
      <c r="CM35" s="39">
        <f>SUM(CM8:CM34)</f>
        <v>3746.333177599998</v>
      </c>
      <c r="CO35" s="39">
        <f>SUM(CO8:CO34)</f>
        <v>49788.532</v>
      </c>
      <c r="CP35" s="39">
        <f>SUM(CP8:CP34)</f>
        <v>13801.101565000003</v>
      </c>
      <c r="CQ35" s="39">
        <f>SUM(CQ8:CQ34)</f>
        <v>63589.633565</v>
      </c>
      <c r="CR35" s="39">
        <f>SUM(CR8:CR34)</f>
        <v>4956.529338799999</v>
      </c>
      <c r="CT35" s="39">
        <f>SUM(CT8:CT34)</f>
        <v>161849.896</v>
      </c>
      <c r="CU35" s="39">
        <f>SUM(CU8:CU34)</f>
        <v>44863.88256999998</v>
      </c>
      <c r="CV35" s="39">
        <f>SUM(CV8:CV34)</f>
        <v>206713.7785699999</v>
      </c>
      <c r="CW35" s="39">
        <f>SUM(CW8:CW34)</f>
        <v>16112.42038639999</v>
      </c>
      <c r="CY35" s="39">
        <f>SUM(CY8:CY34)</f>
        <v>95151.332</v>
      </c>
      <c r="CZ35" s="39">
        <f>SUM(CZ8:CZ34)</f>
        <v>26375.415064999997</v>
      </c>
      <c r="DA35" s="39">
        <f>SUM(DA8:DA34)</f>
        <v>121526.747065</v>
      </c>
      <c r="DB35" s="39">
        <f>SUM(DB8:DB34)</f>
        <v>9472.469858799994</v>
      </c>
      <c r="DD35" s="39">
        <f>SUM(DD8:DD34)</f>
        <v>107410.72399999999</v>
      </c>
      <c r="DE35" s="39">
        <f>SUM(DE8:DE34)</f>
        <v>29773.649705000007</v>
      </c>
      <c r="DF35" s="39">
        <f>SUM(DF8:DF34)</f>
        <v>137184.37370500003</v>
      </c>
      <c r="DG35" s="39">
        <f>SUM(DG8:DG34)</f>
        <v>10692.912271599993</v>
      </c>
      <c r="DI35" s="39">
        <f>SUM(DI8:DI34)</f>
        <v>1243600.196</v>
      </c>
      <c r="DJ35" s="39">
        <f>SUM(DJ8:DJ34)</f>
        <v>344718.99294499995</v>
      </c>
      <c r="DK35" s="39">
        <f>SUM(DK8:DK34)</f>
        <v>1588319.188945</v>
      </c>
      <c r="DL35" s="39">
        <f>SUM(DL8:DL34)</f>
        <v>123802.42215639993</v>
      </c>
      <c r="DN35" s="39">
        <f>SUM(DN8:DN34)</f>
        <v>45789.744</v>
      </c>
      <c r="DO35" s="39">
        <f>SUM(DO8:DO34)</f>
        <v>12692.659979999999</v>
      </c>
      <c r="DP35" s="39">
        <f>SUM(DP8:DP34)</f>
        <v>58482.40398000001</v>
      </c>
      <c r="DQ35" s="39">
        <f>SUM(DQ8:DQ34)</f>
        <v>4558.443489599999</v>
      </c>
      <c r="DS35" s="39">
        <f>SUM(DS8:DS34)</f>
        <v>40532.99600000001</v>
      </c>
      <c r="DT35" s="39">
        <f>SUM(DT8:DT34)</f>
        <v>11235.518945</v>
      </c>
      <c r="DU35" s="39">
        <f>SUM(DU8:DU34)</f>
        <v>51768.51494500002</v>
      </c>
      <c r="DV35" s="39">
        <f>SUM(DV8:DV34)</f>
        <v>4035.1256763999995</v>
      </c>
      <c r="DW35"/>
    </row>
    <row r="36" spans="8:127" ht="13.5" thickTop="1">
      <c r="H36"/>
      <c r="I36"/>
      <c r="J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S36"/>
      <c r="CT36"/>
      <c r="CU36"/>
      <c r="DW36"/>
    </row>
    <row r="37" spans="8:127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S37"/>
      <c r="CT37"/>
      <c r="CU37"/>
      <c r="DW37"/>
    </row>
    <row r="38" spans="8:127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S38"/>
      <c r="CT38"/>
      <c r="CU38"/>
      <c r="DW38"/>
    </row>
    <row r="39" spans="8:127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S39"/>
      <c r="CT39"/>
      <c r="CU39"/>
      <c r="DW39"/>
    </row>
    <row r="40" spans="8:127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S40"/>
      <c r="CT40"/>
      <c r="CU40"/>
      <c r="DW40"/>
    </row>
    <row r="41" spans="8:127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S41"/>
      <c r="CT41"/>
      <c r="CU41"/>
      <c r="DW41"/>
    </row>
    <row r="42" spans="8:127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S42"/>
      <c r="CT42"/>
      <c r="CU42"/>
      <c r="DW42"/>
    </row>
    <row r="43" spans="1:127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2.75">
      <c r="A49"/>
      <c r="C49"/>
      <c r="D49"/>
      <c r="E49"/>
      <c r="F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2.75">
      <c r="A50"/>
      <c r="C50"/>
      <c r="D50"/>
      <c r="E50"/>
      <c r="F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2.75">
      <c r="A51"/>
      <c r="C51"/>
      <c r="D51"/>
      <c r="E51"/>
      <c r="F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2.75">
      <c r="A52"/>
      <c r="C52"/>
      <c r="D52"/>
      <c r="E52"/>
      <c r="F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2.75">
      <c r="A53"/>
      <c r="C53"/>
      <c r="D53"/>
      <c r="E53"/>
      <c r="F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2.75">
      <c r="A54"/>
      <c r="C54"/>
      <c r="D54"/>
      <c r="E54"/>
      <c r="F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2.75">
      <c r="A55"/>
      <c r="C55"/>
      <c r="D55"/>
      <c r="E55"/>
      <c r="F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2.75">
      <c r="A56"/>
      <c r="C56"/>
      <c r="D56"/>
      <c r="E56"/>
      <c r="F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2.75">
      <c r="A57"/>
      <c r="C57"/>
      <c r="D57"/>
      <c r="E57"/>
      <c r="F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2.75">
      <c r="A58"/>
      <c r="C58"/>
      <c r="D58"/>
      <c r="E58"/>
      <c r="F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2.75">
      <c r="A59"/>
      <c r="C59"/>
      <c r="D59"/>
      <c r="E59"/>
      <c r="F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2.75">
      <c r="A60"/>
      <c r="C60"/>
      <c r="D60"/>
      <c r="E60"/>
      <c r="F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2.75">
      <c r="A61"/>
      <c r="C61"/>
      <c r="D61"/>
      <c r="E61"/>
      <c r="F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2.75">
      <c r="A62"/>
      <c r="C62"/>
      <c r="D62"/>
      <c r="E62"/>
      <c r="F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2.75">
      <c r="A63"/>
      <c r="C63"/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2.75">
      <c r="A64"/>
      <c r="C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2.75">
      <c r="A65"/>
      <c r="C65"/>
      <c r="D65"/>
      <c r="E65"/>
      <c r="F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2.75">
      <c r="A66"/>
      <c r="C66"/>
      <c r="D66"/>
      <c r="E66"/>
      <c r="F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2.75">
      <c r="A67"/>
      <c r="C67"/>
      <c r="D67"/>
      <c r="E67"/>
      <c r="F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2.75">
      <c r="A68"/>
      <c r="C68"/>
      <c r="D68"/>
      <c r="E68"/>
      <c r="F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2.75">
      <c r="A69"/>
      <c r="C69"/>
      <c r="D69"/>
      <c r="E69"/>
      <c r="F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3:127" ht="12.75">
      <c r="C70"/>
      <c r="D70"/>
      <c r="E70"/>
      <c r="F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3:127" ht="12.75">
      <c r="C71"/>
      <c r="D71"/>
      <c r="E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3:127" ht="12.75">
      <c r="C72"/>
      <c r="D72"/>
      <c r="E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3:127" ht="12.75">
      <c r="C73"/>
      <c r="D73"/>
      <c r="E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3:127" ht="12.75">
      <c r="C74"/>
      <c r="D74"/>
      <c r="E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ht="12.75">
      <c r="A75"/>
      <c r="C75"/>
      <c r="D75"/>
      <c r="E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565"/>
  <sheetViews>
    <sheetView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167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166</v>
      </c>
      <c r="D5" s="11"/>
      <c r="E5" s="12"/>
      <c r="F5" s="12"/>
      <c r="G5" s="31"/>
      <c r="I5" s="13" t="s">
        <v>131</v>
      </c>
      <c r="J5" s="14"/>
      <c r="K5" s="15"/>
      <c r="L5" s="73"/>
      <c r="M5" s="31"/>
      <c r="O5" s="13" t="s">
        <v>136</v>
      </c>
      <c r="P5" s="16"/>
      <c r="Q5" s="15"/>
      <c r="R5" s="73"/>
      <c r="S5" s="31"/>
      <c r="U5" s="20" t="s">
        <v>132</v>
      </c>
      <c r="V5" s="18"/>
      <c r="W5" s="19"/>
      <c r="X5" s="73"/>
      <c r="Y5" s="31"/>
      <c r="AA5" s="17" t="s">
        <v>1</v>
      </c>
      <c r="AB5" s="18"/>
      <c r="AC5" s="19"/>
      <c r="AD5" s="73"/>
      <c r="AE5" s="31"/>
      <c r="AG5" s="20" t="s">
        <v>98</v>
      </c>
      <c r="AH5" s="18"/>
      <c r="AI5" s="19"/>
      <c r="AJ5" s="73"/>
      <c r="AK5" s="31"/>
      <c r="AM5" s="20" t="s">
        <v>147</v>
      </c>
      <c r="AN5" s="18"/>
      <c r="AO5" s="19"/>
      <c r="AP5" s="73"/>
      <c r="AQ5" s="31"/>
      <c r="AS5" s="17" t="s">
        <v>148</v>
      </c>
      <c r="AT5" s="18"/>
      <c r="AU5" s="19"/>
      <c r="AV5" s="73"/>
      <c r="AW5" s="31"/>
      <c r="AY5" s="20" t="s">
        <v>149</v>
      </c>
      <c r="AZ5" s="18"/>
      <c r="BA5" s="19"/>
      <c r="BB5" s="73"/>
      <c r="BC5" s="31"/>
      <c r="BE5" s="17" t="s">
        <v>2</v>
      </c>
      <c r="BF5" s="18"/>
      <c r="BG5" s="19"/>
      <c r="BH5" s="73"/>
      <c r="BI5" s="31"/>
      <c r="BK5" s="17" t="s">
        <v>3</v>
      </c>
      <c r="BL5" s="18"/>
      <c r="BM5" s="19"/>
      <c r="BN5" s="73"/>
      <c r="BO5" s="31"/>
      <c r="BP5" s="21"/>
      <c r="BQ5" s="17" t="s">
        <v>4</v>
      </c>
      <c r="BR5" s="18"/>
      <c r="BS5" s="19"/>
      <c r="BT5" s="73"/>
      <c r="BU5" s="31"/>
      <c r="BW5" s="20" t="s">
        <v>150</v>
      </c>
      <c r="BX5" s="18"/>
      <c r="BY5" s="19"/>
      <c r="BZ5" s="73"/>
      <c r="CA5" s="31"/>
      <c r="CC5" s="17" t="s">
        <v>5</v>
      </c>
      <c r="CD5" s="18"/>
      <c r="CE5" s="19"/>
      <c r="CF5" s="73"/>
      <c r="CG5" s="31"/>
      <c r="CI5" s="17" t="s">
        <v>6</v>
      </c>
      <c r="CJ5" s="18"/>
      <c r="CK5" s="19"/>
      <c r="CL5" s="73"/>
      <c r="CM5" s="31"/>
      <c r="CO5" s="20" t="s">
        <v>7</v>
      </c>
      <c r="CP5" s="18"/>
      <c r="CQ5" s="19"/>
      <c r="CR5" s="73"/>
      <c r="CS5" s="31"/>
      <c r="CU5" s="17" t="s">
        <v>133</v>
      </c>
      <c r="CV5" s="18"/>
      <c r="CW5" s="19"/>
      <c r="CX5" s="73"/>
      <c r="CY5" s="31"/>
      <c r="DA5" s="20" t="s">
        <v>8</v>
      </c>
      <c r="DB5" s="18"/>
      <c r="DC5" s="19"/>
      <c r="DD5" s="73"/>
      <c r="DE5" s="31"/>
      <c r="DG5" s="20" t="s">
        <v>9</v>
      </c>
      <c r="DH5" s="18"/>
      <c r="DI5" s="19"/>
      <c r="DJ5" s="73"/>
      <c r="DK5" s="31"/>
      <c r="DM5" s="20" t="s">
        <v>10</v>
      </c>
      <c r="DN5" s="18"/>
      <c r="DO5" s="19"/>
      <c r="DP5" s="73"/>
      <c r="DQ5" s="31"/>
      <c r="DS5" s="20" t="s">
        <v>134</v>
      </c>
      <c r="DT5" s="18"/>
      <c r="DU5" s="19"/>
      <c r="DV5" s="73"/>
      <c r="DW5" s="31"/>
      <c r="DY5" s="17" t="s">
        <v>11</v>
      </c>
      <c r="DZ5" s="18"/>
      <c r="EA5" s="19"/>
      <c r="EB5" s="73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1" t="s">
        <v>135</v>
      </c>
      <c r="D6" s="14"/>
      <c r="E6" s="40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1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1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165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165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165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165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165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165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165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165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165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165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165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165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165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165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165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165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165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165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165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43374</v>
      </c>
      <c r="D8" s="3">
        <v>1038966</v>
      </c>
      <c r="E8" s="35">
        <f aca="true" t="shared" si="0" ref="E8:E33">C8+D8</f>
        <v>1038966</v>
      </c>
      <c r="F8" s="35">
        <v>336483</v>
      </c>
      <c r="G8" s="35">
        <v>179766</v>
      </c>
      <c r="I8" s="36"/>
      <c r="J8" s="36">
        <f>'2016B Academic'!J8</f>
        <v>156595.03345200003</v>
      </c>
      <c r="K8" s="36">
        <f aca="true" t="shared" si="1" ref="K8:K33">I8+J8</f>
        <v>156595.03345200003</v>
      </c>
      <c r="L8" s="36">
        <f>'2016B Academic'!L8</f>
        <v>50715.390726000005</v>
      </c>
      <c r="M8" s="36">
        <f>'2016B Academic'!M8</f>
        <v>27094.691052000002</v>
      </c>
      <c r="O8" s="36"/>
      <c r="P8" s="35">
        <f aca="true" t="shared" si="2" ref="P8:P33">V8+AB8+AH8+AN8+AT8+AZ8+BF8+BL8+BR8+BX8+CD8+CJ8+CP8+CV8+DB8+DH8+DN8+DT8+DZ8+EF8</f>
        <v>882370.9665480001</v>
      </c>
      <c r="Q8" s="5">
        <f aca="true" t="shared" si="3" ref="Q8:Q33">O8+P8</f>
        <v>882370.9665480001</v>
      </c>
      <c r="R8" s="35">
        <f aca="true" t="shared" si="4" ref="R8:S33">X8+AD8+AJ8+AP8+AV8+BB8+BH8+BN8+BT8+BZ8+CF8+CL8+CR8+CX8+DD8+DJ8+DP8+DV8+EB8+EH8</f>
        <v>285767.609274</v>
      </c>
      <c r="S8" s="35">
        <f t="shared" si="4"/>
        <v>152671.308948</v>
      </c>
      <c r="U8" s="36"/>
      <c r="V8" s="36">
        <f aca="true" t="shared" si="5" ref="V8:V33">D8*$W$6</f>
        <v>39823.6706766</v>
      </c>
      <c r="W8" s="5">
        <f aca="true" t="shared" si="6" ref="W8:W33">U8+V8</f>
        <v>39823.6706766</v>
      </c>
      <c r="X8" s="36">
        <f aca="true" t="shared" si="7" ref="X8:X33">W$6*$F8</f>
        <v>12897.4270383</v>
      </c>
      <c r="Y8" s="36">
        <f aca="true" t="shared" si="8" ref="Y8:Y31">W$6*$G8</f>
        <v>6890.4487566</v>
      </c>
      <c r="AB8" s="36">
        <f aca="true" t="shared" si="9" ref="AB8:AB33">D8*$AC$6</f>
        <v>72162.1108062</v>
      </c>
      <c r="AC8" s="36">
        <f aca="true" t="shared" si="10" ref="AC8:AC33">AA8+AB8</f>
        <v>72162.1108062</v>
      </c>
      <c r="AD8" s="36">
        <f aca="true" t="shared" si="11" ref="AD8:AD33">AC$6*$F8</f>
        <v>23370.662303099998</v>
      </c>
      <c r="AE8" s="36">
        <f aca="true" t="shared" si="12" ref="AE8:AE31">AC$6*$G8</f>
        <v>12485.7733662</v>
      </c>
      <c r="AH8" s="5">
        <f aca="true" t="shared" si="13" ref="AH8:AH33">D8*$AI$6</f>
        <v>58145.8360866</v>
      </c>
      <c r="AI8" s="5">
        <f aca="true" t="shared" si="14" ref="AI8:AI33">AG8+AH8</f>
        <v>58145.8360866</v>
      </c>
      <c r="AJ8" s="36">
        <f aca="true" t="shared" si="15" ref="AJ8:AJ33">AI$6*$F8</f>
        <v>18831.3047433</v>
      </c>
      <c r="AK8" s="36">
        <f aca="true" t="shared" si="16" ref="AK8:AK31">AI$6*$G8</f>
        <v>10060.6221666</v>
      </c>
      <c r="AN8" s="5">
        <f aca="true" t="shared" si="17" ref="AN8:AN33">D8*$AO$6</f>
        <v>69100.589694</v>
      </c>
      <c r="AO8" s="5">
        <f aca="true" t="shared" si="18" ref="AO8:AO33">AM8+AN8</f>
        <v>69100.589694</v>
      </c>
      <c r="AP8" s="36">
        <f aca="true" t="shared" si="19" ref="AP8:AP33">AO$6*$F8</f>
        <v>22379.147847</v>
      </c>
      <c r="AQ8" s="36">
        <f aca="true" t="shared" si="20" ref="AQ8:AQ31">AO$6*$G8</f>
        <v>11956.056894</v>
      </c>
      <c r="AS8" s="36"/>
      <c r="AT8" s="36">
        <f aca="true" t="shared" si="21" ref="AT8:AT33">D8*$AU$6</f>
        <v>4127.3963316</v>
      </c>
      <c r="AU8" s="5">
        <f aca="true" t="shared" si="22" ref="AU8:AU33">AS8+AT8</f>
        <v>4127.3963316</v>
      </c>
      <c r="AV8" s="36">
        <f aca="true" t="shared" si="23" ref="AV8:AV33">AU$6*$F8</f>
        <v>1336.7123657999998</v>
      </c>
      <c r="AW8" s="36">
        <f aca="true" t="shared" si="24" ref="AW8:AW31">AU$6*$G8</f>
        <v>714.1384115999999</v>
      </c>
      <c r="AY8" s="36"/>
      <c r="AZ8" s="36">
        <f aca="true" t="shared" si="25" ref="AZ8:AZ33">D8*$BA$6</f>
        <v>371.53424160000003</v>
      </c>
      <c r="BA8" s="5">
        <f aca="true" t="shared" si="26" ref="BA8:BA33">AY8+AZ8</f>
        <v>371.53424160000003</v>
      </c>
      <c r="BB8" s="36">
        <f aca="true" t="shared" si="27" ref="BB8:BB33">BA$6*$F8</f>
        <v>120.3263208</v>
      </c>
      <c r="BC8" s="36">
        <f aca="true" t="shared" si="28" ref="BC8:BC31">BA$6*$G8</f>
        <v>64.2843216</v>
      </c>
      <c r="BD8" s="5"/>
      <c r="BE8" s="36"/>
      <c r="BF8" s="36">
        <f aca="true" t="shared" si="29" ref="BF8:BF33">D8*$BG$6</f>
        <v>76016.5707696</v>
      </c>
      <c r="BG8" s="5">
        <f aca="true" t="shared" si="30" ref="BG8:BG33">BE8+BF8</f>
        <v>76016.5707696</v>
      </c>
      <c r="BH8" s="36">
        <f aca="true" t="shared" si="31" ref="BH8:BH33">BG$6*$F8</f>
        <v>24618.9805848</v>
      </c>
      <c r="BI8" s="36">
        <f aca="true" t="shared" si="32" ref="BI8:BI31">BG$6*$G8</f>
        <v>13152.6872496</v>
      </c>
      <c r="BJ8" s="5"/>
      <c r="BK8" s="36"/>
      <c r="BL8" s="36">
        <f aca="true" t="shared" si="33" ref="BL8:BL33">D8*$BM$6</f>
        <v>2.7013116</v>
      </c>
      <c r="BM8" s="5">
        <f aca="true" t="shared" si="34" ref="BM8:BM33">BK8+BL8</f>
        <v>2.7013116</v>
      </c>
      <c r="BN8" s="36">
        <f aca="true" t="shared" si="35" ref="BN8:BN33">BM$6*$F8</f>
        <v>0.8748558000000001</v>
      </c>
      <c r="BO8" s="36">
        <f aca="true" t="shared" si="36" ref="BO8:BO31">BM$6*$G8</f>
        <v>0.4673916</v>
      </c>
      <c r="BP8" s="5"/>
      <c r="BQ8" s="36"/>
      <c r="BR8" s="36">
        <f aca="true" t="shared" si="37" ref="BR8:BR33">D8*$BS$6</f>
        <v>97096.56753</v>
      </c>
      <c r="BS8" s="5">
        <f aca="true" t="shared" si="38" ref="BS8:BS33">BQ8+BR8</f>
        <v>97096.56753</v>
      </c>
      <c r="BT8" s="36">
        <f aca="true" t="shared" si="39" ref="BT8:BT33">BS$6*$F8</f>
        <v>31446.018764999997</v>
      </c>
      <c r="BU8" s="36">
        <f aca="true" t="shared" si="40" ref="BU8:BU31">BS$6*$G8</f>
        <v>16800.03153</v>
      </c>
      <c r="BV8" s="5"/>
      <c r="BW8" s="36"/>
      <c r="BX8" s="36">
        <f aca="true" t="shared" si="41" ref="BX8:BX33">D8*$BY$6</f>
        <v>229.092003</v>
      </c>
      <c r="BY8" s="5">
        <f aca="true" t="shared" si="42" ref="BY8:BY33">BW8+BX8</f>
        <v>229.092003</v>
      </c>
      <c r="BZ8" s="36">
        <f aca="true" t="shared" si="43" ref="BZ8:BZ33">BY$6*$F8</f>
        <v>74.1945015</v>
      </c>
      <c r="CA8" s="36">
        <f aca="true" t="shared" si="44" ref="CA8:CA31">BY$6*$G8</f>
        <v>39.638403</v>
      </c>
      <c r="CB8" s="5"/>
      <c r="CC8" s="36"/>
      <c r="CD8" s="36">
        <f aca="true" t="shared" si="45" ref="CD8:CD33">D8*$CE$6</f>
        <v>40713.2333658</v>
      </c>
      <c r="CE8" s="5">
        <f aca="true" t="shared" si="46" ref="CE8:CE33">CC8+CD8</f>
        <v>40713.2333658</v>
      </c>
      <c r="CF8" s="36">
        <f aca="true" t="shared" si="47" ref="CF8:CF33">CE$6*$F8</f>
        <v>13185.5237829</v>
      </c>
      <c r="CG8" s="36">
        <f aca="true" t="shared" si="48" ref="CG8:CG31">CE$6*$G8</f>
        <v>7044.3644058</v>
      </c>
      <c r="CH8" s="5"/>
      <c r="CI8" s="5"/>
      <c r="CJ8" s="5">
        <f aca="true" t="shared" si="49" ref="CJ8:CJ33">D8*$CK$6</f>
        <v>205.5074748</v>
      </c>
      <c r="CK8" s="5">
        <f aca="true" t="shared" si="50" ref="CK8:CK33">CI8+CJ8</f>
        <v>205.5074748</v>
      </c>
      <c r="CL8" s="36">
        <f aca="true" t="shared" si="51" ref="CL8:CL33">CK$6*$F8</f>
        <v>66.5563374</v>
      </c>
      <c r="CM8" s="36">
        <f aca="true" t="shared" si="52" ref="CM8:CM31">CK$6*$G8</f>
        <v>35.5577148</v>
      </c>
      <c r="CN8" s="5"/>
      <c r="CO8" s="36"/>
      <c r="CP8" s="36">
        <f aca="true" t="shared" si="53" ref="CP8:CP33">D8*$CQ$6</f>
        <v>7990.2719196</v>
      </c>
      <c r="CQ8" s="5">
        <f aca="true" t="shared" si="54" ref="CQ8:CQ33">CO8+CP8</f>
        <v>7990.2719196</v>
      </c>
      <c r="CR8" s="36">
        <f aca="true" t="shared" si="55" ref="CR8:CR33">CQ$6*$F8</f>
        <v>2587.7561597999998</v>
      </c>
      <c r="CS8" s="36">
        <f aca="true" t="shared" si="56" ref="CS8:CS31">CQ$6*$G8</f>
        <v>1382.5083995999998</v>
      </c>
      <c r="CT8" s="5"/>
      <c r="CU8" s="36"/>
      <c r="CV8" s="36">
        <f aca="true" t="shared" si="57" ref="CV8:CV33">D8*$CW$6</f>
        <v>4253.838493800001</v>
      </c>
      <c r="CW8" s="5">
        <f aca="true" t="shared" si="58" ref="CW8:CW33">CU8+CV8</f>
        <v>4253.838493800001</v>
      </c>
      <c r="CX8" s="36">
        <f aca="true" t="shared" si="59" ref="CX8:CX33">CW$6*$F8</f>
        <v>1377.6623469</v>
      </c>
      <c r="CY8" s="36">
        <f aca="true" t="shared" si="60" ref="CY8:CY31">CW$6*$G8</f>
        <v>736.0159338000001</v>
      </c>
      <c r="CZ8" s="5"/>
      <c r="DA8" s="5"/>
      <c r="DB8" s="36">
        <f aca="true" t="shared" si="61" ref="DB8:DB33">D8*$DC$6</f>
        <v>13861.260992399999</v>
      </c>
      <c r="DC8" s="36">
        <f aca="true" t="shared" si="62" ref="DC8:DC33">DA8+DB8</f>
        <v>13861.260992399999</v>
      </c>
      <c r="DD8" s="36">
        <f aca="true" t="shared" si="63" ref="DD8:DD33">DC$6*$F8</f>
        <v>4489.1542962</v>
      </c>
      <c r="DE8" s="36">
        <f aca="true" t="shared" si="64" ref="DE8:DE31">DC$6*$G8</f>
        <v>2398.3301124</v>
      </c>
      <c r="DF8" s="5"/>
      <c r="DG8" s="5"/>
      <c r="DH8" s="36">
        <f aca="true" t="shared" si="65" ref="DH8:DH33">D8*$DI$6</f>
        <v>122013.7774182</v>
      </c>
      <c r="DI8" s="36">
        <f aca="true" t="shared" si="66" ref="DI8:DI33">DG8+DH8</f>
        <v>122013.7774182</v>
      </c>
      <c r="DJ8" s="36">
        <f aca="true" t="shared" si="67" ref="DJ8:DJ33">DI$6*$F8</f>
        <v>39515.7896091</v>
      </c>
      <c r="DK8" s="36">
        <f aca="true" t="shared" si="68" ref="DK8:DK31">DI$6*$G8</f>
        <v>21111.3055782</v>
      </c>
      <c r="DL8" s="5"/>
      <c r="DM8" s="36"/>
      <c r="DN8" s="36">
        <f aca="true" t="shared" si="69" ref="DN8:DN33">D8*$DO$6</f>
        <v>252609.72568620002</v>
      </c>
      <c r="DO8" s="5">
        <f aca="true" t="shared" si="70" ref="DO8:DO33">DM8+DN8</f>
        <v>252609.72568620002</v>
      </c>
      <c r="DP8" s="36">
        <f aca="true" t="shared" si="71" ref="DP8:DP33">DO$6*$F8</f>
        <v>81811.0297431</v>
      </c>
      <c r="DQ8" s="36">
        <f aca="true" t="shared" si="72" ref="DQ8:DQ31">DO$6*$G8</f>
        <v>43707.532246200004</v>
      </c>
      <c r="DR8" s="5"/>
      <c r="DS8" s="5"/>
      <c r="DT8" s="5">
        <f aca="true" t="shared" si="73" ref="DT8:DT33">D8*$DU$6</f>
        <v>11211.378209400002</v>
      </c>
      <c r="DU8" s="5">
        <f aca="true" t="shared" si="74" ref="DU8:DU33">DS8+DT8</f>
        <v>11211.378209400002</v>
      </c>
      <c r="DV8" s="36">
        <f aca="true" t="shared" si="75" ref="DV8:DV33">DU$6*$F8</f>
        <v>3630.9544047000004</v>
      </c>
      <c r="DW8" s="36">
        <f aca="true" t="shared" si="76" ref="DW8:DW31">DU$6*$G8</f>
        <v>1939.8369294000001</v>
      </c>
      <c r="DX8" s="5"/>
      <c r="DY8" s="36"/>
      <c r="DZ8" s="36">
        <f aca="true" t="shared" si="77" ref="DZ8:DZ33">D8*$EA$6</f>
        <v>12435.903536999998</v>
      </c>
      <c r="EA8" s="5">
        <f aca="true" t="shared" si="78" ref="EA8:EA33">DY8+DZ8</f>
        <v>12435.903536999998</v>
      </c>
      <c r="EB8" s="36">
        <f aca="true" t="shared" si="79" ref="EB8:EB33">EA$6*$F8</f>
        <v>4027.5332685</v>
      </c>
      <c r="EC8" s="36">
        <f aca="true" t="shared" si="80" ref="EC8:EC31">EA$6*$G8</f>
        <v>2151.709137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43556</v>
      </c>
      <c r="C9" s="3">
        <v>10000</v>
      </c>
      <c r="D9" s="3">
        <v>1038966</v>
      </c>
      <c r="E9" s="35">
        <f t="shared" si="0"/>
        <v>1048966</v>
      </c>
      <c r="F9" s="35">
        <v>336483</v>
      </c>
      <c r="G9" s="35">
        <v>179766</v>
      </c>
      <c r="I9" s="36">
        <f>'2016B Academic'!I9</f>
        <v>1507.2199999999998</v>
      </c>
      <c r="J9" s="36">
        <f>'2016B Academic'!J9</f>
        <v>156595.03345200003</v>
      </c>
      <c r="K9" s="36">
        <f t="shared" si="1"/>
        <v>158102.25345200003</v>
      </c>
      <c r="L9" s="36">
        <f>'2016B Academic'!L9</f>
        <v>50715.390726000005</v>
      </c>
      <c r="M9" s="36">
        <f>'2016B Academic'!M9</f>
        <v>27094.691052000002</v>
      </c>
      <c r="O9" s="36">
        <f aca="true" t="shared" si="81" ref="O9:O33">U9+AA9+AG9+AM9+AS9+AY9+BE9+BK9+BQ9+BW9+CC9+CI9+CO9+CP120+CU9+DA9+DG9+DM9+DS9+DY9+EE9</f>
        <v>8492.779999999999</v>
      </c>
      <c r="P9" s="35">
        <f t="shared" si="2"/>
        <v>882370.9665480001</v>
      </c>
      <c r="Q9" s="5">
        <f t="shared" si="3"/>
        <v>890863.7465480001</v>
      </c>
      <c r="R9" s="35">
        <f t="shared" si="4"/>
        <v>285767.609274</v>
      </c>
      <c r="S9" s="35">
        <f t="shared" si="4"/>
        <v>152671.308948</v>
      </c>
      <c r="U9" s="36">
        <f aca="true" t="shared" si="82" ref="U9:U33">C9*$W$6</f>
        <v>383.301</v>
      </c>
      <c r="V9" s="36">
        <f t="shared" si="5"/>
        <v>39823.6706766</v>
      </c>
      <c r="W9" s="5">
        <f t="shared" si="6"/>
        <v>40206.9716766</v>
      </c>
      <c r="X9" s="36">
        <f t="shared" si="7"/>
        <v>12897.4270383</v>
      </c>
      <c r="Y9" s="36">
        <f t="shared" si="8"/>
        <v>6890.4487566</v>
      </c>
      <c r="AA9" s="5">
        <f aca="true" t="shared" si="83" ref="AA9:AA33">C9*$AC$6</f>
        <v>694.5569999999999</v>
      </c>
      <c r="AB9" s="36">
        <f t="shared" si="9"/>
        <v>72162.1108062</v>
      </c>
      <c r="AC9" s="36">
        <f t="shared" si="10"/>
        <v>72856.6678062</v>
      </c>
      <c r="AD9" s="36">
        <f t="shared" si="11"/>
        <v>23370.662303099998</v>
      </c>
      <c r="AE9" s="36">
        <f t="shared" si="12"/>
        <v>12485.7733662</v>
      </c>
      <c r="AG9" s="5">
        <f aca="true" t="shared" si="84" ref="AG9:AG33">C9*$AI$6</f>
        <v>559.651</v>
      </c>
      <c r="AH9" s="5">
        <f t="shared" si="13"/>
        <v>58145.8360866</v>
      </c>
      <c r="AI9" s="5">
        <f t="shared" si="14"/>
        <v>58705.4870866</v>
      </c>
      <c r="AJ9" s="36">
        <f t="shared" si="15"/>
        <v>18831.3047433</v>
      </c>
      <c r="AK9" s="36">
        <f t="shared" si="16"/>
        <v>10060.6221666</v>
      </c>
      <c r="AM9" s="5">
        <f aca="true" t="shared" si="85" ref="AM9:AM33">C9*$AO$6</f>
        <v>665.09</v>
      </c>
      <c r="AN9" s="5">
        <f t="shared" si="17"/>
        <v>69100.589694</v>
      </c>
      <c r="AO9" s="5">
        <f t="shared" si="18"/>
        <v>69765.67969399999</v>
      </c>
      <c r="AP9" s="36">
        <f t="shared" si="19"/>
        <v>22379.147847</v>
      </c>
      <c r="AQ9" s="36">
        <f t="shared" si="20"/>
        <v>11956.056894</v>
      </c>
      <c r="AS9" s="36">
        <f aca="true" t="shared" si="86" ref="AS9:AS33">C9*$AU$6</f>
        <v>39.726</v>
      </c>
      <c r="AT9" s="36">
        <f t="shared" si="21"/>
        <v>4127.3963316</v>
      </c>
      <c r="AU9" s="5">
        <f t="shared" si="22"/>
        <v>4167.1223316</v>
      </c>
      <c r="AV9" s="36">
        <f t="shared" si="23"/>
        <v>1336.7123657999998</v>
      </c>
      <c r="AW9" s="36">
        <f t="shared" si="24"/>
        <v>714.1384115999999</v>
      </c>
      <c r="AY9" s="36">
        <f aca="true" t="shared" si="87" ref="AY9:AY33">C9*$BA$6</f>
        <v>3.576</v>
      </c>
      <c r="AZ9" s="36">
        <f t="shared" si="25"/>
        <v>371.53424160000003</v>
      </c>
      <c r="BA9" s="5">
        <f t="shared" si="26"/>
        <v>375.11024160000005</v>
      </c>
      <c r="BB9" s="36">
        <f t="shared" si="27"/>
        <v>120.3263208</v>
      </c>
      <c r="BC9" s="36">
        <f t="shared" si="28"/>
        <v>64.2843216</v>
      </c>
      <c r="BD9" s="5"/>
      <c r="BE9" s="36">
        <f aca="true" t="shared" si="88" ref="BE9:BE33">C9*$BG$6</f>
        <v>731.656</v>
      </c>
      <c r="BF9" s="36">
        <f t="shared" si="29"/>
        <v>76016.5707696</v>
      </c>
      <c r="BG9" s="5">
        <f t="shared" si="30"/>
        <v>76748.2267696</v>
      </c>
      <c r="BH9" s="36">
        <f t="shared" si="31"/>
        <v>24618.9805848</v>
      </c>
      <c r="BI9" s="36">
        <f t="shared" si="32"/>
        <v>13152.6872496</v>
      </c>
      <c r="BJ9" s="5"/>
      <c r="BK9" s="36">
        <f aca="true" t="shared" si="89" ref="BK9:BK33">C9*$BM$6</f>
        <v>0.026000000000000002</v>
      </c>
      <c r="BL9" s="36">
        <f t="shared" si="33"/>
        <v>2.7013116</v>
      </c>
      <c r="BM9" s="5">
        <f t="shared" si="34"/>
        <v>2.7273115999999997</v>
      </c>
      <c r="BN9" s="36">
        <f t="shared" si="35"/>
        <v>0.8748558000000001</v>
      </c>
      <c r="BO9" s="36">
        <f t="shared" si="36"/>
        <v>0.4673916</v>
      </c>
      <c r="BP9" s="5"/>
      <c r="BQ9" s="36">
        <f aca="true" t="shared" si="90" ref="BQ9:BQ33">C9*$BS$6</f>
        <v>934.55</v>
      </c>
      <c r="BR9" s="36">
        <f t="shared" si="37"/>
        <v>97096.56753</v>
      </c>
      <c r="BS9" s="5">
        <f t="shared" si="38"/>
        <v>98031.11753</v>
      </c>
      <c r="BT9" s="36">
        <f t="shared" si="39"/>
        <v>31446.018764999997</v>
      </c>
      <c r="BU9" s="36">
        <f t="shared" si="40"/>
        <v>16800.03153</v>
      </c>
      <c r="BV9" s="5"/>
      <c r="BW9" s="36">
        <f aca="true" t="shared" si="91" ref="BW9:BW33">C9*$BY$6</f>
        <v>2.205</v>
      </c>
      <c r="BX9" s="36">
        <f t="shared" si="41"/>
        <v>229.092003</v>
      </c>
      <c r="BY9" s="5">
        <f t="shared" si="42"/>
        <v>231.29700300000002</v>
      </c>
      <c r="BZ9" s="36">
        <f t="shared" si="43"/>
        <v>74.1945015</v>
      </c>
      <c r="CA9" s="36">
        <f t="shared" si="44"/>
        <v>39.638403</v>
      </c>
      <c r="CB9" s="5"/>
      <c r="CC9" s="36">
        <f aca="true" t="shared" si="92" ref="CC9:CC33">C9*$CE$6</f>
        <v>391.863</v>
      </c>
      <c r="CD9" s="36">
        <f t="shared" si="45"/>
        <v>40713.2333658</v>
      </c>
      <c r="CE9" s="5">
        <f t="shared" si="46"/>
        <v>41105.0963658</v>
      </c>
      <c r="CF9" s="36">
        <f t="shared" si="47"/>
        <v>13185.5237829</v>
      </c>
      <c r="CG9" s="36">
        <f t="shared" si="48"/>
        <v>7044.3644058</v>
      </c>
      <c r="CH9" s="5"/>
      <c r="CI9" s="5">
        <f aca="true" t="shared" si="93" ref="CI9:CI33">C9*$CK$6</f>
        <v>1.9780000000000002</v>
      </c>
      <c r="CJ9" s="5">
        <f t="shared" si="49"/>
        <v>205.5074748</v>
      </c>
      <c r="CK9" s="5">
        <f t="shared" si="50"/>
        <v>207.48547480000002</v>
      </c>
      <c r="CL9" s="36">
        <f t="shared" si="51"/>
        <v>66.5563374</v>
      </c>
      <c r="CM9" s="36">
        <f t="shared" si="52"/>
        <v>35.5577148</v>
      </c>
      <c r="CN9" s="5"/>
      <c r="CO9" s="36">
        <f aca="true" t="shared" si="94" ref="CO9:CO33">C9*$CQ$6</f>
        <v>76.90599999999999</v>
      </c>
      <c r="CP9" s="36">
        <f t="shared" si="53"/>
        <v>7990.2719196</v>
      </c>
      <c r="CQ9" s="5">
        <f t="shared" si="54"/>
        <v>8067.1779196</v>
      </c>
      <c r="CR9" s="36">
        <f t="shared" si="55"/>
        <v>2587.7561597999998</v>
      </c>
      <c r="CS9" s="36">
        <f t="shared" si="56"/>
        <v>1382.5083995999998</v>
      </c>
      <c r="CT9" s="5"/>
      <c r="CU9" s="36">
        <f aca="true" t="shared" si="95" ref="CU9:CU33">C9*$CW$6</f>
        <v>40.943000000000005</v>
      </c>
      <c r="CV9" s="36">
        <f t="shared" si="57"/>
        <v>4253.838493800001</v>
      </c>
      <c r="CW9" s="5">
        <f t="shared" si="58"/>
        <v>4294.781493800001</v>
      </c>
      <c r="CX9" s="36">
        <f t="shared" si="59"/>
        <v>1377.6623469</v>
      </c>
      <c r="CY9" s="36">
        <f t="shared" si="60"/>
        <v>736.0159338000001</v>
      </c>
      <c r="CZ9" s="5"/>
      <c r="DA9" s="5">
        <f aca="true" t="shared" si="96" ref="DA9:DA33">C9*$DC$6</f>
        <v>133.414</v>
      </c>
      <c r="DB9" s="36">
        <f t="shared" si="61"/>
        <v>13861.260992399999</v>
      </c>
      <c r="DC9" s="36">
        <f t="shared" si="62"/>
        <v>13994.6749924</v>
      </c>
      <c r="DD9" s="36">
        <f t="shared" si="63"/>
        <v>4489.1542962</v>
      </c>
      <c r="DE9" s="36">
        <f t="shared" si="64"/>
        <v>2398.3301124</v>
      </c>
      <c r="DF9" s="5"/>
      <c r="DG9" s="5">
        <f aca="true" t="shared" si="97" ref="DG9:DG33">C9*$DI$6</f>
        <v>1174.377</v>
      </c>
      <c r="DH9" s="36">
        <f t="shared" si="65"/>
        <v>122013.7774182</v>
      </c>
      <c r="DI9" s="36">
        <f t="shared" si="66"/>
        <v>123188.15441819999</v>
      </c>
      <c r="DJ9" s="36">
        <f t="shared" si="67"/>
        <v>39515.7896091</v>
      </c>
      <c r="DK9" s="36">
        <f t="shared" si="68"/>
        <v>21111.3055782</v>
      </c>
      <c r="DL9" s="5"/>
      <c r="DM9" s="36">
        <f aca="true" t="shared" si="98" ref="DM9:DM33">C9*$DO$6</f>
        <v>2431.357</v>
      </c>
      <c r="DN9" s="36">
        <f t="shared" si="69"/>
        <v>252609.72568620002</v>
      </c>
      <c r="DO9" s="5">
        <f t="shared" si="70"/>
        <v>255041.0826862</v>
      </c>
      <c r="DP9" s="36">
        <f t="shared" si="71"/>
        <v>81811.0297431</v>
      </c>
      <c r="DQ9" s="36">
        <f t="shared" si="72"/>
        <v>43707.532246200004</v>
      </c>
      <c r="DR9" s="5"/>
      <c r="DS9" s="5">
        <f aca="true" t="shared" si="99" ref="DS9:DS33">C9*$DU$6</f>
        <v>107.909</v>
      </c>
      <c r="DT9" s="5">
        <f t="shared" si="73"/>
        <v>11211.378209400002</v>
      </c>
      <c r="DU9" s="5">
        <f t="shared" si="74"/>
        <v>11319.287209400001</v>
      </c>
      <c r="DV9" s="36">
        <f t="shared" si="75"/>
        <v>3630.9544047000004</v>
      </c>
      <c r="DW9" s="36">
        <f t="shared" si="76"/>
        <v>1939.8369294000001</v>
      </c>
      <c r="DX9" s="5"/>
      <c r="DY9" s="36">
        <f aca="true" t="shared" si="100" ref="DY9:DY33">C9*$EA$6</f>
        <v>119.695</v>
      </c>
      <c r="DZ9" s="36">
        <f t="shared" si="77"/>
        <v>12435.903536999998</v>
      </c>
      <c r="EA9" s="5">
        <f t="shared" si="78"/>
        <v>12555.598536999998</v>
      </c>
      <c r="EB9" s="36">
        <f t="shared" si="79"/>
        <v>4027.5332685</v>
      </c>
      <c r="EC9" s="36">
        <f t="shared" si="80"/>
        <v>2151.709137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43739</v>
      </c>
      <c r="D10" s="3">
        <v>1038866</v>
      </c>
      <c r="E10" s="35">
        <f t="shared" si="0"/>
        <v>1038866</v>
      </c>
      <c r="F10" s="35">
        <v>336483</v>
      </c>
      <c r="G10" s="35">
        <v>179766</v>
      </c>
      <c r="I10" s="36"/>
      <c r="J10" s="36">
        <f>'2016B Academic'!J10</f>
        <v>156579.96125199998</v>
      </c>
      <c r="K10" s="36">
        <f t="shared" si="1"/>
        <v>156579.96125199998</v>
      </c>
      <c r="L10" s="36">
        <f>'2016B Academic'!L10</f>
        <v>50715.390726000005</v>
      </c>
      <c r="M10" s="36">
        <f>'2016B Academic'!M10</f>
        <v>27094.691052000002</v>
      </c>
      <c r="O10" s="36"/>
      <c r="P10" s="35">
        <f t="shared" si="2"/>
        <v>882286.0387480002</v>
      </c>
      <c r="Q10" s="5">
        <f t="shared" si="3"/>
        <v>882286.0387480002</v>
      </c>
      <c r="R10" s="35">
        <f t="shared" si="4"/>
        <v>285767.609274</v>
      </c>
      <c r="S10" s="35">
        <f t="shared" si="4"/>
        <v>152671.308948</v>
      </c>
      <c r="U10" s="36"/>
      <c r="V10" s="36">
        <f t="shared" si="5"/>
        <v>39819.8376666</v>
      </c>
      <c r="W10" s="5">
        <f t="shared" si="6"/>
        <v>39819.8376666</v>
      </c>
      <c r="X10" s="36">
        <f t="shared" si="7"/>
        <v>12897.4270383</v>
      </c>
      <c r="Y10" s="36">
        <f t="shared" si="8"/>
        <v>6890.4487566</v>
      </c>
      <c r="AB10" s="36">
        <f t="shared" si="9"/>
        <v>72155.1652362</v>
      </c>
      <c r="AC10" s="36">
        <f t="shared" si="10"/>
        <v>72155.1652362</v>
      </c>
      <c r="AD10" s="36">
        <f t="shared" si="11"/>
        <v>23370.662303099998</v>
      </c>
      <c r="AE10" s="36">
        <f t="shared" si="12"/>
        <v>12485.7733662</v>
      </c>
      <c r="AH10" s="5">
        <f t="shared" si="13"/>
        <v>58140.2395766</v>
      </c>
      <c r="AI10" s="5">
        <f t="shared" si="14"/>
        <v>58140.2395766</v>
      </c>
      <c r="AJ10" s="36">
        <f t="shared" si="15"/>
        <v>18831.3047433</v>
      </c>
      <c r="AK10" s="36">
        <f t="shared" si="16"/>
        <v>10060.6221666</v>
      </c>
      <c r="AN10" s="5">
        <f t="shared" si="17"/>
        <v>69093.938794</v>
      </c>
      <c r="AO10" s="5">
        <f t="shared" si="18"/>
        <v>69093.938794</v>
      </c>
      <c r="AP10" s="36">
        <f t="shared" si="19"/>
        <v>22379.147847</v>
      </c>
      <c r="AQ10" s="36">
        <f t="shared" si="20"/>
        <v>11956.056894</v>
      </c>
      <c r="AS10" s="36"/>
      <c r="AT10" s="36">
        <f t="shared" si="21"/>
        <v>4126.999071599999</v>
      </c>
      <c r="AU10" s="5">
        <f t="shared" si="22"/>
        <v>4126.999071599999</v>
      </c>
      <c r="AV10" s="36">
        <f t="shared" si="23"/>
        <v>1336.7123657999998</v>
      </c>
      <c r="AW10" s="36">
        <f t="shared" si="24"/>
        <v>714.1384115999999</v>
      </c>
      <c r="AY10" s="36"/>
      <c r="AZ10" s="36">
        <f t="shared" si="25"/>
        <v>371.4984816</v>
      </c>
      <c r="BA10" s="5">
        <f t="shared" si="26"/>
        <v>371.4984816</v>
      </c>
      <c r="BB10" s="36">
        <f t="shared" si="27"/>
        <v>120.3263208</v>
      </c>
      <c r="BC10" s="36">
        <f t="shared" si="28"/>
        <v>64.2843216</v>
      </c>
      <c r="BD10" s="5"/>
      <c r="BE10" s="36"/>
      <c r="BF10" s="36">
        <f t="shared" si="29"/>
        <v>76009.2542096</v>
      </c>
      <c r="BG10" s="5">
        <f t="shared" si="30"/>
        <v>76009.2542096</v>
      </c>
      <c r="BH10" s="36">
        <f t="shared" si="31"/>
        <v>24618.9805848</v>
      </c>
      <c r="BI10" s="36">
        <f t="shared" si="32"/>
        <v>13152.6872496</v>
      </c>
      <c r="BJ10" s="5"/>
      <c r="BK10" s="36"/>
      <c r="BL10" s="36">
        <f t="shared" si="33"/>
        <v>2.7010516</v>
      </c>
      <c r="BM10" s="5">
        <f t="shared" si="34"/>
        <v>2.7010516</v>
      </c>
      <c r="BN10" s="36">
        <f t="shared" si="35"/>
        <v>0.8748558000000001</v>
      </c>
      <c r="BO10" s="36">
        <f t="shared" si="36"/>
        <v>0.4673916</v>
      </c>
      <c r="BP10" s="5"/>
      <c r="BQ10" s="36"/>
      <c r="BR10" s="36">
        <f t="shared" si="37"/>
        <v>97087.22202999999</v>
      </c>
      <c r="BS10" s="5">
        <f t="shared" si="38"/>
        <v>97087.22202999999</v>
      </c>
      <c r="BT10" s="36">
        <f t="shared" si="39"/>
        <v>31446.018764999997</v>
      </c>
      <c r="BU10" s="36">
        <f t="shared" si="40"/>
        <v>16800.03153</v>
      </c>
      <c r="BV10" s="5"/>
      <c r="BW10" s="36"/>
      <c r="BX10" s="36">
        <f t="shared" si="41"/>
        <v>229.069953</v>
      </c>
      <c r="BY10" s="5">
        <f t="shared" si="42"/>
        <v>229.069953</v>
      </c>
      <c r="BZ10" s="36">
        <f t="shared" si="43"/>
        <v>74.1945015</v>
      </c>
      <c r="CA10" s="36">
        <f t="shared" si="44"/>
        <v>39.638403</v>
      </c>
      <c r="CB10" s="5"/>
      <c r="CC10" s="36"/>
      <c r="CD10" s="36">
        <f t="shared" si="45"/>
        <v>40709.3147358</v>
      </c>
      <c r="CE10" s="5">
        <f t="shared" si="46"/>
        <v>40709.3147358</v>
      </c>
      <c r="CF10" s="36">
        <f t="shared" si="47"/>
        <v>13185.5237829</v>
      </c>
      <c r="CG10" s="36">
        <f t="shared" si="48"/>
        <v>7044.3644058</v>
      </c>
      <c r="CH10" s="5"/>
      <c r="CI10" s="5"/>
      <c r="CJ10" s="5">
        <f t="shared" si="49"/>
        <v>205.4876948</v>
      </c>
      <c r="CK10" s="5">
        <f t="shared" si="50"/>
        <v>205.4876948</v>
      </c>
      <c r="CL10" s="36">
        <f t="shared" si="51"/>
        <v>66.5563374</v>
      </c>
      <c r="CM10" s="36">
        <f t="shared" si="52"/>
        <v>35.5577148</v>
      </c>
      <c r="CN10" s="5"/>
      <c r="CO10" s="36"/>
      <c r="CP10" s="36">
        <f t="shared" si="53"/>
        <v>7989.502859599999</v>
      </c>
      <c r="CQ10" s="5">
        <f t="shared" si="54"/>
        <v>7989.502859599999</v>
      </c>
      <c r="CR10" s="36">
        <f t="shared" si="55"/>
        <v>2587.7561597999998</v>
      </c>
      <c r="CS10" s="36">
        <f t="shared" si="56"/>
        <v>1382.5083995999998</v>
      </c>
      <c r="CT10" s="5"/>
      <c r="CU10" s="36"/>
      <c r="CV10" s="36">
        <f t="shared" si="57"/>
        <v>4253.4290638</v>
      </c>
      <c r="CW10" s="5">
        <f t="shared" si="58"/>
        <v>4253.4290638</v>
      </c>
      <c r="CX10" s="36">
        <f t="shared" si="59"/>
        <v>1377.6623469</v>
      </c>
      <c r="CY10" s="36">
        <f t="shared" si="60"/>
        <v>736.0159338000001</v>
      </c>
      <c r="CZ10" s="5"/>
      <c r="DA10" s="5"/>
      <c r="DB10" s="36">
        <f t="shared" si="61"/>
        <v>13859.9268524</v>
      </c>
      <c r="DC10" s="36">
        <f t="shared" si="62"/>
        <v>13859.9268524</v>
      </c>
      <c r="DD10" s="36">
        <f t="shared" si="63"/>
        <v>4489.1542962</v>
      </c>
      <c r="DE10" s="36">
        <f t="shared" si="64"/>
        <v>2398.3301124</v>
      </c>
      <c r="DF10" s="5"/>
      <c r="DG10" s="5"/>
      <c r="DH10" s="36">
        <f t="shared" si="65"/>
        <v>122002.03364820001</v>
      </c>
      <c r="DI10" s="36">
        <f t="shared" si="66"/>
        <v>122002.03364820001</v>
      </c>
      <c r="DJ10" s="36">
        <f t="shared" si="67"/>
        <v>39515.7896091</v>
      </c>
      <c r="DK10" s="36">
        <f t="shared" si="68"/>
        <v>21111.3055782</v>
      </c>
      <c r="DL10" s="5"/>
      <c r="DM10" s="36"/>
      <c r="DN10" s="36">
        <f t="shared" si="69"/>
        <v>252585.41211620002</v>
      </c>
      <c r="DO10" s="5">
        <f t="shared" si="70"/>
        <v>252585.41211620002</v>
      </c>
      <c r="DP10" s="36">
        <f t="shared" si="71"/>
        <v>81811.0297431</v>
      </c>
      <c r="DQ10" s="36">
        <f t="shared" si="72"/>
        <v>43707.532246200004</v>
      </c>
      <c r="DR10" s="5"/>
      <c r="DS10" s="5"/>
      <c r="DT10" s="5">
        <f t="shared" si="73"/>
        <v>11210.2991194</v>
      </c>
      <c r="DU10" s="5">
        <f t="shared" si="74"/>
        <v>11210.2991194</v>
      </c>
      <c r="DV10" s="36">
        <f t="shared" si="75"/>
        <v>3630.9544047000004</v>
      </c>
      <c r="DW10" s="36">
        <f t="shared" si="76"/>
        <v>1939.8369294000001</v>
      </c>
      <c r="DX10" s="5"/>
      <c r="DY10" s="36"/>
      <c r="DZ10" s="36">
        <f t="shared" si="77"/>
        <v>12434.706586999999</v>
      </c>
      <c r="EA10" s="5">
        <f t="shared" si="78"/>
        <v>12434.706586999999</v>
      </c>
      <c r="EB10" s="36">
        <f t="shared" si="79"/>
        <v>4027.5332685</v>
      </c>
      <c r="EC10" s="36">
        <f t="shared" si="80"/>
        <v>2151.709137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43922</v>
      </c>
      <c r="C11" s="3">
        <v>0</v>
      </c>
      <c r="D11" s="3">
        <v>1038866</v>
      </c>
      <c r="E11" s="35">
        <f t="shared" si="0"/>
        <v>1038866</v>
      </c>
      <c r="F11" s="35">
        <v>336483</v>
      </c>
      <c r="G11" s="35">
        <v>179766</v>
      </c>
      <c r="I11" s="36">
        <f>'2016B Academic'!I11</f>
        <v>0</v>
      </c>
      <c r="J11" s="36">
        <f>'2016B Academic'!J11</f>
        <v>156579.96125199998</v>
      </c>
      <c r="K11" s="36">
        <f t="shared" si="1"/>
        <v>156579.96125199998</v>
      </c>
      <c r="L11" s="36">
        <f>'2016B Academic'!L11</f>
        <v>50715.390726000005</v>
      </c>
      <c r="M11" s="36">
        <f>'2016B Academic'!M11</f>
        <v>27094.691052000002</v>
      </c>
      <c r="O11" s="36">
        <f t="shared" si="81"/>
        <v>0</v>
      </c>
      <c r="P11" s="35">
        <f t="shared" si="2"/>
        <v>882286.0387480002</v>
      </c>
      <c r="Q11" s="5">
        <f t="shared" si="3"/>
        <v>882286.0387480002</v>
      </c>
      <c r="R11" s="35">
        <f t="shared" si="4"/>
        <v>285767.609274</v>
      </c>
      <c r="S11" s="35">
        <f t="shared" si="4"/>
        <v>152671.308948</v>
      </c>
      <c r="U11" s="36">
        <f t="shared" si="82"/>
        <v>0</v>
      </c>
      <c r="V11" s="36">
        <f t="shared" si="5"/>
        <v>39819.8376666</v>
      </c>
      <c r="W11" s="5">
        <f t="shared" si="6"/>
        <v>39819.8376666</v>
      </c>
      <c r="X11" s="36">
        <f t="shared" si="7"/>
        <v>12897.4270383</v>
      </c>
      <c r="Y11" s="36">
        <f t="shared" si="8"/>
        <v>6890.4487566</v>
      </c>
      <c r="AA11" s="5">
        <f t="shared" si="83"/>
        <v>0</v>
      </c>
      <c r="AB11" s="36">
        <f t="shared" si="9"/>
        <v>72155.1652362</v>
      </c>
      <c r="AC11" s="36">
        <f t="shared" si="10"/>
        <v>72155.1652362</v>
      </c>
      <c r="AD11" s="36">
        <f t="shared" si="11"/>
        <v>23370.662303099998</v>
      </c>
      <c r="AE11" s="36">
        <f t="shared" si="12"/>
        <v>12485.7733662</v>
      </c>
      <c r="AG11" s="5">
        <f t="shared" si="84"/>
        <v>0</v>
      </c>
      <c r="AH11" s="5">
        <f t="shared" si="13"/>
        <v>58140.2395766</v>
      </c>
      <c r="AI11" s="5">
        <f t="shared" si="14"/>
        <v>58140.2395766</v>
      </c>
      <c r="AJ11" s="36">
        <f t="shared" si="15"/>
        <v>18831.3047433</v>
      </c>
      <c r="AK11" s="36">
        <f t="shared" si="16"/>
        <v>10060.6221666</v>
      </c>
      <c r="AM11" s="5">
        <f t="shared" si="85"/>
        <v>0</v>
      </c>
      <c r="AN11" s="5">
        <f t="shared" si="17"/>
        <v>69093.938794</v>
      </c>
      <c r="AO11" s="5">
        <f t="shared" si="18"/>
        <v>69093.938794</v>
      </c>
      <c r="AP11" s="36">
        <f t="shared" si="19"/>
        <v>22379.147847</v>
      </c>
      <c r="AQ11" s="36">
        <f t="shared" si="20"/>
        <v>11956.056894</v>
      </c>
      <c r="AS11" s="36">
        <f t="shared" si="86"/>
        <v>0</v>
      </c>
      <c r="AT11" s="36">
        <f t="shared" si="21"/>
        <v>4126.999071599999</v>
      </c>
      <c r="AU11" s="5">
        <f t="shared" si="22"/>
        <v>4126.999071599999</v>
      </c>
      <c r="AV11" s="36">
        <f t="shared" si="23"/>
        <v>1336.7123657999998</v>
      </c>
      <c r="AW11" s="36">
        <f t="shared" si="24"/>
        <v>714.1384115999999</v>
      </c>
      <c r="AY11" s="36">
        <f t="shared" si="87"/>
        <v>0</v>
      </c>
      <c r="AZ11" s="36">
        <f t="shared" si="25"/>
        <v>371.4984816</v>
      </c>
      <c r="BA11" s="5">
        <f t="shared" si="26"/>
        <v>371.4984816</v>
      </c>
      <c r="BB11" s="36">
        <f t="shared" si="27"/>
        <v>120.3263208</v>
      </c>
      <c r="BC11" s="36">
        <f t="shared" si="28"/>
        <v>64.2843216</v>
      </c>
      <c r="BD11" s="5"/>
      <c r="BE11" s="36">
        <f t="shared" si="88"/>
        <v>0</v>
      </c>
      <c r="BF11" s="36">
        <f t="shared" si="29"/>
        <v>76009.2542096</v>
      </c>
      <c r="BG11" s="5">
        <f t="shared" si="30"/>
        <v>76009.2542096</v>
      </c>
      <c r="BH11" s="36">
        <f t="shared" si="31"/>
        <v>24618.9805848</v>
      </c>
      <c r="BI11" s="36">
        <f t="shared" si="32"/>
        <v>13152.6872496</v>
      </c>
      <c r="BJ11" s="5"/>
      <c r="BK11" s="36">
        <f t="shared" si="89"/>
        <v>0</v>
      </c>
      <c r="BL11" s="36">
        <f t="shared" si="33"/>
        <v>2.7010516</v>
      </c>
      <c r="BM11" s="5">
        <f t="shared" si="34"/>
        <v>2.7010516</v>
      </c>
      <c r="BN11" s="36">
        <f t="shared" si="35"/>
        <v>0.8748558000000001</v>
      </c>
      <c r="BO11" s="36">
        <f t="shared" si="36"/>
        <v>0.4673916</v>
      </c>
      <c r="BP11" s="5"/>
      <c r="BQ11" s="36">
        <f t="shared" si="90"/>
        <v>0</v>
      </c>
      <c r="BR11" s="36">
        <f t="shared" si="37"/>
        <v>97087.22202999999</v>
      </c>
      <c r="BS11" s="5">
        <f t="shared" si="38"/>
        <v>97087.22202999999</v>
      </c>
      <c r="BT11" s="36">
        <f t="shared" si="39"/>
        <v>31446.018764999997</v>
      </c>
      <c r="BU11" s="36">
        <f t="shared" si="40"/>
        <v>16800.03153</v>
      </c>
      <c r="BV11" s="5"/>
      <c r="BW11" s="36">
        <f t="shared" si="91"/>
        <v>0</v>
      </c>
      <c r="BX11" s="36">
        <f t="shared" si="41"/>
        <v>229.069953</v>
      </c>
      <c r="BY11" s="5">
        <f t="shared" si="42"/>
        <v>229.069953</v>
      </c>
      <c r="BZ11" s="36">
        <f t="shared" si="43"/>
        <v>74.1945015</v>
      </c>
      <c r="CA11" s="36">
        <f t="shared" si="44"/>
        <v>39.638403</v>
      </c>
      <c r="CB11" s="5"/>
      <c r="CC11" s="36">
        <f t="shared" si="92"/>
        <v>0</v>
      </c>
      <c r="CD11" s="36">
        <f t="shared" si="45"/>
        <v>40709.3147358</v>
      </c>
      <c r="CE11" s="5">
        <f t="shared" si="46"/>
        <v>40709.3147358</v>
      </c>
      <c r="CF11" s="36">
        <f t="shared" si="47"/>
        <v>13185.5237829</v>
      </c>
      <c r="CG11" s="36">
        <f t="shared" si="48"/>
        <v>7044.3644058</v>
      </c>
      <c r="CH11" s="5"/>
      <c r="CI11" s="5">
        <f t="shared" si="93"/>
        <v>0</v>
      </c>
      <c r="CJ11" s="5">
        <f t="shared" si="49"/>
        <v>205.4876948</v>
      </c>
      <c r="CK11" s="5">
        <f t="shared" si="50"/>
        <v>205.4876948</v>
      </c>
      <c r="CL11" s="36">
        <f t="shared" si="51"/>
        <v>66.5563374</v>
      </c>
      <c r="CM11" s="36">
        <f t="shared" si="52"/>
        <v>35.5577148</v>
      </c>
      <c r="CN11" s="5"/>
      <c r="CO11" s="36">
        <f t="shared" si="94"/>
        <v>0</v>
      </c>
      <c r="CP11" s="36">
        <f t="shared" si="53"/>
        <v>7989.502859599999</v>
      </c>
      <c r="CQ11" s="5">
        <f t="shared" si="54"/>
        <v>7989.502859599999</v>
      </c>
      <c r="CR11" s="36">
        <f t="shared" si="55"/>
        <v>2587.7561597999998</v>
      </c>
      <c r="CS11" s="36">
        <f t="shared" si="56"/>
        <v>1382.5083995999998</v>
      </c>
      <c r="CT11" s="5"/>
      <c r="CU11" s="36">
        <f t="shared" si="95"/>
        <v>0</v>
      </c>
      <c r="CV11" s="36">
        <f t="shared" si="57"/>
        <v>4253.4290638</v>
      </c>
      <c r="CW11" s="5">
        <f t="shared" si="58"/>
        <v>4253.4290638</v>
      </c>
      <c r="CX11" s="36">
        <f t="shared" si="59"/>
        <v>1377.6623469</v>
      </c>
      <c r="CY11" s="36">
        <f t="shared" si="60"/>
        <v>736.0159338000001</v>
      </c>
      <c r="CZ11" s="5"/>
      <c r="DA11" s="5">
        <f t="shared" si="96"/>
        <v>0</v>
      </c>
      <c r="DB11" s="36">
        <f t="shared" si="61"/>
        <v>13859.9268524</v>
      </c>
      <c r="DC11" s="36">
        <f t="shared" si="62"/>
        <v>13859.9268524</v>
      </c>
      <c r="DD11" s="36">
        <f t="shared" si="63"/>
        <v>4489.1542962</v>
      </c>
      <c r="DE11" s="36">
        <f t="shared" si="64"/>
        <v>2398.3301124</v>
      </c>
      <c r="DF11" s="5"/>
      <c r="DG11" s="5">
        <f t="shared" si="97"/>
        <v>0</v>
      </c>
      <c r="DH11" s="36">
        <f t="shared" si="65"/>
        <v>122002.03364820001</v>
      </c>
      <c r="DI11" s="36">
        <f t="shared" si="66"/>
        <v>122002.03364820001</v>
      </c>
      <c r="DJ11" s="36">
        <f t="shared" si="67"/>
        <v>39515.7896091</v>
      </c>
      <c r="DK11" s="36">
        <f t="shared" si="68"/>
        <v>21111.3055782</v>
      </c>
      <c r="DL11" s="5"/>
      <c r="DM11" s="36">
        <f t="shared" si="98"/>
        <v>0</v>
      </c>
      <c r="DN11" s="36">
        <f t="shared" si="69"/>
        <v>252585.41211620002</v>
      </c>
      <c r="DO11" s="5">
        <f t="shared" si="70"/>
        <v>252585.41211620002</v>
      </c>
      <c r="DP11" s="36">
        <f t="shared" si="71"/>
        <v>81811.0297431</v>
      </c>
      <c r="DQ11" s="36">
        <f t="shared" si="72"/>
        <v>43707.532246200004</v>
      </c>
      <c r="DR11" s="5"/>
      <c r="DS11" s="5">
        <f t="shared" si="99"/>
        <v>0</v>
      </c>
      <c r="DT11" s="5">
        <f t="shared" si="73"/>
        <v>11210.2991194</v>
      </c>
      <c r="DU11" s="5">
        <f t="shared" si="74"/>
        <v>11210.2991194</v>
      </c>
      <c r="DV11" s="36">
        <f t="shared" si="75"/>
        <v>3630.9544047000004</v>
      </c>
      <c r="DW11" s="36">
        <f t="shared" si="76"/>
        <v>1939.8369294000001</v>
      </c>
      <c r="DX11" s="5"/>
      <c r="DY11" s="36">
        <f t="shared" si="100"/>
        <v>0</v>
      </c>
      <c r="DZ11" s="36">
        <f t="shared" si="77"/>
        <v>12434.706586999999</v>
      </c>
      <c r="EA11" s="5">
        <f t="shared" si="78"/>
        <v>12434.706586999999</v>
      </c>
      <c r="EB11" s="36">
        <f t="shared" si="79"/>
        <v>4027.5332685</v>
      </c>
      <c r="EC11" s="36">
        <f t="shared" si="80"/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44105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36"/>
      <c r="J12" s="36">
        <f>'2016B Academic'!J12</f>
        <v>156579.96125199998</v>
      </c>
      <c r="K12" s="36">
        <f t="shared" si="1"/>
        <v>156579.96125199998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2"/>
        <v>882286.0387480002</v>
      </c>
      <c r="Q12" s="5">
        <f t="shared" si="3"/>
        <v>882286.0387480002</v>
      </c>
      <c r="R12" s="35">
        <f t="shared" si="4"/>
        <v>285767.609274</v>
      </c>
      <c r="S12" s="35">
        <f t="shared" si="4"/>
        <v>152671.308948</v>
      </c>
      <c r="U12" s="36"/>
      <c r="V12" s="36">
        <f t="shared" si="5"/>
        <v>39819.8376666</v>
      </c>
      <c r="W12" s="5">
        <f t="shared" si="6"/>
        <v>39819.8376666</v>
      </c>
      <c r="X12" s="36">
        <f t="shared" si="7"/>
        <v>12897.4270383</v>
      </c>
      <c r="Y12" s="36">
        <f t="shared" si="8"/>
        <v>6890.4487566</v>
      </c>
      <c r="AB12" s="36">
        <f t="shared" si="9"/>
        <v>72155.1652362</v>
      </c>
      <c r="AC12" s="36">
        <f t="shared" si="10"/>
        <v>72155.1652362</v>
      </c>
      <c r="AD12" s="36">
        <f t="shared" si="11"/>
        <v>23370.662303099998</v>
      </c>
      <c r="AE12" s="36">
        <f t="shared" si="12"/>
        <v>12485.7733662</v>
      </c>
      <c r="AH12" s="5">
        <f t="shared" si="13"/>
        <v>58140.2395766</v>
      </c>
      <c r="AI12" s="5">
        <f t="shared" si="14"/>
        <v>58140.2395766</v>
      </c>
      <c r="AJ12" s="36">
        <f t="shared" si="15"/>
        <v>18831.3047433</v>
      </c>
      <c r="AK12" s="36">
        <f t="shared" si="16"/>
        <v>10060.6221666</v>
      </c>
      <c r="AN12" s="5">
        <f t="shared" si="17"/>
        <v>69093.938794</v>
      </c>
      <c r="AO12" s="5">
        <f t="shared" si="18"/>
        <v>69093.938794</v>
      </c>
      <c r="AP12" s="36">
        <f t="shared" si="19"/>
        <v>22379.147847</v>
      </c>
      <c r="AQ12" s="36">
        <f t="shared" si="20"/>
        <v>11956.056894</v>
      </c>
      <c r="AS12" s="36"/>
      <c r="AT12" s="36">
        <f t="shared" si="21"/>
        <v>4126.999071599999</v>
      </c>
      <c r="AU12" s="5">
        <f t="shared" si="22"/>
        <v>4126.999071599999</v>
      </c>
      <c r="AV12" s="36">
        <f t="shared" si="23"/>
        <v>1336.7123657999998</v>
      </c>
      <c r="AW12" s="36">
        <f t="shared" si="24"/>
        <v>714.1384115999999</v>
      </c>
      <c r="AY12" s="36"/>
      <c r="AZ12" s="36">
        <f t="shared" si="25"/>
        <v>371.4984816</v>
      </c>
      <c r="BA12" s="5">
        <f t="shared" si="26"/>
        <v>371.4984816</v>
      </c>
      <c r="BB12" s="36">
        <f t="shared" si="27"/>
        <v>120.3263208</v>
      </c>
      <c r="BC12" s="36">
        <f t="shared" si="28"/>
        <v>64.2843216</v>
      </c>
      <c r="BD12" s="5"/>
      <c r="BE12" s="36"/>
      <c r="BF12" s="36">
        <f t="shared" si="29"/>
        <v>76009.2542096</v>
      </c>
      <c r="BG12" s="5">
        <f t="shared" si="30"/>
        <v>76009.2542096</v>
      </c>
      <c r="BH12" s="36">
        <f t="shared" si="31"/>
        <v>24618.9805848</v>
      </c>
      <c r="BI12" s="36">
        <f t="shared" si="32"/>
        <v>13152.6872496</v>
      </c>
      <c r="BJ12" s="5"/>
      <c r="BK12" s="36"/>
      <c r="BL12" s="36">
        <f t="shared" si="33"/>
        <v>2.7010516</v>
      </c>
      <c r="BM12" s="5">
        <f t="shared" si="34"/>
        <v>2.7010516</v>
      </c>
      <c r="BN12" s="36">
        <f t="shared" si="35"/>
        <v>0.8748558000000001</v>
      </c>
      <c r="BO12" s="36">
        <f t="shared" si="36"/>
        <v>0.4673916</v>
      </c>
      <c r="BP12" s="5"/>
      <c r="BQ12" s="36"/>
      <c r="BR12" s="36">
        <f t="shared" si="37"/>
        <v>97087.22202999999</v>
      </c>
      <c r="BS12" s="5">
        <f t="shared" si="38"/>
        <v>97087.22202999999</v>
      </c>
      <c r="BT12" s="36">
        <f t="shared" si="39"/>
        <v>31446.018764999997</v>
      </c>
      <c r="BU12" s="36">
        <f t="shared" si="40"/>
        <v>16800.03153</v>
      </c>
      <c r="BV12" s="5"/>
      <c r="BW12" s="36"/>
      <c r="BX12" s="36">
        <f t="shared" si="41"/>
        <v>229.069953</v>
      </c>
      <c r="BY12" s="5">
        <f t="shared" si="42"/>
        <v>229.069953</v>
      </c>
      <c r="BZ12" s="36">
        <f t="shared" si="43"/>
        <v>74.1945015</v>
      </c>
      <c r="CA12" s="36">
        <f t="shared" si="44"/>
        <v>39.638403</v>
      </c>
      <c r="CB12" s="5"/>
      <c r="CC12" s="36"/>
      <c r="CD12" s="36">
        <f t="shared" si="45"/>
        <v>40709.3147358</v>
      </c>
      <c r="CE12" s="5">
        <f t="shared" si="46"/>
        <v>40709.3147358</v>
      </c>
      <c r="CF12" s="36">
        <f t="shared" si="47"/>
        <v>13185.5237829</v>
      </c>
      <c r="CG12" s="36">
        <f t="shared" si="48"/>
        <v>7044.3644058</v>
      </c>
      <c r="CH12" s="5"/>
      <c r="CI12" s="5"/>
      <c r="CJ12" s="5">
        <f t="shared" si="49"/>
        <v>205.4876948</v>
      </c>
      <c r="CK12" s="5">
        <f t="shared" si="50"/>
        <v>205.4876948</v>
      </c>
      <c r="CL12" s="36">
        <f t="shared" si="51"/>
        <v>66.5563374</v>
      </c>
      <c r="CM12" s="36">
        <f t="shared" si="52"/>
        <v>35.5577148</v>
      </c>
      <c r="CN12" s="5"/>
      <c r="CO12" s="36"/>
      <c r="CP12" s="36">
        <f t="shared" si="53"/>
        <v>7989.502859599999</v>
      </c>
      <c r="CQ12" s="5">
        <f t="shared" si="54"/>
        <v>7989.502859599999</v>
      </c>
      <c r="CR12" s="36">
        <f t="shared" si="55"/>
        <v>2587.7561597999998</v>
      </c>
      <c r="CS12" s="36">
        <f t="shared" si="56"/>
        <v>1382.5083995999998</v>
      </c>
      <c r="CT12" s="5"/>
      <c r="CU12" s="36"/>
      <c r="CV12" s="36">
        <f t="shared" si="57"/>
        <v>4253.4290638</v>
      </c>
      <c r="CW12" s="5">
        <f t="shared" si="58"/>
        <v>4253.4290638</v>
      </c>
      <c r="CX12" s="36">
        <f t="shared" si="59"/>
        <v>1377.6623469</v>
      </c>
      <c r="CY12" s="36">
        <f t="shared" si="60"/>
        <v>736.0159338000001</v>
      </c>
      <c r="CZ12" s="5"/>
      <c r="DA12" s="5"/>
      <c r="DB12" s="36">
        <f t="shared" si="61"/>
        <v>13859.9268524</v>
      </c>
      <c r="DC12" s="36">
        <f t="shared" si="62"/>
        <v>13859.9268524</v>
      </c>
      <c r="DD12" s="36">
        <f t="shared" si="63"/>
        <v>4489.1542962</v>
      </c>
      <c r="DE12" s="36">
        <f t="shared" si="64"/>
        <v>2398.3301124</v>
      </c>
      <c r="DF12" s="5"/>
      <c r="DG12" s="5"/>
      <c r="DH12" s="36">
        <f t="shared" si="65"/>
        <v>122002.03364820001</v>
      </c>
      <c r="DI12" s="36">
        <f t="shared" si="66"/>
        <v>122002.03364820001</v>
      </c>
      <c r="DJ12" s="36">
        <f t="shared" si="67"/>
        <v>39515.7896091</v>
      </c>
      <c r="DK12" s="36">
        <f t="shared" si="68"/>
        <v>21111.3055782</v>
      </c>
      <c r="DL12" s="5"/>
      <c r="DM12" s="36"/>
      <c r="DN12" s="36">
        <f t="shared" si="69"/>
        <v>252585.41211620002</v>
      </c>
      <c r="DO12" s="5">
        <f t="shared" si="70"/>
        <v>252585.41211620002</v>
      </c>
      <c r="DP12" s="36">
        <f t="shared" si="71"/>
        <v>81811.0297431</v>
      </c>
      <c r="DQ12" s="36">
        <f t="shared" si="72"/>
        <v>43707.532246200004</v>
      </c>
      <c r="DR12" s="5"/>
      <c r="DS12" s="5"/>
      <c r="DT12" s="5">
        <f t="shared" si="73"/>
        <v>11210.2991194</v>
      </c>
      <c r="DU12" s="5">
        <f t="shared" si="74"/>
        <v>11210.2991194</v>
      </c>
      <c r="DV12" s="36">
        <f t="shared" si="75"/>
        <v>3630.9544047000004</v>
      </c>
      <c r="DW12" s="36">
        <f t="shared" si="76"/>
        <v>1939.8369294000001</v>
      </c>
      <c r="DX12" s="5"/>
      <c r="DY12" s="36"/>
      <c r="DZ12" s="36">
        <f t="shared" si="77"/>
        <v>12434.706586999999</v>
      </c>
      <c r="EA12" s="5">
        <f t="shared" si="78"/>
        <v>12434.706586999999</v>
      </c>
      <c r="EB12" s="36">
        <f t="shared" si="79"/>
        <v>4027.5332685</v>
      </c>
      <c r="EC12" s="36">
        <f t="shared" si="8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44287</v>
      </c>
      <c r="C13" s="3">
        <v>0</v>
      </c>
      <c r="D13" s="3">
        <v>1038866</v>
      </c>
      <c r="E13" s="35">
        <f t="shared" si="0"/>
        <v>1038866</v>
      </c>
      <c r="F13" s="35">
        <v>336483</v>
      </c>
      <c r="G13" s="35">
        <v>179766</v>
      </c>
      <c r="I13" s="36">
        <f>'2016B Academic'!I13</f>
        <v>0</v>
      </c>
      <c r="J13" s="36">
        <f>'2016B Academic'!J13</f>
        <v>156579.96125199998</v>
      </c>
      <c r="K13" s="36">
        <f t="shared" si="1"/>
        <v>156579.96125199998</v>
      </c>
      <c r="L13" s="36">
        <f>'2016B Academic'!L13</f>
        <v>50715.390726000005</v>
      </c>
      <c r="M13" s="36">
        <f>'2016B Academic'!M13</f>
        <v>27094.691052000002</v>
      </c>
      <c r="O13" s="36">
        <f t="shared" si="81"/>
        <v>0</v>
      </c>
      <c r="P13" s="35">
        <f t="shared" si="2"/>
        <v>882286.0387480002</v>
      </c>
      <c r="Q13" s="5">
        <f t="shared" si="3"/>
        <v>882286.0387480002</v>
      </c>
      <c r="R13" s="35">
        <f t="shared" si="4"/>
        <v>285767.609274</v>
      </c>
      <c r="S13" s="35">
        <f t="shared" si="4"/>
        <v>152671.308948</v>
      </c>
      <c r="U13" s="36">
        <f t="shared" si="82"/>
        <v>0</v>
      </c>
      <c r="V13" s="36">
        <f t="shared" si="5"/>
        <v>39819.8376666</v>
      </c>
      <c r="W13" s="5">
        <f t="shared" si="6"/>
        <v>39819.8376666</v>
      </c>
      <c r="X13" s="36">
        <f t="shared" si="7"/>
        <v>12897.4270383</v>
      </c>
      <c r="Y13" s="36">
        <f t="shared" si="8"/>
        <v>6890.4487566</v>
      </c>
      <c r="AA13" s="5">
        <f t="shared" si="83"/>
        <v>0</v>
      </c>
      <c r="AB13" s="36">
        <f t="shared" si="9"/>
        <v>72155.1652362</v>
      </c>
      <c r="AC13" s="36">
        <f t="shared" si="10"/>
        <v>72155.1652362</v>
      </c>
      <c r="AD13" s="36">
        <f t="shared" si="11"/>
        <v>23370.662303099998</v>
      </c>
      <c r="AE13" s="36">
        <f t="shared" si="12"/>
        <v>12485.7733662</v>
      </c>
      <c r="AG13" s="5">
        <f t="shared" si="84"/>
        <v>0</v>
      </c>
      <c r="AH13" s="5">
        <f t="shared" si="13"/>
        <v>58140.2395766</v>
      </c>
      <c r="AI13" s="5">
        <f t="shared" si="14"/>
        <v>58140.2395766</v>
      </c>
      <c r="AJ13" s="36">
        <f t="shared" si="15"/>
        <v>18831.3047433</v>
      </c>
      <c r="AK13" s="36">
        <f t="shared" si="16"/>
        <v>10060.6221666</v>
      </c>
      <c r="AM13" s="5">
        <f t="shared" si="85"/>
        <v>0</v>
      </c>
      <c r="AN13" s="5">
        <f t="shared" si="17"/>
        <v>69093.938794</v>
      </c>
      <c r="AO13" s="5">
        <f t="shared" si="18"/>
        <v>69093.938794</v>
      </c>
      <c r="AP13" s="36">
        <f t="shared" si="19"/>
        <v>22379.147847</v>
      </c>
      <c r="AQ13" s="36">
        <f t="shared" si="20"/>
        <v>11956.056894</v>
      </c>
      <c r="AS13" s="36">
        <f t="shared" si="86"/>
        <v>0</v>
      </c>
      <c r="AT13" s="36">
        <f t="shared" si="21"/>
        <v>4126.999071599999</v>
      </c>
      <c r="AU13" s="5">
        <f t="shared" si="22"/>
        <v>4126.999071599999</v>
      </c>
      <c r="AV13" s="36">
        <f t="shared" si="23"/>
        <v>1336.7123657999998</v>
      </c>
      <c r="AW13" s="36">
        <f t="shared" si="24"/>
        <v>714.1384115999999</v>
      </c>
      <c r="AY13" s="36">
        <f t="shared" si="87"/>
        <v>0</v>
      </c>
      <c r="AZ13" s="36">
        <f t="shared" si="25"/>
        <v>371.4984816</v>
      </c>
      <c r="BA13" s="5">
        <f t="shared" si="26"/>
        <v>371.4984816</v>
      </c>
      <c r="BB13" s="36">
        <f t="shared" si="27"/>
        <v>120.3263208</v>
      </c>
      <c r="BC13" s="36">
        <f t="shared" si="28"/>
        <v>64.2843216</v>
      </c>
      <c r="BD13" s="5"/>
      <c r="BE13" s="36">
        <f t="shared" si="88"/>
        <v>0</v>
      </c>
      <c r="BF13" s="36">
        <f t="shared" si="29"/>
        <v>76009.2542096</v>
      </c>
      <c r="BG13" s="5">
        <f t="shared" si="30"/>
        <v>76009.2542096</v>
      </c>
      <c r="BH13" s="36">
        <f t="shared" si="31"/>
        <v>24618.9805848</v>
      </c>
      <c r="BI13" s="36">
        <f t="shared" si="32"/>
        <v>13152.6872496</v>
      </c>
      <c r="BJ13" s="5"/>
      <c r="BK13" s="36">
        <f t="shared" si="89"/>
        <v>0</v>
      </c>
      <c r="BL13" s="36">
        <f t="shared" si="33"/>
        <v>2.7010516</v>
      </c>
      <c r="BM13" s="5">
        <f t="shared" si="34"/>
        <v>2.7010516</v>
      </c>
      <c r="BN13" s="36">
        <f t="shared" si="35"/>
        <v>0.8748558000000001</v>
      </c>
      <c r="BO13" s="36">
        <f t="shared" si="36"/>
        <v>0.4673916</v>
      </c>
      <c r="BP13" s="5"/>
      <c r="BQ13" s="36">
        <f t="shared" si="90"/>
        <v>0</v>
      </c>
      <c r="BR13" s="36">
        <f t="shared" si="37"/>
        <v>97087.22202999999</v>
      </c>
      <c r="BS13" s="5">
        <f t="shared" si="38"/>
        <v>97087.22202999999</v>
      </c>
      <c r="BT13" s="36">
        <f t="shared" si="39"/>
        <v>31446.018764999997</v>
      </c>
      <c r="BU13" s="36">
        <f t="shared" si="40"/>
        <v>16800.03153</v>
      </c>
      <c r="BV13" s="5"/>
      <c r="BW13" s="36">
        <f t="shared" si="91"/>
        <v>0</v>
      </c>
      <c r="BX13" s="36">
        <f t="shared" si="41"/>
        <v>229.069953</v>
      </c>
      <c r="BY13" s="5">
        <f t="shared" si="42"/>
        <v>229.069953</v>
      </c>
      <c r="BZ13" s="36">
        <f t="shared" si="43"/>
        <v>74.1945015</v>
      </c>
      <c r="CA13" s="36">
        <f t="shared" si="44"/>
        <v>39.638403</v>
      </c>
      <c r="CB13" s="5"/>
      <c r="CC13" s="36">
        <f t="shared" si="92"/>
        <v>0</v>
      </c>
      <c r="CD13" s="36">
        <f t="shared" si="45"/>
        <v>40709.3147358</v>
      </c>
      <c r="CE13" s="5">
        <f t="shared" si="46"/>
        <v>40709.3147358</v>
      </c>
      <c r="CF13" s="36">
        <f t="shared" si="47"/>
        <v>13185.5237829</v>
      </c>
      <c r="CG13" s="36">
        <f t="shared" si="48"/>
        <v>7044.3644058</v>
      </c>
      <c r="CH13" s="5"/>
      <c r="CI13" s="5">
        <f t="shared" si="93"/>
        <v>0</v>
      </c>
      <c r="CJ13" s="5">
        <f t="shared" si="49"/>
        <v>205.4876948</v>
      </c>
      <c r="CK13" s="5">
        <f t="shared" si="50"/>
        <v>205.4876948</v>
      </c>
      <c r="CL13" s="36">
        <f t="shared" si="51"/>
        <v>66.5563374</v>
      </c>
      <c r="CM13" s="36">
        <f t="shared" si="52"/>
        <v>35.5577148</v>
      </c>
      <c r="CN13" s="5"/>
      <c r="CO13" s="36">
        <f t="shared" si="94"/>
        <v>0</v>
      </c>
      <c r="CP13" s="36">
        <f t="shared" si="53"/>
        <v>7989.502859599999</v>
      </c>
      <c r="CQ13" s="5">
        <f t="shared" si="54"/>
        <v>7989.502859599999</v>
      </c>
      <c r="CR13" s="36">
        <f t="shared" si="55"/>
        <v>2587.7561597999998</v>
      </c>
      <c r="CS13" s="36">
        <f t="shared" si="56"/>
        <v>1382.5083995999998</v>
      </c>
      <c r="CT13" s="5"/>
      <c r="CU13" s="36">
        <f t="shared" si="95"/>
        <v>0</v>
      </c>
      <c r="CV13" s="36">
        <f t="shared" si="57"/>
        <v>4253.4290638</v>
      </c>
      <c r="CW13" s="5">
        <f t="shared" si="58"/>
        <v>4253.4290638</v>
      </c>
      <c r="CX13" s="36">
        <f t="shared" si="59"/>
        <v>1377.6623469</v>
      </c>
      <c r="CY13" s="36">
        <f t="shared" si="60"/>
        <v>736.0159338000001</v>
      </c>
      <c r="CZ13" s="5"/>
      <c r="DA13" s="5">
        <f t="shared" si="96"/>
        <v>0</v>
      </c>
      <c r="DB13" s="36">
        <f t="shared" si="61"/>
        <v>13859.9268524</v>
      </c>
      <c r="DC13" s="36">
        <f t="shared" si="62"/>
        <v>13859.9268524</v>
      </c>
      <c r="DD13" s="36">
        <f t="shared" si="63"/>
        <v>4489.1542962</v>
      </c>
      <c r="DE13" s="36">
        <f t="shared" si="64"/>
        <v>2398.3301124</v>
      </c>
      <c r="DF13" s="5"/>
      <c r="DG13" s="5">
        <f t="shared" si="97"/>
        <v>0</v>
      </c>
      <c r="DH13" s="36">
        <f t="shared" si="65"/>
        <v>122002.03364820001</v>
      </c>
      <c r="DI13" s="36">
        <f t="shared" si="66"/>
        <v>122002.03364820001</v>
      </c>
      <c r="DJ13" s="36">
        <f t="shared" si="67"/>
        <v>39515.7896091</v>
      </c>
      <c r="DK13" s="36">
        <f t="shared" si="68"/>
        <v>21111.3055782</v>
      </c>
      <c r="DL13" s="5"/>
      <c r="DM13" s="36">
        <f t="shared" si="98"/>
        <v>0</v>
      </c>
      <c r="DN13" s="36">
        <f t="shared" si="69"/>
        <v>252585.41211620002</v>
      </c>
      <c r="DO13" s="5">
        <f t="shared" si="70"/>
        <v>252585.41211620002</v>
      </c>
      <c r="DP13" s="36">
        <f t="shared" si="71"/>
        <v>81811.0297431</v>
      </c>
      <c r="DQ13" s="36">
        <f t="shared" si="72"/>
        <v>43707.532246200004</v>
      </c>
      <c r="DR13" s="5"/>
      <c r="DS13" s="5">
        <f t="shared" si="99"/>
        <v>0</v>
      </c>
      <c r="DT13" s="5">
        <f t="shared" si="73"/>
        <v>11210.2991194</v>
      </c>
      <c r="DU13" s="5">
        <f t="shared" si="74"/>
        <v>11210.2991194</v>
      </c>
      <c r="DV13" s="36">
        <f t="shared" si="75"/>
        <v>3630.9544047000004</v>
      </c>
      <c r="DW13" s="36">
        <f t="shared" si="76"/>
        <v>1939.8369294000001</v>
      </c>
      <c r="DX13" s="5"/>
      <c r="DY13" s="36">
        <f t="shared" si="100"/>
        <v>0</v>
      </c>
      <c r="DZ13" s="36">
        <f t="shared" si="77"/>
        <v>12434.706586999999</v>
      </c>
      <c r="EA13" s="5">
        <f t="shared" si="78"/>
        <v>12434.706586999999</v>
      </c>
      <c r="EB13" s="36">
        <f t="shared" si="79"/>
        <v>4027.5332685</v>
      </c>
      <c r="EC13" s="36">
        <f t="shared" si="8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44470</v>
      </c>
      <c r="D14" s="3">
        <v>1038866</v>
      </c>
      <c r="E14" s="35">
        <f t="shared" si="0"/>
        <v>1038866</v>
      </c>
      <c r="F14" s="35">
        <v>336483</v>
      </c>
      <c r="G14" s="35">
        <v>179766</v>
      </c>
      <c r="I14" s="36"/>
      <c r="J14" s="36">
        <f>'2016B Academic'!J14</f>
        <v>156579.96125199998</v>
      </c>
      <c r="K14" s="36">
        <f t="shared" si="1"/>
        <v>156579.96125199998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2"/>
        <v>882286.0387480002</v>
      </c>
      <c r="Q14" s="5">
        <f t="shared" si="3"/>
        <v>882286.0387480002</v>
      </c>
      <c r="R14" s="35">
        <f t="shared" si="4"/>
        <v>285767.609274</v>
      </c>
      <c r="S14" s="35">
        <f t="shared" si="4"/>
        <v>152671.308948</v>
      </c>
      <c r="U14" s="36"/>
      <c r="V14" s="36">
        <f t="shared" si="5"/>
        <v>39819.8376666</v>
      </c>
      <c r="W14" s="5">
        <f t="shared" si="6"/>
        <v>39819.8376666</v>
      </c>
      <c r="X14" s="36">
        <f t="shared" si="7"/>
        <v>12897.4270383</v>
      </c>
      <c r="Y14" s="36">
        <f t="shared" si="8"/>
        <v>6890.4487566</v>
      </c>
      <c r="AB14" s="36">
        <f t="shared" si="9"/>
        <v>72155.1652362</v>
      </c>
      <c r="AC14" s="36">
        <f t="shared" si="10"/>
        <v>72155.1652362</v>
      </c>
      <c r="AD14" s="36">
        <f t="shared" si="11"/>
        <v>23370.662303099998</v>
      </c>
      <c r="AE14" s="36">
        <f t="shared" si="12"/>
        <v>12485.7733662</v>
      </c>
      <c r="AH14" s="5">
        <f t="shared" si="13"/>
        <v>58140.2395766</v>
      </c>
      <c r="AI14" s="5">
        <f t="shared" si="14"/>
        <v>58140.2395766</v>
      </c>
      <c r="AJ14" s="36">
        <f t="shared" si="15"/>
        <v>18831.3047433</v>
      </c>
      <c r="AK14" s="36">
        <f t="shared" si="16"/>
        <v>10060.6221666</v>
      </c>
      <c r="AN14" s="5">
        <f t="shared" si="17"/>
        <v>69093.938794</v>
      </c>
      <c r="AO14" s="5">
        <f t="shared" si="18"/>
        <v>69093.938794</v>
      </c>
      <c r="AP14" s="36">
        <f t="shared" si="19"/>
        <v>22379.147847</v>
      </c>
      <c r="AQ14" s="36">
        <f t="shared" si="20"/>
        <v>11956.056894</v>
      </c>
      <c r="AS14" s="36"/>
      <c r="AT14" s="36">
        <f t="shared" si="21"/>
        <v>4126.999071599999</v>
      </c>
      <c r="AU14" s="5">
        <f t="shared" si="22"/>
        <v>4126.999071599999</v>
      </c>
      <c r="AV14" s="36">
        <f t="shared" si="23"/>
        <v>1336.7123657999998</v>
      </c>
      <c r="AW14" s="36">
        <f t="shared" si="24"/>
        <v>714.1384115999999</v>
      </c>
      <c r="AY14" s="36"/>
      <c r="AZ14" s="36">
        <f t="shared" si="25"/>
        <v>371.4984816</v>
      </c>
      <c r="BA14" s="5">
        <f t="shared" si="26"/>
        <v>371.4984816</v>
      </c>
      <c r="BB14" s="36">
        <f t="shared" si="27"/>
        <v>120.3263208</v>
      </c>
      <c r="BC14" s="36">
        <f t="shared" si="28"/>
        <v>64.2843216</v>
      </c>
      <c r="BD14" s="5"/>
      <c r="BE14" s="36"/>
      <c r="BF14" s="36">
        <f t="shared" si="29"/>
        <v>76009.2542096</v>
      </c>
      <c r="BG14" s="5">
        <f t="shared" si="30"/>
        <v>76009.2542096</v>
      </c>
      <c r="BH14" s="36">
        <f t="shared" si="31"/>
        <v>24618.9805848</v>
      </c>
      <c r="BI14" s="36">
        <f t="shared" si="32"/>
        <v>13152.6872496</v>
      </c>
      <c r="BJ14" s="5"/>
      <c r="BK14" s="36"/>
      <c r="BL14" s="36">
        <f t="shared" si="33"/>
        <v>2.7010516</v>
      </c>
      <c r="BM14" s="5">
        <f t="shared" si="34"/>
        <v>2.7010516</v>
      </c>
      <c r="BN14" s="36">
        <f t="shared" si="35"/>
        <v>0.8748558000000001</v>
      </c>
      <c r="BO14" s="36">
        <f t="shared" si="36"/>
        <v>0.4673916</v>
      </c>
      <c r="BP14" s="5"/>
      <c r="BQ14" s="36"/>
      <c r="BR14" s="36">
        <f t="shared" si="37"/>
        <v>97087.22202999999</v>
      </c>
      <c r="BS14" s="5">
        <f t="shared" si="38"/>
        <v>97087.22202999999</v>
      </c>
      <c r="BT14" s="36">
        <f t="shared" si="39"/>
        <v>31446.018764999997</v>
      </c>
      <c r="BU14" s="36">
        <f t="shared" si="40"/>
        <v>16800.03153</v>
      </c>
      <c r="BV14" s="5"/>
      <c r="BW14" s="36"/>
      <c r="BX14" s="36">
        <f t="shared" si="41"/>
        <v>229.069953</v>
      </c>
      <c r="BY14" s="5">
        <f t="shared" si="42"/>
        <v>229.069953</v>
      </c>
      <c r="BZ14" s="36">
        <f t="shared" si="43"/>
        <v>74.1945015</v>
      </c>
      <c r="CA14" s="36">
        <f t="shared" si="44"/>
        <v>39.638403</v>
      </c>
      <c r="CB14" s="5"/>
      <c r="CC14" s="36"/>
      <c r="CD14" s="36">
        <f t="shared" si="45"/>
        <v>40709.3147358</v>
      </c>
      <c r="CE14" s="5">
        <f t="shared" si="46"/>
        <v>40709.3147358</v>
      </c>
      <c r="CF14" s="36">
        <f t="shared" si="47"/>
        <v>13185.5237829</v>
      </c>
      <c r="CG14" s="36">
        <f t="shared" si="48"/>
        <v>7044.3644058</v>
      </c>
      <c r="CH14" s="5"/>
      <c r="CI14" s="5"/>
      <c r="CJ14" s="5">
        <f t="shared" si="49"/>
        <v>205.4876948</v>
      </c>
      <c r="CK14" s="5">
        <f t="shared" si="50"/>
        <v>205.4876948</v>
      </c>
      <c r="CL14" s="36">
        <f t="shared" si="51"/>
        <v>66.5563374</v>
      </c>
      <c r="CM14" s="36">
        <f t="shared" si="52"/>
        <v>35.5577148</v>
      </c>
      <c r="CN14" s="5"/>
      <c r="CO14" s="36"/>
      <c r="CP14" s="36">
        <f t="shared" si="53"/>
        <v>7989.502859599999</v>
      </c>
      <c r="CQ14" s="5">
        <f t="shared" si="54"/>
        <v>7989.502859599999</v>
      </c>
      <c r="CR14" s="36">
        <f t="shared" si="55"/>
        <v>2587.7561597999998</v>
      </c>
      <c r="CS14" s="36">
        <f t="shared" si="56"/>
        <v>1382.5083995999998</v>
      </c>
      <c r="CT14" s="5"/>
      <c r="CU14" s="36"/>
      <c r="CV14" s="36">
        <f t="shared" si="57"/>
        <v>4253.4290638</v>
      </c>
      <c r="CW14" s="5">
        <f t="shared" si="58"/>
        <v>4253.4290638</v>
      </c>
      <c r="CX14" s="36">
        <f t="shared" si="59"/>
        <v>1377.6623469</v>
      </c>
      <c r="CY14" s="36">
        <f t="shared" si="60"/>
        <v>736.0159338000001</v>
      </c>
      <c r="CZ14" s="5"/>
      <c r="DA14" s="5"/>
      <c r="DB14" s="36">
        <f t="shared" si="61"/>
        <v>13859.9268524</v>
      </c>
      <c r="DC14" s="36">
        <f t="shared" si="62"/>
        <v>13859.9268524</v>
      </c>
      <c r="DD14" s="36">
        <f t="shared" si="63"/>
        <v>4489.1542962</v>
      </c>
      <c r="DE14" s="36">
        <f t="shared" si="64"/>
        <v>2398.3301124</v>
      </c>
      <c r="DF14" s="5"/>
      <c r="DG14" s="5"/>
      <c r="DH14" s="36">
        <f t="shared" si="65"/>
        <v>122002.03364820001</v>
      </c>
      <c r="DI14" s="36">
        <f t="shared" si="66"/>
        <v>122002.03364820001</v>
      </c>
      <c r="DJ14" s="36">
        <f t="shared" si="67"/>
        <v>39515.7896091</v>
      </c>
      <c r="DK14" s="36">
        <f t="shared" si="68"/>
        <v>21111.3055782</v>
      </c>
      <c r="DL14" s="5"/>
      <c r="DM14" s="36"/>
      <c r="DN14" s="36">
        <f t="shared" si="69"/>
        <v>252585.41211620002</v>
      </c>
      <c r="DO14" s="5">
        <f t="shared" si="70"/>
        <v>252585.41211620002</v>
      </c>
      <c r="DP14" s="36">
        <f t="shared" si="71"/>
        <v>81811.0297431</v>
      </c>
      <c r="DQ14" s="36">
        <f t="shared" si="72"/>
        <v>43707.532246200004</v>
      </c>
      <c r="DR14" s="5"/>
      <c r="DS14" s="5"/>
      <c r="DT14" s="5">
        <f t="shared" si="73"/>
        <v>11210.2991194</v>
      </c>
      <c r="DU14" s="5">
        <f t="shared" si="74"/>
        <v>11210.2991194</v>
      </c>
      <c r="DV14" s="36">
        <f t="shared" si="75"/>
        <v>3630.9544047000004</v>
      </c>
      <c r="DW14" s="36">
        <f t="shared" si="76"/>
        <v>1939.8369294000001</v>
      </c>
      <c r="DX14" s="5"/>
      <c r="DY14" s="36"/>
      <c r="DZ14" s="36">
        <f t="shared" si="77"/>
        <v>12434.706586999999</v>
      </c>
      <c r="EA14" s="5">
        <f t="shared" si="78"/>
        <v>12434.706586999999</v>
      </c>
      <c r="EB14" s="36">
        <f t="shared" si="79"/>
        <v>4027.5332685</v>
      </c>
      <c r="EC14" s="36">
        <f t="shared" si="8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44652</v>
      </c>
      <c r="C15" s="3">
        <v>5645000</v>
      </c>
      <c r="D15" s="3">
        <v>1038866</v>
      </c>
      <c r="E15" s="35">
        <f t="shared" si="0"/>
        <v>6683866</v>
      </c>
      <c r="F15" s="35">
        <v>336483</v>
      </c>
      <c r="G15" s="35">
        <v>179766</v>
      </c>
      <c r="I15" s="36">
        <f>'2016B Academic'!I15</f>
        <v>850825.6899999998</v>
      </c>
      <c r="J15" s="36">
        <f>'2016B Academic'!J15</f>
        <v>156579.96125199998</v>
      </c>
      <c r="K15" s="36">
        <f t="shared" si="1"/>
        <v>1007405.6512519998</v>
      </c>
      <c r="L15" s="36">
        <f>'2016B Academic'!L15</f>
        <v>50715.390726000005</v>
      </c>
      <c r="M15" s="36">
        <f>'2016B Academic'!M15</f>
        <v>27094.691052000002</v>
      </c>
      <c r="O15" s="36">
        <f t="shared" si="81"/>
        <v>4794174.31</v>
      </c>
      <c r="P15" s="35">
        <f t="shared" si="2"/>
        <v>882286.0387480002</v>
      </c>
      <c r="Q15" s="5">
        <f t="shared" si="3"/>
        <v>5676460.348747999</v>
      </c>
      <c r="R15" s="35">
        <f t="shared" si="4"/>
        <v>285767.609274</v>
      </c>
      <c r="S15" s="35">
        <f t="shared" si="4"/>
        <v>152671.308948</v>
      </c>
      <c r="U15" s="36">
        <f t="shared" si="82"/>
        <v>216373.41449999998</v>
      </c>
      <c r="V15" s="36">
        <f t="shared" si="5"/>
        <v>39819.8376666</v>
      </c>
      <c r="W15" s="5">
        <f t="shared" si="6"/>
        <v>256193.25216659997</v>
      </c>
      <c r="X15" s="36">
        <f t="shared" si="7"/>
        <v>12897.4270383</v>
      </c>
      <c r="Y15" s="36">
        <f t="shared" si="8"/>
        <v>6890.4487566</v>
      </c>
      <c r="AA15" s="5">
        <f t="shared" si="83"/>
        <v>392077.4265</v>
      </c>
      <c r="AB15" s="36">
        <f t="shared" si="9"/>
        <v>72155.1652362</v>
      </c>
      <c r="AC15" s="36">
        <f t="shared" si="10"/>
        <v>464232.59173620003</v>
      </c>
      <c r="AD15" s="36">
        <f t="shared" si="11"/>
        <v>23370.662303099998</v>
      </c>
      <c r="AE15" s="36">
        <f t="shared" si="12"/>
        <v>12485.7733662</v>
      </c>
      <c r="AG15" s="5">
        <f t="shared" si="84"/>
        <v>315922.98949999997</v>
      </c>
      <c r="AH15" s="5">
        <f t="shared" si="13"/>
        <v>58140.2395766</v>
      </c>
      <c r="AI15" s="5">
        <f t="shared" si="14"/>
        <v>374063.22907659994</v>
      </c>
      <c r="AJ15" s="36">
        <f t="shared" si="15"/>
        <v>18831.3047433</v>
      </c>
      <c r="AK15" s="36">
        <f t="shared" si="16"/>
        <v>10060.6221666</v>
      </c>
      <c r="AM15" s="5">
        <f t="shared" si="85"/>
        <v>375443.305</v>
      </c>
      <c r="AN15" s="5">
        <f t="shared" si="17"/>
        <v>69093.938794</v>
      </c>
      <c r="AO15" s="5">
        <f t="shared" si="18"/>
        <v>444537.243794</v>
      </c>
      <c r="AP15" s="36">
        <f t="shared" si="19"/>
        <v>22379.147847</v>
      </c>
      <c r="AQ15" s="36">
        <f t="shared" si="20"/>
        <v>11956.056894</v>
      </c>
      <c r="AS15" s="36">
        <f t="shared" si="86"/>
        <v>22425.326999999997</v>
      </c>
      <c r="AT15" s="36">
        <f t="shared" si="21"/>
        <v>4126.999071599999</v>
      </c>
      <c r="AU15" s="5">
        <f t="shared" si="22"/>
        <v>26552.326071599997</v>
      </c>
      <c r="AV15" s="36">
        <f t="shared" si="23"/>
        <v>1336.7123657999998</v>
      </c>
      <c r="AW15" s="36">
        <f t="shared" si="24"/>
        <v>714.1384115999999</v>
      </c>
      <c r="AY15" s="36">
        <f t="shared" si="87"/>
        <v>2018.652</v>
      </c>
      <c r="AZ15" s="36">
        <f t="shared" si="25"/>
        <v>371.4984816</v>
      </c>
      <c r="BA15" s="5">
        <f t="shared" si="26"/>
        <v>2390.1504816</v>
      </c>
      <c r="BB15" s="36">
        <f t="shared" si="27"/>
        <v>120.3263208</v>
      </c>
      <c r="BC15" s="36">
        <f t="shared" si="28"/>
        <v>64.2843216</v>
      </c>
      <c r="BD15" s="5"/>
      <c r="BE15" s="36">
        <f t="shared" si="88"/>
        <v>413019.812</v>
      </c>
      <c r="BF15" s="36">
        <f t="shared" si="29"/>
        <v>76009.2542096</v>
      </c>
      <c r="BG15" s="5">
        <f t="shared" si="30"/>
        <v>489029.06620959996</v>
      </c>
      <c r="BH15" s="36">
        <f t="shared" si="31"/>
        <v>24618.9805848</v>
      </c>
      <c r="BI15" s="36">
        <f t="shared" si="32"/>
        <v>13152.6872496</v>
      </c>
      <c r="BJ15" s="5"/>
      <c r="BK15" s="36">
        <f t="shared" si="89"/>
        <v>14.677000000000001</v>
      </c>
      <c r="BL15" s="36">
        <f t="shared" si="33"/>
        <v>2.7010516</v>
      </c>
      <c r="BM15" s="5">
        <f t="shared" si="34"/>
        <v>17.378051600000003</v>
      </c>
      <c r="BN15" s="36">
        <f t="shared" si="35"/>
        <v>0.8748558000000001</v>
      </c>
      <c r="BO15" s="36">
        <f t="shared" si="36"/>
        <v>0.4673916</v>
      </c>
      <c r="BP15" s="5"/>
      <c r="BQ15" s="36">
        <f t="shared" si="90"/>
        <v>527553.475</v>
      </c>
      <c r="BR15" s="36">
        <f t="shared" si="37"/>
        <v>97087.22202999999</v>
      </c>
      <c r="BS15" s="5">
        <f t="shared" si="38"/>
        <v>624640.6970299999</v>
      </c>
      <c r="BT15" s="36">
        <f t="shared" si="39"/>
        <v>31446.018764999997</v>
      </c>
      <c r="BU15" s="36">
        <f t="shared" si="40"/>
        <v>16800.03153</v>
      </c>
      <c r="BV15" s="5"/>
      <c r="BW15" s="36">
        <f t="shared" si="91"/>
        <v>1244.7224999999999</v>
      </c>
      <c r="BX15" s="36">
        <f t="shared" si="41"/>
        <v>229.069953</v>
      </c>
      <c r="BY15" s="5">
        <f t="shared" si="42"/>
        <v>1473.7924529999998</v>
      </c>
      <c r="BZ15" s="36">
        <f t="shared" si="43"/>
        <v>74.1945015</v>
      </c>
      <c r="CA15" s="36">
        <f t="shared" si="44"/>
        <v>39.638403</v>
      </c>
      <c r="CB15" s="5"/>
      <c r="CC15" s="36">
        <f t="shared" si="92"/>
        <v>221206.6635</v>
      </c>
      <c r="CD15" s="36">
        <f t="shared" si="45"/>
        <v>40709.3147358</v>
      </c>
      <c r="CE15" s="5">
        <f t="shared" si="46"/>
        <v>261915.9782358</v>
      </c>
      <c r="CF15" s="36">
        <f t="shared" si="47"/>
        <v>13185.5237829</v>
      </c>
      <c r="CG15" s="36">
        <f t="shared" si="48"/>
        <v>7044.3644058</v>
      </c>
      <c r="CH15" s="5"/>
      <c r="CI15" s="5">
        <f t="shared" si="93"/>
        <v>1116.5810000000001</v>
      </c>
      <c r="CJ15" s="5">
        <f t="shared" si="49"/>
        <v>205.4876948</v>
      </c>
      <c r="CK15" s="5">
        <f t="shared" si="50"/>
        <v>1322.0686948000002</v>
      </c>
      <c r="CL15" s="36">
        <f t="shared" si="51"/>
        <v>66.5563374</v>
      </c>
      <c r="CM15" s="36">
        <f t="shared" si="52"/>
        <v>35.5577148</v>
      </c>
      <c r="CN15" s="5"/>
      <c r="CO15" s="36">
        <f t="shared" si="94"/>
        <v>43413.437</v>
      </c>
      <c r="CP15" s="36">
        <f t="shared" si="53"/>
        <v>7989.502859599999</v>
      </c>
      <c r="CQ15" s="5">
        <f t="shared" si="54"/>
        <v>51402.939859599996</v>
      </c>
      <c r="CR15" s="36">
        <f t="shared" si="55"/>
        <v>2587.7561597999998</v>
      </c>
      <c r="CS15" s="36">
        <f t="shared" si="56"/>
        <v>1382.5083995999998</v>
      </c>
      <c r="CT15" s="5"/>
      <c r="CU15" s="36">
        <f t="shared" si="95"/>
        <v>23112.323500000002</v>
      </c>
      <c r="CV15" s="36">
        <f t="shared" si="57"/>
        <v>4253.4290638</v>
      </c>
      <c r="CW15" s="5">
        <f t="shared" si="58"/>
        <v>27365.7525638</v>
      </c>
      <c r="CX15" s="36">
        <f t="shared" si="59"/>
        <v>1377.6623469</v>
      </c>
      <c r="CY15" s="36">
        <f t="shared" si="60"/>
        <v>736.0159338000001</v>
      </c>
      <c r="CZ15" s="5"/>
      <c r="DA15" s="5">
        <f t="shared" si="96"/>
        <v>75312.203</v>
      </c>
      <c r="DB15" s="36">
        <f t="shared" si="61"/>
        <v>13859.9268524</v>
      </c>
      <c r="DC15" s="36">
        <f t="shared" si="62"/>
        <v>89172.12985239999</v>
      </c>
      <c r="DD15" s="36">
        <f t="shared" si="63"/>
        <v>4489.1542962</v>
      </c>
      <c r="DE15" s="36">
        <f t="shared" si="64"/>
        <v>2398.3301124</v>
      </c>
      <c r="DF15" s="5"/>
      <c r="DG15" s="5">
        <f t="shared" si="97"/>
        <v>662935.8165000001</v>
      </c>
      <c r="DH15" s="36">
        <f t="shared" si="65"/>
        <v>122002.03364820001</v>
      </c>
      <c r="DI15" s="36">
        <f t="shared" si="66"/>
        <v>784937.8501482</v>
      </c>
      <c r="DJ15" s="36">
        <f t="shared" si="67"/>
        <v>39515.7896091</v>
      </c>
      <c r="DK15" s="36">
        <f t="shared" si="68"/>
        <v>21111.3055782</v>
      </c>
      <c r="DL15" s="5"/>
      <c r="DM15" s="36">
        <f t="shared" si="98"/>
        <v>1372501.0265000002</v>
      </c>
      <c r="DN15" s="36">
        <f t="shared" si="69"/>
        <v>252585.41211620002</v>
      </c>
      <c r="DO15" s="5">
        <f t="shared" si="70"/>
        <v>1625086.4386162001</v>
      </c>
      <c r="DP15" s="36">
        <f t="shared" si="71"/>
        <v>81811.0297431</v>
      </c>
      <c r="DQ15" s="36">
        <f t="shared" si="72"/>
        <v>43707.532246200004</v>
      </c>
      <c r="DR15" s="5"/>
      <c r="DS15" s="5">
        <f t="shared" si="99"/>
        <v>60914.63050000001</v>
      </c>
      <c r="DT15" s="5">
        <f t="shared" si="73"/>
        <v>11210.2991194</v>
      </c>
      <c r="DU15" s="5">
        <f t="shared" si="74"/>
        <v>72124.9296194</v>
      </c>
      <c r="DV15" s="36">
        <f t="shared" si="75"/>
        <v>3630.9544047000004</v>
      </c>
      <c r="DW15" s="36">
        <f t="shared" si="76"/>
        <v>1939.8369294000001</v>
      </c>
      <c r="DX15" s="5"/>
      <c r="DY15" s="36">
        <f t="shared" si="100"/>
        <v>67567.8275</v>
      </c>
      <c r="DZ15" s="36">
        <f t="shared" si="77"/>
        <v>12434.706586999999</v>
      </c>
      <c r="EA15" s="5">
        <f t="shared" si="78"/>
        <v>80002.53408699999</v>
      </c>
      <c r="EB15" s="36">
        <f t="shared" si="79"/>
        <v>4027.5332685</v>
      </c>
      <c r="EC15" s="36">
        <f t="shared" si="8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44835</v>
      </c>
      <c r="D16" s="3">
        <v>897741</v>
      </c>
      <c r="E16" s="35">
        <f t="shared" si="0"/>
        <v>897741</v>
      </c>
      <c r="F16" s="35">
        <v>336483</v>
      </c>
      <c r="G16" s="35">
        <v>179766</v>
      </c>
      <c r="I16" s="36"/>
      <c r="J16" s="36">
        <f>'2016B Academic'!J16</f>
        <v>135309.31900199997</v>
      </c>
      <c r="K16" s="36">
        <f t="shared" si="1"/>
        <v>135309.31900199997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2"/>
        <v>762431.680998</v>
      </c>
      <c r="Q16" s="5">
        <f t="shared" si="3"/>
        <v>762431.680998</v>
      </c>
      <c r="R16" s="35">
        <f t="shared" si="4"/>
        <v>285767.609274</v>
      </c>
      <c r="S16" s="35">
        <f t="shared" si="4"/>
        <v>152671.308948</v>
      </c>
      <c r="U16" s="36"/>
      <c r="V16" s="36">
        <f t="shared" si="5"/>
        <v>34410.5023041</v>
      </c>
      <c r="W16" s="5">
        <f t="shared" si="6"/>
        <v>34410.5023041</v>
      </c>
      <c r="X16" s="36">
        <f t="shared" si="7"/>
        <v>12897.4270383</v>
      </c>
      <c r="Y16" s="36">
        <f t="shared" si="8"/>
        <v>6890.4487566</v>
      </c>
      <c r="AB16" s="36">
        <f t="shared" si="9"/>
        <v>62353.229573699995</v>
      </c>
      <c r="AC16" s="36">
        <f t="shared" si="10"/>
        <v>62353.229573699995</v>
      </c>
      <c r="AD16" s="36">
        <f t="shared" si="11"/>
        <v>23370.662303099998</v>
      </c>
      <c r="AE16" s="36">
        <f t="shared" si="12"/>
        <v>12485.7733662</v>
      </c>
      <c r="AH16" s="5">
        <f t="shared" si="13"/>
        <v>50242.1648391</v>
      </c>
      <c r="AI16" s="5">
        <f t="shared" si="14"/>
        <v>50242.1648391</v>
      </c>
      <c r="AJ16" s="36">
        <f t="shared" si="15"/>
        <v>18831.3047433</v>
      </c>
      <c r="AK16" s="36">
        <f t="shared" si="16"/>
        <v>10060.6221666</v>
      </c>
      <c r="AN16" s="5">
        <f t="shared" si="17"/>
        <v>59707.856169</v>
      </c>
      <c r="AO16" s="5">
        <f t="shared" si="18"/>
        <v>59707.856169</v>
      </c>
      <c r="AP16" s="36">
        <f t="shared" si="19"/>
        <v>22379.147847</v>
      </c>
      <c r="AQ16" s="36">
        <f t="shared" si="20"/>
        <v>11956.056894</v>
      </c>
      <c r="AS16" s="36"/>
      <c r="AT16" s="36">
        <f t="shared" si="21"/>
        <v>3566.3658966</v>
      </c>
      <c r="AU16" s="5">
        <f t="shared" si="22"/>
        <v>3566.3658966</v>
      </c>
      <c r="AV16" s="36">
        <f t="shared" si="23"/>
        <v>1336.7123657999998</v>
      </c>
      <c r="AW16" s="36">
        <f t="shared" si="24"/>
        <v>714.1384115999999</v>
      </c>
      <c r="AY16" s="36"/>
      <c r="AZ16" s="36">
        <f t="shared" si="25"/>
        <v>321.0321816</v>
      </c>
      <c r="BA16" s="5">
        <f t="shared" si="26"/>
        <v>321.0321816</v>
      </c>
      <c r="BB16" s="36">
        <f t="shared" si="27"/>
        <v>120.3263208</v>
      </c>
      <c r="BC16" s="36">
        <f t="shared" si="28"/>
        <v>64.2843216</v>
      </c>
      <c r="BD16" s="5"/>
      <c r="BE16" s="36"/>
      <c r="BF16" s="36">
        <f t="shared" si="29"/>
        <v>65683.7589096</v>
      </c>
      <c r="BG16" s="5">
        <f t="shared" si="30"/>
        <v>65683.7589096</v>
      </c>
      <c r="BH16" s="36">
        <f t="shared" si="31"/>
        <v>24618.9805848</v>
      </c>
      <c r="BI16" s="36">
        <f t="shared" si="32"/>
        <v>13152.6872496</v>
      </c>
      <c r="BJ16" s="5"/>
      <c r="BK16" s="36"/>
      <c r="BL16" s="36">
        <f t="shared" si="33"/>
        <v>2.3341266000000003</v>
      </c>
      <c r="BM16" s="5">
        <f t="shared" si="34"/>
        <v>2.3341266000000003</v>
      </c>
      <c r="BN16" s="36">
        <f t="shared" si="35"/>
        <v>0.8748558000000001</v>
      </c>
      <c r="BO16" s="36">
        <f t="shared" si="36"/>
        <v>0.4673916</v>
      </c>
      <c r="BP16" s="5"/>
      <c r="BQ16" s="36"/>
      <c r="BR16" s="36">
        <f t="shared" si="37"/>
        <v>83898.385155</v>
      </c>
      <c r="BS16" s="5">
        <f t="shared" si="38"/>
        <v>83898.385155</v>
      </c>
      <c r="BT16" s="36">
        <f t="shared" si="39"/>
        <v>31446.018764999997</v>
      </c>
      <c r="BU16" s="36">
        <f t="shared" si="40"/>
        <v>16800.03153</v>
      </c>
      <c r="BV16" s="5"/>
      <c r="BW16" s="36"/>
      <c r="BX16" s="36">
        <f t="shared" si="41"/>
        <v>197.9518905</v>
      </c>
      <c r="BY16" s="5">
        <f t="shared" si="42"/>
        <v>197.9518905</v>
      </c>
      <c r="BZ16" s="36">
        <f t="shared" si="43"/>
        <v>74.1945015</v>
      </c>
      <c r="CA16" s="36">
        <f t="shared" si="44"/>
        <v>39.638403</v>
      </c>
      <c r="CB16" s="5"/>
      <c r="CC16" s="36"/>
      <c r="CD16" s="36">
        <f t="shared" si="45"/>
        <v>35179.1481483</v>
      </c>
      <c r="CE16" s="5">
        <f t="shared" si="46"/>
        <v>35179.1481483</v>
      </c>
      <c r="CF16" s="36">
        <f t="shared" si="47"/>
        <v>13185.5237829</v>
      </c>
      <c r="CG16" s="36">
        <f t="shared" si="48"/>
        <v>7044.3644058</v>
      </c>
      <c r="CH16" s="5"/>
      <c r="CI16" s="5"/>
      <c r="CJ16" s="5">
        <f t="shared" si="49"/>
        <v>177.57316980000002</v>
      </c>
      <c r="CK16" s="5">
        <f t="shared" si="50"/>
        <v>177.57316980000002</v>
      </c>
      <c r="CL16" s="36">
        <f t="shared" si="51"/>
        <v>66.5563374</v>
      </c>
      <c r="CM16" s="36">
        <f t="shared" si="52"/>
        <v>35.5577148</v>
      </c>
      <c r="CN16" s="5"/>
      <c r="CO16" s="36"/>
      <c r="CP16" s="36">
        <f t="shared" si="53"/>
        <v>6904.1669346</v>
      </c>
      <c r="CQ16" s="5">
        <f t="shared" si="54"/>
        <v>6904.1669346</v>
      </c>
      <c r="CR16" s="36">
        <f t="shared" si="55"/>
        <v>2587.7561597999998</v>
      </c>
      <c r="CS16" s="36">
        <f t="shared" si="56"/>
        <v>1382.5083995999998</v>
      </c>
      <c r="CT16" s="5"/>
      <c r="CU16" s="36"/>
      <c r="CV16" s="36">
        <f t="shared" si="57"/>
        <v>3675.6209763</v>
      </c>
      <c r="CW16" s="5">
        <f t="shared" si="58"/>
        <v>3675.6209763</v>
      </c>
      <c r="CX16" s="36">
        <f t="shared" si="59"/>
        <v>1377.6623469</v>
      </c>
      <c r="CY16" s="36">
        <f t="shared" si="60"/>
        <v>736.0159338000001</v>
      </c>
      <c r="CZ16" s="5"/>
      <c r="DA16" s="5"/>
      <c r="DB16" s="36">
        <f t="shared" si="61"/>
        <v>11977.1217774</v>
      </c>
      <c r="DC16" s="36">
        <f t="shared" si="62"/>
        <v>11977.1217774</v>
      </c>
      <c r="DD16" s="36">
        <f t="shared" si="63"/>
        <v>4489.1542962</v>
      </c>
      <c r="DE16" s="36">
        <f t="shared" si="64"/>
        <v>2398.3301124</v>
      </c>
      <c r="DF16" s="5"/>
      <c r="DG16" s="5"/>
      <c r="DH16" s="36">
        <f t="shared" si="65"/>
        <v>105428.63823570001</v>
      </c>
      <c r="DI16" s="36">
        <f t="shared" si="66"/>
        <v>105428.63823570001</v>
      </c>
      <c r="DJ16" s="36">
        <f t="shared" si="67"/>
        <v>39515.7896091</v>
      </c>
      <c r="DK16" s="36">
        <f t="shared" si="68"/>
        <v>21111.3055782</v>
      </c>
      <c r="DL16" s="5"/>
      <c r="DM16" s="36"/>
      <c r="DN16" s="36">
        <f t="shared" si="69"/>
        <v>218272.88645370002</v>
      </c>
      <c r="DO16" s="5">
        <f t="shared" si="70"/>
        <v>218272.88645370002</v>
      </c>
      <c r="DP16" s="36">
        <f t="shared" si="71"/>
        <v>81811.0297431</v>
      </c>
      <c r="DQ16" s="36">
        <f t="shared" si="72"/>
        <v>43707.532246200004</v>
      </c>
      <c r="DR16" s="5"/>
      <c r="DS16" s="5"/>
      <c r="DT16" s="5">
        <f t="shared" si="73"/>
        <v>9687.433356900001</v>
      </c>
      <c r="DU16" s="5">
        <f t="shared" si="74"/>
        <v>9687.433356900001</v>
      </c>
      <c r="DV16" s="36">
        <f t="shared" si="75"/>
        <v>3630.9544047000004</v>
      </c>
      <c r="DW16" s="36">
        <f t="shared" si="76"/>
        <v>1939.8369294000001</v>
      </c>
      <c r="DX16" s="5"/>
      <c r="DY16" s="36"/>
      <c r="DZ16" s="36">
        <f t="shared" si="77"/>
        <v>10745.5108995</v>
      </c>
      <c r="EA16" s="5">
        <f t="shared" si="78"/>
        <v>10745.5108995</v>
      </c>
      <c r="EB16" s="36">
        <f t="shared" si="79"/>
        <v>4027.5332685</v>
      </c>
      <c r="EC16" s="36">
        <f t="shared" si="8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45017</v>
      </c>
      <c r="C17" s="3">
        <v>5930000</v>
      </c>
      <c r="D17" s="3">
        <v>897741</v>
      </c>
      <c r="E17" s="35">
        <f t="shared" si="0"/>
        <v>6827741</v>
      </c>
      <c r="F17" s="35">
        <v>336483</v>
      </c>
      <c r="G17" s="35">
        <v>179766</v>
      </c>
      <c r="I17" s="36">
        <f>'2016B Academic'!I17</f>
        <v>893781.46</v>
      </c>
      <c r="J17" s="36">
        <f>'2016B Academic'!J17</f>
        <v>135309.31900199997</v>
      </c>
      <c r="K17" s="36">
        <f t="shared" si="1"/>
        <v>1029090.7790019999</v>
      </c>
      <c r="L17" s="36">
        <f>'2016B Academic'!L17</f>
        <v>50715.390726000005</v>
      </c>
      <c r="M17" s="36">
        <f>'2016B Academic'!M17</f>
        <v>27094.691052000002</v>
      </c>
      <c r="O17" s="36">
        <f t="shared" si="81"/>
        <v>5036218.539999999</v>
      </c>
      <c r="P17" s="35">
        <f t="shared" si="2"/>
        <v>762431.680998</v>
      </c>
      <c r="Q17" s="5">
        <f t="shared" si="3"/>
        <v>5798650.220997999</v>
      </c>
      <c r="R17" s="35">
        <f t="shared" si="4"/>
        <v>285767.609274</v>
      </c>
      <c r="S17" s="35">
        <f t="shared" si="4"/>
        <v>152671.308948</v>
      </c>
      <c r="U17" s="36">
        <f t="shared" si="82"/>
        <v>227297.493</v>
      </c>
      <c r="V17" s="36">
        <f t="shared" si="5"/>
        <v>34410.5023041</v>
      </c>
      <c r="W17" s="5">
        <f t="shared" si="6"/>
        <v>261707.99530409998</v>
      </c>
      <c r="X17" s="36">
        <f t="shared" si="7"/>
        <v>12897.4270383</v>
      </c>
      <c r="Y17" s="36">
        <f t="shared" si="8"/>
        <v>6890.4487566</v>
      </c>
      <c r="AA17" s="5">
        <f t="shared" si="83"/>
        <v>411872.301</v>
      </c>
      <c r="AB17" s="36">
        <f t="shared" si="9"/>
        <v>62353.229573699995</v>
      </c>
      <c r="AC17" s="36">
        <f t="shared" si="10"/>
        <v>474225.5305737</v>
      </c>
      <c r="AD17" s="36">
        <f t="shared" si="11"/>
        <v>23370.662303099998</v>
      </c>
      <c r="AE17" s="36">
        <f t="shared" si="12"/>
        <v>12485.7733662</v>
      </c>
      <c r="AG17" s="5">
        <f t="shared" si="84"/>
        <v>331873.043</v>
      </c>
      <c r="AH17" s="5">
        <f t="shared" si="13"/>
        <v>50242.1648391</v>
      </c>
      <c r="AI17" s="5">
        <f t="shared" si="14"/>
        <v>382115.2078391</v>
      </c>
      <c r="AJ17" s="36">
        <f t="shared" si="15"/>
        <v>18831.3047433</v>
      </c>
      <c r="AK17" s="36">
        <f t="shared" si="16"/>
        <v>10060.6221666</v>
      </c>
      <c r="AM17" s="5">
        <f t="shared" si="85"/>
        <v>394398.37</v>
      </c>
      <c r="AN17" s="5">
        <f t="shared" si="17"/>
        <v>59707.856169</v>
      </c>
      <c r="AO17" s="5">
        <f t="shared" si="18"/>
        <v>454106.226169</v>
      </c>
      <c r="AP17" s="36">
        <f t="shared" si="19"/>
        <v>22379.147847</v>
      </c>
      <c r="AQ17" s="36">
        <f t="shared" si="20"/>
        <v>11956.056894</v>
      </c>
      <c r="AS17" s="36">
        <f t="shared" si="86"/>
        <v>23557.518</v>
      </c>
      <c r="AT17" s="36">
        <f t="shared" si="21"/>
        <v>3566.3658966</v>
      </c>
      <c r="AU17" s="5">
        <f t="shared" si="22"/>
        <v>27123.8838966</v>
      </c>
      <c r="AV17" s="36">
        <f t="shared" si="23"/>
        <v>1336.7123657999998</v>
      </c>
      <c r="AW17" s="36">
        <f t="shared" si="24"/>
        <v>714.1384115999999</v>
      </c>
      <c r="AY17" s="36">
        <f t="shared" si="87"/>
        <v>2120.568</v>
      </c>
      <c r="AZ17" s="36">
        <f t="shared" si="25"/>
        <v>321.0321816</v>
      </c>
      <c r="BA17" s="5">
        <f t="shared" si="26"/>
        <v>2441.6001816000003</v>
      </c>
      <c r="BB17" s="36">
        <f t="shared" si="27"/>
        <v>120.3263208</v>
      </c>
      <c r="BC17" s="36">
        <f t="shared" si="28"/>
        <v>64.2843216</v>
      </c>
      <c r="BD17" s="5"/>
      <c r="BE17" s="36">
        <f t="shared" si="88"/>
        <v>433872.008</v>
      </c>
      <c r="BF17" s="36">
        <f t="shared" si="29"/>
        <v>65683.7589096</v>
      </c>
      <c r="BG17" s="5">
        <f t="shared" si="30"/>
        <v>499555.7669096</v>
      </c>
      <c r="BH17" s="36">
        <f t="shared" si="31"/>
        <v>24618.9805848</v>
      </c>
      <c r="BI17" s="36">
        <f t="shared" si="32"/>
        <v>13152.6872496</v>
      </c>
      <c r="BJ17" s="5"/>
      <c r="BK17" s="36">
        <f t="shared" si="89"/>
        <v>15.418000000000001</v>
      </c>
      <c r="BL17" s="36">
        <f t="shared" si="33"/>
        <v>2.3341266000000003</v>
      </c>
      <c r="BM17" s="5">
        <f t="shared" si="34"/>
        <v>17.7521266</v>
      </c>
      <c r="BN17" s="36">
        <f t="shared" si="35"/>
        <v>0.8748558000000001</v>
      </c>
      <c r="BO17" s="36">
        <f t="shared" si="36"/>
        <v>0.4673916</v>
      </c>
      <c r="BP17" s="5"/>
      <c r="BQ17" s="36">
        <f t="shared" si="90"/>
        <v>554188.15</v>
      </c>
      <c r="BR17" s="36">
        <f t="shared" si="37"/>
        <v>83898.385155</v>
      </c>
      <c r="BS17" s="5">
        <f t="shared" si="38"/>
        <v>638086.535155</v>
      </c>
      <c r="BT17" s="36">
        <f t="shared" si="39"/>
        <v>31446.018764999997</v>
      </c>
      <c r="BU17" s="36">
        <f t="shared" si="40"/>
        <v>16800.03153</v>
      </c>
      <c r="BV17" s="5"/>
      <c r="BW17" s="36">
        <f t="shared" si="91"/>
        <v>1307.565</v>
      </c>
      <c r="BX17" s="36">
        <f t="shared" si="41"/>
        <v>197.9518905</v>
      </c>
      <c r="BY17" s="5">
        <f t="shared" si="42"/>
        <v>1505.5168905</v>
      </c>
      <c r="BZ17" s="36">
        <f t="shared" si="43"/>
        <v>74.1945015</v>
      </c>
      <c r="CA17" s="36">
        <f t="shared" si="44"/>
        <v>39.638403</v>
      </c>
      <c r="CB17" s="5"/>
      <c r="CC17" s="36">
        <f t="shared" si="92"/>
        <v>232374.759</v>
      </c>
      <c r="CD17" s="36">
        <f t="shared" si="45"/>
        <v>35179.1481483</v>
      </c>
      <c r="CE17" s="5">
        <f t="shared" si="46"/>
        <v>267553.9071483</v>
      </c>
      <c r="CF17" s="36">
        <f t="shared" si="47"/>
        <v>13185.5237829</v>
      </c>
      <c r="CG17" s="36">
        <f t="shared" si="48"/>
        <v>7044.3644058</v>
      </c>
      <c r="CH17" s="5"/>
      <c r="CI17" s="5">
        <f t="shared" si="93"/>
        <v>1172.954</v>
      </c>
      <c r="CJ17" s="5">
        <f t="shared" si="49"/>
        <v>177.57316980000002</v>
      </c>
      <c r="CK17" s="5">
        <f t="shared" si="50"/>
        <v>1350.5271698</v>
      </c>
      <c r="CL17" s="36">
        <f t="shared" si="51"/>
        <v>66.5563374</v>
      </c>
      <c r="CM17" s="36">
        <f t="shared" si="52"/>
        <v>35.5577148</v>
      </c>
      <c r="CN17" s="5"/>
      <c r="CO17" s="36">
        <f t="shared" si="94"/>
        <v>45605.258</v>
      </c>
      <c r="CP17" s="36">
        <f t="shared" si="53"/>
        <v>6904.1669346</v>
      </c>
      <c r="CQ17" s="5">
        <f t="shared" si="54"/>
        <v>52509.4249346</v>
      </c>
      <c r="CR17" s="36">
        <f t="shared" si="55"/>
        <v>2587.7561597999998</v>
      </c>
      <c r="CS17" s="36">
        <f t="shared" si="56"/>
        <v>1382.5083995999998</v>
      </c>
      <c r="CT17" s="5"/>
      <c r="CU17" s="36">
        <f t="shared" si="95"/>
        <v>24279.199</v>
      </c>
      <c r="CV17" s="36">
        <f t="shared" si="57"/>
        <v>3675.6209763</v>
      </c>
      <c r="CW17" s="5">
        <f t="shared" si="58"/>
        <v>27954.8199763</v>
      </c>
      <c r="CX17" s="36">
        <f t="shared" si="59"/>
        <v>1377.6623469</v>
      </c>
      <c r="CY17" s="36">
        <f t="shared" si="60"/>
        <v>736.0159338000001</v>
      </c>
      <c r="CZ17" s="5"/>
      <c r="DA17" s="5">
        <f t="shared" si="96"/>
        <v>79114.502</v>
      </c>
      <c r="DB17" s="36">
        <f t="shared" si="61"/>
        <v>11977.1217774</v>
      </c>
      <c r="DC17" s="36">
        <f t="shared" si="62"/>
        <v>91091.62377739999</v>
      </c>
      <c r="DD17" s="36">
        <f t="shared" si="63"/>
        <v>4489.1542962</v>
      </c>
      <c r="DE17" s="36">
        <f t="shared" si="64"/>
        <v>2398.3301124</v>
      </c>
      <c r="DF17" s="5"/>
      <c r="DG17" s="5">
        <f t="shared" si="97"/>
        <v>696405.561</v>
      </c>
      <c r="DH17" s="36">
        <f t="shared" si="65"/>
        <v>105428.63823570001</v>
      </c>
      <c r="DI17" s="36">
        <f t="shared" si="66"/>
        <v>801834.1992357</v>
      </c>
      <c r="DJ17" s="36">
        <f t="shared" si="67"/>
        <v>39515.7896091</v>
      </c>
      <c r="DK17" s="36">
        <f t="shared" si="68"/>
        <v>21111.3055782</v>
      </c>
      <c r="DL17" s="5"/>
      <c r="DM17" s="36">
        <f t="shared" si="98"/>
        <v>1441794.7010000001</v>
      </c>
      <c r="DN17" s="36">
        <f t="shared" si="69"/>
        <v>218272.88645370002</v>
      </c>
      <c r="DO17" s="5">
        <f t="shared" si="70"/>
        <v>1660067.5874537001</v>
      </c>
      <c r="DP17" s="36">
        <f t="shared" si="71"/>
        <v>81811.0297431</v>
      </c>
      <c r="DQ17" s="36">
        <f t="shared" si="72"/>
        <v>43707.532246200004</v>
      </c>
      <c r="DR17" s="5"/>
      <c r="DS17" s="5">
        <f t="shared" si="99"/>
        <v>63990.037000000004</v>
      </c>
      <c r="DT17" s="5">
        <f t="shared" si="73"/>
        <v>9687.433356900001</v>
      </c>
      <c r="DU17" s="5">
        <f t="shared" si="74"/>
        <v>73677.47035690001</v>
      </c>
      <c r="DV17" s="36">
        <f t="shared" si="75"/>
        <v>3630.9544047000004</v>
      </c>
      <c r="DW17" s="36">
        <f t="shared" si="76"/>
        <v>1939.8369294000001</v>
      </c>
      <c r="DX17" s="5"/>
      <c r="DY17" s="36">
        <f t="shared" si="100"/>
        <v>70979.135</v>
      </c>
      <c r="DZ17" s="36">
        <f t="shared" si="77"/>
        <v>10745.5108995</v>
      </c>
      <c r="EA17" s="5">
        <f t="shared" si="78"/>
        <v>81724.6458995</v>
      </c>
      <c r="EB17" s="36">
        <f t="shared" si="79"/>
        <v>4027.5332685</v>
      </c>
      <c r="EC17" s="36">
        <f t="shared" si="8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45200</v>
      </c>
      <c r="D18" s="3">
        <v>749491</v>
      </c>
      <c r="E18" s="35">
        <f t="shared" si="0"/>
        <v>749491</v>
      </c>
      <c r="F18" s="35">
        <v>336483</v>
      </c>
      <c r="G18" s="35">
        <v>179766</v>
      </c>
      <c r="I18" s="36"/>
      <c r="J18" s="36">
        <f>'2016B Academic'!J18</f>
        <v>112964.78250200002</v>
      </c>
      <c r="K18" s="36">
        <f t="shared" si="1"/>
        <v>112964.78250200002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2"/>
        <v>636526.217498</v>
      </c>
      <c r="Q18" s="5">
        <f t="shared" si="3"/>
        <v>636526.217498</v>
      </c>
      <c r="R18" s="35">
        <f t="shared" si="4"/>
        <v>285767.609274</v>
      </c>
      <c r="S18" s="35">
        <f t="shared" si="4"/>
        <v>152671.308948</v>
      </c>
      <c r="U18" s="36"/>
      <c r="V18" s="36">
        <f t="shared" si="5"/>
        <v>28728.0649791</v>
      </c>
      <c r="W18" s="5">
        <f t="shared" si="6"/>
        <v>28728.0649791</v>
      </c>
      <c r="X18" s="36">
        <f t="shared" si="7"/>
        <v>12897.4270383</v>
      </c>
      <c r="Y18" s="36">
        <f t="shared" si="8"/>
        <v>6890.4487566</v>
      </c>
      <c r="AB18" s="36">
        <f t="shared" si="9"/>
        <v>52056.4220487</v>
      </c>
      <c r="AC18" s="36">
        <f t="shared" si="10"/>
        <v>52056.4220487</v>
      </c>
      <c r="AD18" s="36">
        <f t="shared" si="11"/>
        <v>23370.662303099998</v>
      </c>
      <c r="AE18" s="36">
        <f t="shared" si="12"/>
        <v>12485.7733662</v>
      </c>
      <c r="AH18" s="5">
        <f t="shared" si="13"/>
        <v>41945.3387641</v>
      </c>
      <c r="AI18" s="5">
        <f t="shared" si="14"/>
        <v>41945.3387641</v>
      </c>
      <c r="AJ18" s="36">
        <f t="shared" si="15"/>
        <v>18831.3047433</v>
      </c>
      <c r="AK18" s="36">
        <f t="shared" si="16"/>
        <v>10060.6221666</v>
      </c>
      <c r="AN18" s="5">
        <f t="shared" si="17"/>
        <v>49847.896919</v>
      </c>
      <c r="AO18" s="5">
        <f t="shared" si="18"/>
        <v>49847.896919</v>
      </c>
      <c r="AP18" s="36">
        <f t="shared" si="19"/>
        <v>22379.147847</v>
      </c>
      <c r="AQ18" s="36">
        <f t="shared" si="20"/>
        <v>11956.056894</v>
      </c>
      <c r="AS18" s="36"/>
      <c r="AT18" s="36">
        <f t="shared" si="21"/>
        <v>2977.4279466</v>
      </c>
      <c r="AU18" s="5">
        <f t="shared" si="22"/>
        <v>2977.4279466</v>
      </c>
      <c r="AV18" s="36">
        <f t="shared" si="23"/>
        <v>1336.7123657999998</v>
      </c>
      <c r="AW18" s="36">
        <f t="shared" si="24"/>
        <v>714.1384115999999</v>
      </c>
      <c r="AY18" s="36"/>
      <c r="AZ18" s="36">
        <f t="shared" si="25"/>
        <v>268.01798160000004</v>
      </c>
      <c r="BA18" s="5">
        <f t="shared" si="26"/>
        <v>268.01798160000004</v>
      </c>
      <c r="BB18" s="36">
        <f t="shared" si="27"/>
        <v>120.3263208</v>
      </c>
      <c r="BC18" s="36">
        <f t="shared" si="28"/>
        <v>64.2843216</v>
      </c>
      <c r="BD18" s="5"/>
      <c r="BE18" s="36"/>
      <c r="BF18" s="36">
        <f t="shared" si="29"/>
        <v>54836.958709599996</v>
      </c>
      <c r="BG18" s="5">
        <f t="shared" si="30"/>
        <v>54836.958709599996</v>
      </c>
      <c r="BH18" s="36">
        <f t="shared" si="31"/>
        <v>24618.9805848</v>
      </c>
      <c r="BI18" s="36">
        <f t="shared" si="32"/>
        <v>13152.6872496</v>
      </c>
      <c r="BJ18" s="5"/>
      <c r="BK18" s="36"/>
      <c r="BL18" s="36">
        <f t="shared" si="33"/>
        <v>1.9486766</v>
      </c>
      <c r="BM18" s="5">
        <f t="shared" si="34"/>
        <v>1.9486766</v>
      </c>
      <c r="BN18" s="36">
        <f t="shared" si="35"/>
        <v>0.8748558000000001</v>
      </c>
      <c r="BO18" s="36">
        <f t="shared" si="36"/>
        <v>0.4673916</v>
      </c>
      <c r="BP18" s="5"/>
      <c r="BQ18" s="36"/>
      <c r="BR18" s="36">
        <f t="shared" si="37"/>
        <v>70043.681405</v>
      </c>
      <c r="BS18" s="5">
        <f t="shared" si="38"/>
        <v>70043.681405</v>
      </c>
      <c r="BT18" s="36">
        <f t="shared" si="39"/>
        <v>31446.018764999997</v>
      </c>
      <c r="BU18" s="36">
        <f t="shared" si="40"/>
        <v>16800.03153</v>
      </c>
      <c r="BV18" s="5"/>
      <c r="BW18" s="36"/>
      <c r="BX18" s="36">
        <f t="shared" si="41"/>
        <v>165.2627655</v>
      </c>
      <c r="BY18" s="5">
        <f t="shared" si="42"/>
        <v>165.2627655</v>
      </c>
      <c r="BZ18" s="36">
        <f t="shared" si="43"/>
        <v>74.1945015</v>
      </c>
      <c r="CA18" s="36">
        <f t="shared" si="44"/>
        <v>39.638403</v>
      </c>
      <c r="CB18" s="5"/>
      <c r="CC18" s="36"/>
      <c r="CD18" s="36">
        <f t="shared" si="45"/>
        <v>29369.7791733</v>
      </c>
      <c r="CE18" s="5">
        <f t="shared" si="46"/>
        <v>29369.7791733</v>
      </c>
      <c r="CF18" s="36">
        <f t="shared" si="47"/>
        <v>13185.5237829</v>
      </c>
      <c r="CG18" s="36">
        <f t="shared" si="48"/>
        <v>7044.3644058</v>
      </c>
      <c r="CH18" s="5"/>
      <c r="CI18" s="5"/>
      <c r="CJ18" s="5">
        <f t="shared" si="49"/>
        <v>148.2493198</v>
      </c>
      <c r="CK18" s="5">
        <f t="shared" si="50"/>
        <v>148.2493198</v>
      </c>
      <c r="CL18" s="36">
        <f t="shared" si="51"/>
        <v>66.5563374</v>
      </c>
      <c r="CM18" s="36">
        <f t="shared" si="52"/>
        <v>35.5577148</v>
      </c>
      <c r="CN18" s="5"/>
      <c r="CO18" s="36"/>
      <c r="CP18" s="36">
        <f t="shared" si="53"/>
        <v>5764.0354846</v>
      </c>
      <c r="CQ18" s="5">
        <f t="shared" si="54"/>
        <v>5764.0354846</v>
      </c>
      <c r="CR18" s="36">
        <f t="shared" si="55"/>
        <v>2587.7561597999998</v>
      </c>
      <c r="CS18" s="36">
        <f t="shared" si="56"/>
        <v>1382.5083995999998</v>
      </c>
      <c r="CT18" s="5"/>
      <c r="CU18" s="36"/>
      <c r="CV18" s="36">
        <f t="shared" si="57"/>
        <v>3068.6410013000004</v>
      </c>
      <c r="CW18" s="5">
        <f t="shared" si="58"/>
        <v>3068.6410013000004</v>
      </c>
      <c r="CX18" s="36">
        <f t="shared" si="59"/>
        <v>1377.6623469</v>
      </c>
      <c r="CY18" s="36">
        <f t="shared" si="60"/>
        <v>736.0159338000001</v>
      </c>
      <c r="CZ18" s="5"/>
      <c r="DA18" s="5"/>
      <c r="DB18" s="36">
        <f t="shared" si="61"/>
        <v>9999.2592274</v>
      </c>
      <c r="DC18" s="36">
        <f t="shared" si="62"/>
        <v>9999.2592274</v>
      </c>
      <c r="DD18" s="36">
        <f t="shared" si="63"/>
        <v>4489.1542962</v>
      </c>
      <c r="DE18" s="36">
        <f t="shared" si="64"/>
        <v>2398.3301124</v>
      </c>
      <c r="DF18" s="5"/>
      <c r="DG18" s="5"/>
      <c r="DH18" s="36">
        <f t="shared" si="65"/>
        <v>88018.4992107</v>
      </c>
      <c r="DI18" s="36">
        <f t="shared" si="66"/>
        <v>88018.4992107</v>
      </c>
      <c r="DJ18" s="36">
        <f t="shared" si="67"/>
        <v>39515.7896091</v>
      </c>
      <c r="DK18" s="36">
        <f t="shared" si="68"/>
        <v>21111.3055782</v>
      </c>
      <c r="DL18" s="5"/>
      <c r="DM18" s="36"/>
      <c r="DN18" s="36">
        <f t="shared" si="69"/>
        <v>182228.0189287</v>
      </c>
      <c r="DO18" s="5">
        <f t="shared" si="70"/>
        <v>182228.0189287</v>
      </c>
      <c r="DP18" s="36">
        <f t="shared" si="71"/>
        <v>81811.0297431</v>
      </c>
      <c r="DQ18" s="36">
        <f t="shared" si="72"/>
        <v>43707.532246200004</v>
      </c>
      <c r="DR18" s="5"/>
      <c r="DS18" s="5"/>
      <c r="DT18" s="5">
        <f t="shared" si="73"/>
        <v>8087.682431900001</v>
      </c>
      <c r="DU18" s="5">
        <f t="shared" si="74"/>
        <v>8087.682431900001</v>
      </c>
      <c r="DV18" s="36">
        <f t="shared" si="75"/>
        <v>3630.9544047000004</v>
      </c>
      <c r="DW18" s="36">
        <f t="shared" si="76"/>
        <v>1939.8369294000001</v>
      </c>
      <c r="DX18" s="5"/>
      <c r="DY18" s="36"/>
      <c r="DZ18" s="36">
        <f t="shared" si="77"/>
        <v>8971.032524499999</v>
      </c>
      <c r="EA18" s="5">
        <f t="shared" si="78"/>
        <v>8971.032524499999</v>
      </c>
      <c r="EB18" s="36">
        <f t="shared" si="79"/>
        <v>4027.5332685</v>
      </c>
      <c r="EC18" s="36">
        <f t="shared" si="8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45383</v>
      </c>
      <c r="C19" s="3">
        <v>10000</v>
      </c>
      <c r="D19" s="3">
        <v>749491</v>
      </c>
      <c r="E19" s="35">
        <f t="shared" si="0"/>
        <v>759491</v>
      </c>
      <c r="F19" s="35">
        <v>336483</v>
      </c>
      <c r="G19" s="35">
        <v>179766</v>
      </c>
      <c r="I19" s="36">
        <f>'2016B Academic'!I19</f>
        <v>1507.2199999999998</v>
      </c>
      <c r="J19" s="36">
        <f>'2016B Academic'!J19</f>
        <v>112964.78250200002</v>
      </c>
      <c r="K19" s="36">
        <f t="shared" si="1"/>
        <v>114472.00250200002</v>
      </c>
      <c r="L19" s="36">
        <f>'2016B Academic'!L19</f>
        <v>50715.390726000005</v>
      </c>
      <c r="M19" s="36">
        <f>'2016B Academic'!M19</f>
        <v>27094.691052000002</v>
      </c>
      <c r="O19" s="36">
        <f t="shared" si="81"/>
        <v>8492.779999999999</v>
      </c>
      <c r="P19" s="35">
        <f t="shared" si="2"/>
        <v>636526.217498</v>
      </c>
      <c r="Q19" s="5">
        <f t="shared" si="3"/>
        <v>645018.997498</v>
      </c>
      <c r="R19" s="35">
        <f t="shared" si="4"/>
        <v>285767.609274</v>
      </c>
      <c r="S19" s="35">
        <f t="shared" si="4"/>
        <v>152671.308948</v>
      </c>
      <c r="U19" s="36">
        <f t="shared" si="82"/>
        <v>383.301</v>
      </c>
      <c r="V19" s="36">
        <f t="shared" si="5"/>
        <v>28728.0649791</v>
      </c>
      <c r="W19" s="5">
        <f t="shared" si="6"/>
        <v>29111.3659791</v>
      </c>
      <c r="X19" s="36">
        <f t="shared" si="7"/>
        <v>12897.4270383</v>
      </c>
      <c r="Y19" s="36">
        <f t="shared" si="8"/>
        <v>6890.4487566</v>
      </c>
      <c r="AA19" s="5">
        <f t="shared" si="83"/>
        <v>694.5569999999999</v>
      </c>
      <c r="AB19" s="36">
        <f t="shared" si="9"/>
        <v>52056.4220487</v>
      </c>
      <c r="AC19" s="36">
        <f t="shared" si="10"/>
        <v>52750.9790487</v>
      </c>
      <c r="AD19" s="36">
        <f t="shared" si="11"/>
        <v>23370.662303099998</v>
      </c>
      <c r="AE19" s="36">
        <f t="shared" si="12"/>
        <v>12485.7733662</v>
      </c>
      <c r="AG19" s="5">
        <f t="shared" si="84"/>
        <v>559.651</v>
      </c>
      <c r="AH19" s="5">
        <f t="shared" si="13"/>
        <v>41945.3387641</v>
      </c>
      <c r="AI19" s="5">
        <f t="shared" si="14"/>
        <v>42504.9897641</v>
      </c>
      <c r="AJ19" s="36">
        <f t="shared" si="15"/>
        <v>18831.3047433</v>
      </c>
      <c r="AK19" s="36">
        <f t="shared" si="16"/>
        <v>10060.6221666</v>
      </c>
      <c r="AM19" s="5">
        <f t="shared" si="85"/>
        <v>665.09</v>
      </c>
      <c r="AN19" s="5">
        <f t="shared" si="17"/>
        <v>49847.896919</v>
      </c>
      <c r="AO19" s="5">
        <f t="shared" si="18"/>
        <v>50512.986918999995</v>
      </c>
      <c r="AP19" s="36">
        <f t="shared" si="19"/>
        <v>22379.147847</v>
      </c>
      <c r="AQ19" s="36">
        <f t="shared" si="20"/>
        <v>11956.056894</v>
      </c>
      <c r="AS19" s="36">
        <f t="shared" si="86"/>
        <v>39.726</v>
      </c>
      <c r="AT19" s="36">
        <f t="shared" si="21"/>
        <v>2977.4279466</v>
      </c>
      <c r="AU19" s="5">
        <f t="shared" si="22"/>
        <v>3017.1539466</v>
      </c>
      <c r="AV19" s="36">
        <f t="shared" si="23"/>
        <v>1336.7123657999998</v>
      </c>
      <c r="AW19" s="36">
        <f t="shared" si="24"/>
        <v>714.1384115999999</v>
      </c>
      <c r="AY19" s="36">
        <f t="shared" si="87"/>
        <v>3.576</v>
      </c>
      <c r="AZ19" s="36">
        <f t="shared" si="25"/>
        <v>268.01798160000004</v>
      </c>
      <c r="BA19" s="5">
        <f t="shared" si="26"/>
        <v>271.59398160000006</v>
      </c>
      <c r="BB19" s="36">
        <f t="shared" si="27"/>
        <v>120.3263208</v>
      </c>
      <c r="BC19" s="36">
        <f t="shared" si="28"/>
        <v>64.2843216</v>
      </c>
      <c r="BD19" s="5"/>
      <c r="BE19" s="36">
        <f t="shared" si="88"/>
        <v>731.656</v>
      </c>
      <c r="BF19" s="36">
        <f t="shared" si="29"/>
        <v>54836.958709599996</v>
      </c>
      <c r="BG19" s="5">
        <f t="shared" si="30"/>
        <v>55568.6147096</v>
      </c>
      <c r="BH19" s="36">
        <f t="shared" si="31"/>
        <v>24618.9805848</v>
      </c>
      <c r="BI19" s="36">
        <f t="shared" si="32"/>
        <v>13152.6872496</v>
      </c>
      <c r="BJ19" s="5"/>
      <c r="BK19" s="36">
        <f t="shared" si="89"/>
        <v>0.026000000000000002</v>
      </c>
      <c r="BL19" s="36">
        <f t="shared" si="33"/>
        <v>1.9486766</v>
      </c>
      <c r="BM19" s="5">
        <f t="shared" si="34"/>
        <v>1.9746766</v>
      </c>
      <c r="BN19" s="36">
        <f t="shared" si="35"/>
        <v>0.8748558000000001</v>
      </c>
      <c r="BO19" s="36">
        <f t="shared" si="36"/>
        <v>0.4673916</v>
      </c>
      <c r="BP19" s="5"/>
      <c r="BQ19" s="36">
        <f t="shared" si="90"/>
        <v>934.55</v>
      </c>
      <c r="BR19" s="36">
        <f t="shared" si="37"/>
        <v>70043.681405</v>
      </c>
      <c r="BS19" s="5">
        <f t="shared" si="38"/>
        <v>70978.231405</v>
      </c>
      <c r="BT19" s="36">
        <f t="shared" si="39"/>
        <v>31446.018764999997</v>
      </c>
      <c r="BU19" s="36">
        <f t="shared" si="40"/>
        <v>16800.03153</v>
      </c>
      <c r="BV19" s="5"/>
      <c r="BW19" s="36">
        <f t="shared" si="91"/>
        <v>2.205</v>
      </c>
      <c r="BX19" s="36">
        <f t="shared" si="41"/>
        <v>165.2627655</v>
      </c>
      <c r="BY19" s="5">
        <f t="shared" si="42"/>
        <v>167.4677655</v>
      </c>
      <c r="BZ19" s="36">
        <f t="shared" si="43"/>
        <v>74.1945015</v>
      </c>
      <c r="CA19" s="36">
        <f t="shared" si="44"/>
        <v>39.638403</v>
      </c>
      <c r="CB19" s="5"/>
      <c r="CC19" s="36">
        <f t="shared" si="92"/>
        <v>391.863</v>
      </c>
      <c r="CD19" s="36">
        <f t="shared" si="45"/>
        <v>29369.7791733</v>
      </c>
      <c r="CE19" s="5">
        <f t="shared" si="46"/>
        <v>29761.642173300002</v>
      </c>
      <c r="CF19" s="36">
        <f t="shared" si="47"/>
        <v>13185.5237829</v>
      </c>
      <c r="CG19" s="36">
        <f t="shared" si="48"/>
        <v>7044.3644058</v>
      </c>
      <c r="CH19" s="5"/>
      <c r="CI19" s="5">
        <f t="shared" si="93"/>
        <v>1.9780000000000002</v>
      </c>
      <c r="CJ19" s="5">
        <f t="shared" si="49"/>
        <v>148.2493198</v>
      </c>
      <c r="CK19" s="5">
        <f t="shared" si="50"/>
        <v>150.2273198</v>
      </c>
      <c r="CL19" s="36">
        <f t="shared" si="51"/>
        <v>66.5563374</v>
      </c>
      <c r="CM19" s="36">
        <f t="shared" si="52"/>
        <v>35.5577148</v>
      </c>
      <c r="CN19" s="5"/>
      <c r="CO19" s="36">
        <f t="shared" si="94"/>
        <v>76.90599999999999</v>
      </c>
      <c r="CP19" s="36">
        <f t="shared" si="53"/>
        <v>5764.0354846</v>
      </c>
      <c r="CQ19" s="5">
        <f t="shared" si="54"/>
        <v>5840.9414846</v>
      </c>
      <c r="CR19" s="36">
        <f t="shared" si="55"/>
        <v>2587.7561597999998</v>
      </c>
      <c r="CS19" s="36">
        <f t="shared" si="56"/>
        <v>1382.5083995999998</v>
      </c>
      <c r="CT19" s="5"/>
      <c r="CU19" s="36">
        <f t="shared" si="95"/>
        <v>40.943000000000005</v>
      </c>
      <c r="CV19" s="36">
        <f t="shared" si="57"/>
        <v>3068.6410013000004</v>
      </c>
      <c r="CW19" s="5">
        <f t="shared" si="58"/>
        <v>3109.5840013000006</v>
      </c>
      <c r="CX19" s="36">
        <f t="shared" si="59"/>
        <v>1377.6623469</v>
      </c>
      <c r="CY19" s="36">
        <f t="shared" si="60"/>
        <v>736.0159338000001</v>
      </c>
      <c r="CZ19" s="5"/>
      <c r="DA19" s="5">
        <f t="shared" si="96"/>
        <v>133.414</v>
      </c>
      <c r="DB19" s="36">
        <f t="shared" si="61"/>
        <v>9999.2592274</v>
      </c>
      <c r="DC19" s="36">
        <f t="shared" si="62"/>
        <v>10132.6732274</v>
      </c>
      <c r="DD19" s="36">
        <f t="shared" si="63"/>
        <v>4489.1542962</v>
      </c>
      <c r="DE19" s="36">
        <f t="shared" si="64"/>
        <v>2398.3301124</v>
      </c>
      <c r="DF19" s="5"/>
      <c r="DG19" s="5">
        <f t="shared" si="97"/>
        <v>1174.377</v>
      </c>
      <c r="DH19" s="36">
        <f t="shared" si="65"/>
        <v>88018.4992107</v>
      </c>
      <c r="DI19" s="36">
        <f t="shared" si="66"/>
        <v>89192.8762107</v>
      </c>
      <c r="DJ19" s="36">
        <f t="shared" si="67"/>
        <v>39515.7896091</v>
      </c>
      <c r="DK19" s="36">
        <f t="shared" si="68"/>
        <v>21111.3055782</v>
      </c>
      <c r="DL19" s="5"/>
      <c r="DM19" s="36">
        <f t="shared" si="98"/>
        <v>2431.357</v>
      </c>
      <c r="DN19" s="36">
        <f t="shared" si="69"/>
        <v>182228.0189287</v>
      </c>
      <c r="DO19" s="5">
        <f t="shared" si="70"/>
        <v>184659.3759287</v>
      </c>
      <c r="DP19" s="36">
        <f t="shared" si="71"/>
        <v>81811.0297431</v>
      </c>
      <c r="DQ19" s="36">
        <f t="shared" si="72"/>
        <v>43707.532246200004</v>
      </c>
      <c r="DR19" s="5"/>
      <c r="DS19" s="5">
        <f t="shared" si="99"/>
        <v>107.909</v>
      </c>
      <c r="DT19" s="5">
        <f t="shared" si="73"/>
        <v>8087.682431900001</v>
      </c>
      <c r="DU19" s="5">
        <f t="shared" si="74"/>
        <v>8195.5914319</v>
      </c>
      <c r="DV19" s="36">
        <f t="shared" si="75"/>
        <v>3630.9544047000004</v>
      </c>
      <c r="DW19" s="36">
        <f t="shared" si="76"/>
        <v>1939.8369294000001</v>
      </c>
      <c r="DX19" s="5"/>
      <c r="DY19" s="36">
        <f t="shared" si="100"/>
        <v>119.695</v>
      </c>
      <c r="DZ19" s="36">
        <f t="shared" si="77"/>
        <v>8971.032524499999</v>
      </c>
      <c r="EA19" s="5">
        <f t="shared" si="78"/>
        <v>9090.727524499998</v>
      </c>
      <c r="EB19" s="36">
        <f t="shared" si="79"/>
        <v>4027.5332685</v>
      </c>
      <c r="EC19" s="36">
        <f t="shared" si="8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45566</v>
      </c>
      <c r="D20" s="3">
        <v>749341</v>
      </c>
      <c r="E20" s="35">
        <f t="shared" si="0"/>
        <v>749341</v>
      </c>
      <c r="F20" s="35">
        <v>336483</v>
      </c>
      <c r="G20" s="35">
        <v>179766</v>
      </c>
      <c r="I20" s="36"/>
      <c r="J20" s="36">
        <f>'2016B Academic'!J20</f>
        <v>112942.17420199998</v>
      </c>
      <c r="K20" s="36">
        <f t="shared" si="1"/>
        <v>112942.17420199998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2"/>
        <v>636398.825798</v>
      </c>
      <c r="Q20" s="5">
        <f t="shared" si="3"/>
        <v>636398.825798</v>
      </c>
      <c r="R20" s="35">
        <f t="shared" si="4"/>
        <v>285767.609274</v>
      </c>
      <c r="S20" s="35">
        <f t="shared" si="4"/>
        <v>152671.308948</v>
      </c>
      <c r="U20" s="36"/>
      <c r="V20" s="36">
        <f t="shared" si="5"/>
        <v>28722.3154641</v>
      </c>
      <c r="W20" s="5">
        <f t="shared" si="6"/>
        <v>28722.3154641</v>
      </c>
      <c r="X20" s="36">
        <f t="shared" si="7"/>
        <v>12897.4270383</v>
      </c>
      <c r="Y20" s="36">
        <f t="shared" si="8"/>
        <v>6890.4487566</v>
      </c>
      <c r="AB20" s="36">
        <f t="shared" si="9"/>
        <v>52046.0036937</v>
      </c>
      <c r="AC20" s="36">
        <f t="shared" si="10"/>
        <v>52046.0036937</v>
      </c>
      <c r="AD20" s="36">
        <f t="shared" si="11"/>
        <v>23370.662303099998</v>
      </c>
      <c r="AE20" s="36">
        <f t="shared" si="12"/>
        <v>12485.7733662</v>
      </c>
      <c r="AH20" s="5">
        <f t="shared" si="13"/>
        <v>41936.943999099996</v>
      </c>
      <c r="AI20" s="5">
        <f t="shared" si="14"/>
        <v>41936.943999099996</v>
      </c>
      <c r="AJ20" s="36">
        <f t="shared" si="15"/>
        <v>18831.3047433</v>
      </c>
      <c r="AK20" s="36">
        <f t="shared" si="16"/>
        <v>10060.6221666</v>
      </c>
      <c r="AN20" s="5">
        <f t="shared" si="17"/>
        <v>49837.920569</v>
      </c>
      <c r="AO20" s="5">
        <f t="shared" si="18"/>
        <v>49837.920569</v>
      </c>
      <c r="AP20" s="36">
        <f t="shared" si="19"/>
        <v>22379.147847</v>
      </c>
      <c r="AQ20" s="36">
        <f t="shared" si="20"/>
        <v>11956.056894</v>
      </c>
      <c r="AS20" s="36"/>
      <c r="AT20" s="36">
        <f t="shared" si="21"/>
        <v>2976.8320565999998</v>
      </c>
      <c r="AU20" s="5">
        <f t="shared" si="22"/>
        <v>2976.8320565999998</v>
      </c>
      <c r="AV20" s="36">
        <f t="shared" si="23"/>
        <v>1336.7123657999998</v>
      </c>
      <c r="AW20" s="36">
        <f t="shared" si="24"/>
        <v>714.1384115999999</v>
      </c>
      <c r="AY20" s="36"/>
      <c r="AZ20" s="36">
        <f t="shared" si="25"/>
        <v>267.9643416</v>
      </c>
      <c r="BA20" s="5">
        <f t="shared" si="26"/>
        <v>267.9643416</v>
      </c>
      <c r="BB20" s="36">
        <f t="shared" si="27"/>
        <v>120.3263208</v>
      </c>
      <c r="BC20" s="36">
        <f t="shared" si="28"/>
        <v>64.2843216</v>
      </c>
      <c r="BD20" s="5"/>
      <c r="BE20" s="36"/>
      <c r="BF20" s="36">
        <f t="shared" si="29"/>
        <v>54825.9838696</v>
      </c>
      <c r="BG20" s="5">
        <f t="shared" si="30"/>
        <v>54825.9838696</v>
      </c>
      <c r="BH20" s="36">
        <f t="shared" si="31"/>
        <v>24618.9805848</v>
      </c>
      <c r="BI20" s="36">
        <f t="shared" si="32"/>
        <v>13152.6872496</v>
      </c>
      <c r="BJ20" s="5"/>
      <c r="BK20" s="36"/>
      <c r="BL20" s="36">
        <f t="shared" si="33"/>
        <v>1.9482866</v>
      </c>
      <c r="BM20" s="5">
        <f t="shared" si="34"/>
        <v>1.9482866</v>
      </c>
      <c r="BN20" s="36">
        <f t="shared" si="35"/>
        <v>0.8748558000000001</v>
      </c>
      <c r="BO20" s="36">
        <f t="shared" si="36"/>
        <v>0.4673916</v>
      </c>
      <c r="BP20" s="5"/>
      <c r="BQ20" s="36"/>
      <c r="BR20" s="36">
        <f t="shared" si="37"/>
        <v>70029.663155</v>
      </c>
      <c r="BS20" s="5">
        <f t="shared" si="38"/>
        <v>70029.663155</v>
      </c>
      <c r="BT20" s="36">
        <f t="shared" si="39"/>
        <v>31446.018764999997</v>
      </c>
      <c r="BU20" s="36">
        <f t="shared" si="40"/>
        <v>16800.03153</v>
      </c>
      <c r="BV20" s="5"/>
      <c r="BW20" s="36"/>
      <c r="BX20" s="36">
        <f t="shared" si="41"/>
        <v>165.2296905</v>
      </c>
      <c r="BY20" s="5">
        <f t="shared" si="42"/>
        <v>165.2296905</v>
      </c>
      <c r="BZ20" s="36">
        <f t="shared" si="43"/>
        <v>74.1945015</v>
      </c>
      <c r="CA20" s="36">
        <f t="shared" si="44"/>
        <v>39.638403</v>
      </c>
      <c r="CB20" s="5"/>
      <c r="CC20" s="36"/>
      <c r="CD20" s="36">
        <f t="shared" si="45"/>
        <v>29363.9012283</v>
      </c>
      <c r="CE20" s="5">
        <f t="shared" si="46"/>
        <v>29363.9012283</v>
      </c>
      <c r="CF20" s="36">
        <f t="shared" si="47"/>
        <v>13185.5237829</v>
      </c>
      <c r="CG20" s="36">
        <f t="shared" si="48"/>
        <v>7044.3644058</v>
      </c>
      <c r="CH20" s="5"/>
      <c r="CI20" s="5"/>
      <c r="CJ20" s="5">
        <f t="shared" si="49"/>
        <v>148.2196498</v>
      </c>
      <c r="CK20" s="5">
        <f t="shared" si="50"/>
        <v>148.2196498</v>
      </c>
      <c r="CL20" s="36">
        <f t="shared" si="51"/>
        <v>66.5563374</v>
      </c>
      <c r="CM20" s="36">
        <f t="shared" si="52"/>
        <v>35.5577148</v>
      </c>
      <c r="CN20" s="5"/>
      <c r="CO20" s="36"/>
      <c r="CP20" s="36">
        <f t="shared" si="53"/>
        <v>5762.8818946</v>
      </c>
      <c r="CQ20" s="5">
        <f t="shared" si="54"/>
        <v>5762.8818946</v>
      </c>
      <c r="CR20" s="36">
        <f t="shared" si="55"/>
        <v>2587.7561597999998</v>
      </c>
      <c r="CS20" s="36">
        <f t="shared" si="56"/>
        <v>1382.5083995999998</v>
      </c>
      <c r="CT20" s="5"/>
      <c r="CU20" s="36"/>
      <c r="CV20" s="36">
        <f t="shared" si="57"/>
        <v>3068.0268563000004</v>
      </c>
      <c r="CW20" s="5">
        <f t="shared" si="58"/>
        <v>3068.0268563000004</v>
      </c>
      <c r="CX20" s="36">
        <f t="shared" si="59"/>
        <v>1377.6623469</v>
      </c>
      <c r="CY20" s="36">
        <f t="shared" si="60"/>
        <v>736.0159338000001</v>
      </c>
      <c r="CZ20" s="5"/>
      <c r="DA20" s="5"/>
      <c r="DB20" s="36">
        <f t="shared" si="61"/>
        <v>9997.2580174</v>
      </c>
      <c r="DC20" s="36">
        <f t="shared" si="62"/>
        <v>9997.2580174</v>
      </c>
      <c r="DD20" s="36">
        <f t="shared" si="63"/>
        <v>4489.1542962</v>
      </c>
      <c r="DE20" s="36">
        <f t="shared" si="64"/>
        <v>2398.3301124</v>
      </c>
      <c r="DF20" s="5"/>
      <c r="DG20" s="5"/>
      <c r="DH20" s="36">
        <f t="shared" si="65"/>
        <v>88000.8835557</v>
      </c>
      <c r="DI20" s="36">
        <f t="shared" si="66"/>
        <v>88000.8835557</v>
      </c>
      <c r="DJ20" s="36">
        <f t="shared" si="67"/>
        <v>39515.7896091</v>
      </c>
      <c r="DK20" s="36">
        <f t="shared" si="68"/>
        <v>21111.3055782</v>
      </c>
      <c r="DL20" s="5"/>
      <c r="DM20" s="36"/>
      <c r="DN20" s="36">
        <f t="shared" si="69"/>
        <v>182191.5485737</v>
      </c>
      <c r="DO20" s="5">
        <f t="shared" si="70"/>
        <v>182191.5485737</v>
      </c>
      <c r="DP20" s="36">
        <f t="shared" si="71"/>
        <v>81811.0297431</v>
      </c>
      <c r="DQ20" s="36">
        <f t="shared" si="72"/>
        <v>43707.532246200004</v>
      </c>
      <c r="DR20" s="5"/>
      <c r="DS20" s="5"/>
      <c r="DT20" s="5">
        <f t="shared" si="73"/>
        <v>8086.063796900001</v>
      </c>
      <c r="DU20" s="5">
        <f t="shared" si="74"/>
        <v>8086.063796900001</v>
      </c>
      <c r="DV20" s="36">
        <f t="shared" si="75"/>
        <v>3630.9544047000004</v>
      </c>
      <c r="DW20" s="36">
        <f t="shared" si="76"/>
        <v>1939.8369294000001</v>
      </c>
      <c r="DX20" s="5"/>
      <c r="DY20" s="36"/>
      <c r="DZ20" s="36">
        <f t="shared" si="77"/>
        <v>8969.2370995</v>
      </c>
      <c r="EA20" s="5">
        <f t="shared" si="78"/>
        <v>8969.2370995</v>
      </c>
      <c r="EB20" s="36">
        <f t="shared" si="79"/>
        <v>4027.5332685</v>
      </c>
      <c r="EC20" s="36">
        <f t="shared" si="8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45748</v>
      </c>
      <c r="C21" s="3">
        <v>6410000</v>
      </c>
      <c r="D21" s="3">
        <v>749341</v>
      </c>
      <c r="E21" s="35">
        <f t="shared" si="0"/>
        <v>7159341</v>
      </c>
      <c r="F21" s="35">
        <v>336483</v>
      </c>
      <c r="G21" s="35">
        <v>179766</v>
      </c>
      <c r="I21" s="36">
        <f>'2016B Academic'!I21</f>
        <v>966128.0200000001</v>
      </c>
      <c r="J21" s="36">
        <f>'2016B Academic'!J21</f>
        <v>112942.17420199998</v>
      </c>
      <c r="K21" s="36">
        <f t="shared" si="1"/>
        <v>1079070.194202</v>
      </c>
      <c r="L21" s="36">
        <f>'2016B Academic'!L21</f>
        <v>50715.390726000005</v>
      </c>
      <c r="M21" s="36">
        <f>'2016B Academic'!M21</f>
        <v>27094.691052000002</v>
      </c>
      <c r="O21" s="36">
        <f t="shared" si="81"/>
        <v>5443871.9799999995</v>
      </c>
      <c r="P21" s="35">
        <f t="shared" si="2"/>
        <v>636398.825798</v>
      </c>
      <c r="Q21" s="5">
        <f t="shared" si="3"/>
        <v>6080270.805798</v>
      </c>
      <c r="R21" s="35">
        <f t="shared" si="4"/>
        <v>285767.609274</v>
      </c>
      <c r="S21" s="35">
        <f t="shared" si="4"/>
        <v>152671.308948</v>
      </c>
      <c r="U21" s="36">
        <f t="shared" si="82"/>
        <v>245695.941</v>
      </c>
      <c r="V21" s="36">
        <f t="shared" si="5"/>
        <v>28722.3154641</v>
      </c>
      <c r="W21" s="5">
        <f t="shared" si="6"/>
        <v>274418.2564641</v>
      </c>
      <c r="X21" s="36">
        <f t="shared" si="7"/>
        <v>12897.4270383</v>
      </c>
      <c r="Y21" s="36">
        <f t="shared" si="8"/>
        <v>6890.4487566</v>
      </c>
      <c r="AA21" s="5">
        <f t="shared" si="83"/>
        <v>445211.03699999995</v>
      </c>
      <c r="AB21" s="36">
        <f t="shared" si="9"/>
        <v>52046.0036937</v>
      </c>
      <c r="AC21" s="36">
        <f t="shared" si="10"/>
        <v>497257.04069369996</v>
      </c>
      <c r="AD21" s="36">
        <f t="shared" si="11"/>
        <v>23370.662303099998</v>
      </c>
      <c r="AE21" s="36">
        <f t="shared" si="12"/>
        <v>12485.7733662</v>
      </c>
      <c r="AG21" s="5">
        <f t="shared" si="84"/>
        <v>358736.29099999997</v>
      </c>
      <c r="AH21" s="5">
        <f t="shared" si="13"/>
        <v>41936.943999099996</v>
      </c>
      <c r="AI21" s="5">
        <f t="shared" si="14"/>
        <v>400673.2349991</v>
      </c>
      <c r="AJ21" s="36">
        <f t="shared" si="15"/>
        <v>18831.3047433</v>
      </c>
      <c r="AK21" s="36">
        <f t="shared" si="16"/>
        <v>10060.6221666</v>
      </c>
      <c r="AM21" s="5">
        <f t="shared" si="85"/>
        <v>426322.69</v>
      </c>
      <c r="AN21" s="5">
        <f t="shared" si="17"/>
        <v>49837.920569</v>
      </c>
      <c r="AO21" s="5">
        <f t="shared" si="18"/>
        <v>476160.610569</v>
      </c>
      <c r="AP21" s="36">
        <f t="shared" si="19"/>
        <v>22379.147847</v>
      </c>
      <c r="AQ21" s="36">
        <f t="shared" si="20"/>
        <v>11956.056894</v>
      </c>
      <c r="AS21" s="36">
        <f t="shared" si="86"/>
        <v>25464.365999999998</v>
      </c>
      <c r="AT21" s="36">
        <f t="shared" si="21"/>
        <v>2976.8320565999998</v>
      </c>
      <c r="AU21" s="5">
        <f t="shared" si="22"/>
        <v>28441.1980566</v>
      </c>
      <c r="AV21" s="36">
        <f t="shared" si="23"/>
        <v>1336.7123657999998</v>
      </c>
      <c r="AW21" s="36">
        <f t="shared" si="24"/>
        <v>714.1384115999999</v>
      </c>
      <c r="AY21" s="36">
        <f t="shared" si="87"/>
        <v>2292.216</v>
      </c>
      <c r="AZ21" s="36">
        <f t="shared" si="25"/>
        <v>267.9643416</v>
      </c>
      <c r="BA21" s="5">
        <f t="shared" si="26"/>
        <v>2560.1803416</v>
      </c>
      <c r="BB21" s="36">
        <f t="shared" si="27"/>
        <v>120.3263208</v>
      </c>
      <c r="BC21" s="36">
        <f t="shared" si="28"/>
        <v>64.2843216</v>
      </c>
      <c r="BD21" s="5"/>
      <c r="BE21" s="36">
        <f t="shared" si="88"/>
        <v>468991.496</v>
      </c>
      <c r="BF21" s="36">
        <f t="shared" si="29"/>
        <v>54825.9838696</v>
      </c>
      <c r="BG21" s="5">
        <f t="shared" si="30"/>
        <v>523817.4798696</v>
      </c>
      <c r="BH21" s="36">
        <f t="shared" si="31"/>
        <v>24618.9805848</v>
      </c>
      <c r="BI21" s="36">
        <f t="shared" si="32"/>
        <v>13152.6872496</v>
      </c>
      <c r="BJ21" s="5"/>
      <c r="BK21" s="36">
        <f t="shared" si="89"/>
        <v>16.666</v>
      </c>
      <c r="BL21" s="36">
        <f t="shared" si="33"/>
        <v>1.9482866</v>
      </c>
      <c r="BM21" s="5">
        <f t="shared" si="34"/>
        <v>18.6142866</v>
      </c>
      <c r="BN21" s="36">
        <f t="shared" si="35"/>
        <v>0.8748558000000001</v>
      </c>
      <c r="BO21" s="36">
        <f t="shared" si="36"/>
        <v>0.4673916</v>
      </c>
      <c r="BP21" s="5"/>
      <c r="BQ21" s="36">
        <f t="shared" si="90"/>
        <v>599046.5499999999</v>
      </c>
      <c r="BR21" s="36">
        <f t="shared" si="37"/>
        <v>70029.663155</v>
      </c>
      <c r="BS21" s="5">
        <f t="shared" si="38"/>
        <v>669076.2131549999</v>
      </c>
      <c r="BT21" s="36">
        <f t="shared" si="39"/>
        <v>31446.018764999997</v>
      </c>
      <c r="BU21" s="36">
        <f t="shared" si="40"/>
        <v>16800.03153</v>
      </c>
      <c r="BV21" s="5"/>
      <c r="BW21" s="36">
        <f t="shared" si="91"/>
        <v>1413.405</v>
      </c>
      <c r="BX21" s="36">
        <f t="shared" si="41"/>
        <v>165.2296905</v>
      </c>
      <c r="BY21" s="5">
        <f t="shared" si="42"/>
        <v>1578.6346905</v>
      </c>
      <c r="BZ21" s="36">
        <f t="shared" si="43"/>
        <v>74.1945015</v>
      </c>
      <c r="CA21" s="36">
        <f t="shared" si="44"/>
        <v>39.638403</v>
      </c>
      <c r="CB21" s="5"/>
      <c r="CC21" s="36">
        <f t="shared" si="92"/>
        <v>251184.183</v>
      </c>
      <c r="CD21" s="36">
        <f t="shared" si="45"/>
        <v>29363.9012283</v>
      </c>
      <c r="CE21" s="5">
        <f t="shared" si="46"/>
        <v>280548.08422829997</v>
      </c>
      <c r="CF21" s="36">
        <f t="shared" si="47"/>
        <v>13185.5237829</v>
      </c>
      <c r="CG21" s="36">
        <f t="shared" si="48"/>
        <v>7044.3644058</v>
      </c>
      <c r="CH21" s="5"/>
      <c r="CI21" s="5">
        <f t="shared" si="93"/>
        <v>1267.8980000000001</v>
      </c>
      <c r="CJ21" s="5">
        <f t="shared" si="49"/>
        <v>148.2196498</v>
      </c>
      <c r="CK21" s="5">
        <f t="shared" si="50"/>
        <v>1416.1176498000002</v>
      </c>
      <c r="CL21" s="36">
        <f t="shared" si="51"/>
        <v>66.5563374</v>
      </c>
      <c r="CM21" s="36">
        <f t="shared" si="52"/>
        <v>35.5577148</v>
      </c>
      <c r="CN21" s="5"/>
      <c r="CO21" s="36">
        <f t="shared" si="94"/>
        <v>49296.746</v>
      </c>
      <c r="CP21" s="36">
        <f t="shared" si="53"/>
        <v>5762.8818946</v>
      </c>
      <c r="CQ21" s="5">
        <f t="shared" si="54"/>
        <v>55059.6278946</v>
      </c>
      <c r="CR21" s="36">
        <f t="shared" si="55"/>
        <v>2587.7561597999998</v>
      </c>
      <c r="CS21" s="36">
        <f t="shared" si="56"/>
        <v>1382.5083995999998</v>
      </c>
      <c r="CT21" s="5"/>
      <c r="CU21" s="36">
        <f t="shared" si="95"/>
        <v>26244.463000000003</v>
      </c>
      <c r="CV21" s="36">
        <f t="shared" si="57"/>
        <v>3068.0268563000004</v>
      </c>
      <c r="CW21" s="5">
        <f t="shared" si="58"/>
        <v>29312.489856300002</v>
      </c>
      <c r="CX21" s="36">
        <f t="shared" si="59"/>
        <v>1377.6623469</v>
      </c>
      <c r="CY21" s="36">
        <f t="shared" si="60"/>
        <v>736.0159338000001</v>
      </c>
      <c r="CZ21" s="5"/>
      <c r="DA21" s="5">
        <f t="shared" si="96"/>
        <v>85518.374</v>
      </c>
      <c r="DB21" s="36">
        <f t="shared" si="61"/>
        <v>9997.2580174</v>
      </c>
      <c r="DC21" s="36">
        <f t="shared" si="62"/>
        <v>95515.6320174</v>
      </c>
      <c r="DD21" s="36">
        <f t="shared" si="63"/>
        <v>4489.1542962</v>
      </c>
      <c r="DE21" s="36">
        <f t="shared" si="64"/>
        <v>2398.3301124</v>
      </c>
      <c r="DF21" s="5"/>
      <c r="DG21" s="5">
        <f t="shared" si="97"/>
        <v>752775.657</v>
      </c>
      <c r="DH21" s="36">
        <f t="shared" si="65"/>
        <v>88000.8835557</v>
      </c>
      <c r="DI21" s="36">
        <f t="shared" si="66"/>
        <v>840776.5405557</v>
      </c>
      <c r="DJ21" s="36">
        <f t="shared" si="67"/>
        <v>39515.7896091</v>
      </c>
      <c r="DK21" s="36">
        <f t="shared" si="68"/>
        <v>21111.3055782</v>
      </c>
      <c r="DL21" s="5"/>
      <c r="DM21" s="36">
        <f t="shared" si="98"/>
        <v>1558499.837</v>
      </c>
      <c r="DN21" s="36">
        <f t="shared" si="69"/>
        <v>182191.5485737</v>
      </c>
      <c r="DO21" s="5">
        <f t="shared" si="70"/>
        <v>1740691.3855737</v>
      </c>
      <c r="DP21" s="36">
        <f t="shared" si="71"/>
        <v>81811.0297431</v>
      </c>
      <c r="DQ21" s="36">
        <f t="shared" si="72"/>
        <v>43707.532246200004</v>
      </c>
      <c r="DR21" s="5"/>
      <c r="DS21" s="5">
        <f t="shared" si="99"/>
        <v>69169.66900000001</v>
      </c>
      <c r="DT21" s="5">
        <f t="shared" si="73"/>
        <v>8086.063796900001</v>
      </c>
      <c r="DU21" s="5">
        <f t="shared" si="74"/>
        <v>77255.7327969</v>
      </c>
      <c r="DV21" s="36">
        <f t="shared" si="75"/>
        <v>3630.9544047000004</v>
      </c>
      <c r="DW21" s="36">
        <f t="shared" si="76"/>
        <v>1939.8369294000001</v>
      </c>
      <c r="DX21" s="5"/>
      <c r="DY21" s="36">
        <f t="shared" si="100"/>
        <v>76724.495</v>
      </c>
      <c r="DZ21" s="36">
        <f t="shared" si="77"/>
        <v>8969.2370995</v>
      </c>
      <c r="EA21" s="5">
        <f t="shared" si="78"/>
        <v>85693.73209949999</v>
      </c>
      <c r="EB21" s="36">
        <f t="shared" si="79"/>
        <v>4027.5332685</v>
      </c>
      <c r="EC21" s="36">
        <f t="shared" si="8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45931</v>
      </c>
      <c r="D22" s="3">
        <v>589091</v>
      </c>
      <c r="E22" s="35">
        <f t="shared" si="0"/>
        <v>589091</v>
      </c>
      <c r="F22" s="35">
        <v>336483</v>
      </c>
      <c r="G22" s="35">
        <v>179766</v>
      </c>
      <c r="I22" s="36"/>
      <c r="J22" s="36">
        <f>'2016B Academic'!J22</f>
        <v>88788.973702</v>
      </c>
      <c r="K22" s="36">
        <f t="shared" si="1"/>
        <v>88788.973702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2"/>
        <v>500302.02629800007</v>
      </c>
      <c r="Q22" s="5">
        <f t="shared" si="3"/>
        <v>500302.02629800007</v>
      </c>
      <c r="R22" s="35">
        <f t="shared" si="4"/>
        <v>285767.609274</v>
      </c>
      <c r="S22" s="35">
        <f t="shared" si="4"/>
        <v>152671.308948</v>
      </c>
      <c r="U22" s="36"/>
      <c r="V22" s="36">
        <f t="shared" si="5"/>
        <v>22579.9169391</v>
      </c>
      <c r="W22" s="5">
        <f t="shared" si="6"/>
        <v>22579.9169391</v>
      </c>
      <c r="X22" s="36">
        <f t="shared" si="7"/>
        <v>12897.4270383</v>
      </c>
      <c r="Y22" s="36">
        <f t="shared" si="8"/>
        <v>6890.4487566</v>
      </c>
      <c r="AB22" s="36">
        <f t="shared" si="9"/>
        <v>40915.727768699995</v>
      </c>
      <c r="AC22" s="36">
        <f t="shared" si="10"/>
        <v>40915.727768699995</v>
      </c>
      <c r="AD22" s="36">
        <f t="shared" si="11"/>
        <v>23370.662303099998</v>
      </c>
      <c r="AE22" s="36">
        <f t="shared" si="12"/>
        <v>12485.7733662</v>
      </c>
      <c r="AH22" s="5">
        <f t="shared" si="13"/>
        <v>32968.5367241</v>
      </c>
      <c r="AI22" s="5">
        <f t="shared" si="14"/>
        <v>32968.5367241</v>
      </c>
      <c r="AJ22" s="36">
        <f t="shared" si="15"/>
        <v>18831.3047433</v>
      </c>
      <c r="AK22" s="36">
        <f t="shared" si="16"/>
        <v>10060.6221666</v>
      </c>
      <c r="AN22" s="5">
        <f t="shared" si="17"/>
        <v>39179.853319</v>
      </c>
      <c r="AO22" s="5">
        <f t="shared" si="18"/>
        <v>39179.853319</v>
      </c>
      <c r="AP22" s="36">
        <f t="shared" si="19"/>
        <v>22379.147847</v>
      </c>
      <c r="AQ22" s="36">
        <f t="shared" si="20"/>
        <v>11956.056894</v>
      </c>
      <c r="AS22" s="36"/>
      <c r="AT22" s="36">
        <f t="shared" si="21"/>
        <v>2340.2229066</v>
      </c>
      <c r="AU22" s="5">
        <f t="shared" si="22"/>
        <v>2340.2229066</v>
      </c>
      <c r="AV22" s="36">
        <f t="shared" si="23"/>
        <v>1336.7123657999998</v>
      </c>
      <c r="AW22" s="36">
        <f t="shared" si="24"/>
        <v>714.1384115999999</v>
      </c>
      <c r="AY22" s="36"/>
      <c r="AZ22" s="36">
        <f t="shared" si="25"/>
        <v>210.65894160000002</v>
      </c>
      <c r="BA22" s="5">
        <f t="shared" si="26"/>
        <v>210.65894160000002</v>
      </c>
      <c r="BB22" s="36">
        <f t="shared" si="27"/>
        <v>120.3263208</v>
      </c>
      <c r="BC22" s="36">
        <f t="shared" si="28"/>
        <v>64.2843216</v>
      </c>
      <c r="BD22" s="5"/>
      <c r="BE22" s="36"/>
      <c r="BF22" s="36">
        <f t="shared" si="29"/>
        <v>43101.1964696</v>
      </c>
      <c r="BG22" s="5">
        <f t="shared" si="30"/>
        <v>43101.1964696</v>
      </c>
      <c r="BH22" s="36">
        <f t="shared" si="31"/>
        <v>24618.9805848</v>
      </c>
      <c r="BI22" s="36">
        <f t="shared" si="32"/>
        <v>13152.6872496</v>
      </c>
      <c r="BJ22" s="5"/>
      <c r="BK22" s="36"/>
      <c r="BL22" s="36">
        <f t="shared" si="33"/>
        <v>1.5316366000000001</v>
      </c>
      <c r="BM22" s="5">
        <f t="shared" si="34"/>
        <v>1.5316366000000001</v>
      </c>
      <c r="BN22" s="36">
        <f t="shared" si="35"/>
        <v>0.8748558000000001</v>
      </c>
      <c r="BO22" s="36">
        <f t="shared" si="36"/>
        <v>0.4673916</v>
      </c>
      <c r="BP22" s="5"/>
      <c r="BQ22" s="36"/>
      <c r="BR22" s="36">
        <f t="shared" si="37"/>
        <v>55053.499404999995</v>
      </c>
      <c r="BS22" s="5">
        <f t="shared" si="38"/>
        <v>55053.499404999995</v>
      </c>
      <c r="BT22" s="36">
        <f t="shared" si="39"/>
        <v>31446.018764999997</v>
      </c>
      <c r="BU22" s="36">
        <f t="shared" si="40"/>
        <v>16800.03153</v>
      </c>
      <c r="BV22" s="5"/>
      <c r="BW22" s="36"/>
      <c r="BX22" s="36">
        <f t="shared" si="41"/>
        <v>129.8945655</v>
      </c>
      <c r="BY22" s="5">
        <f t="shared" si="42"/>
        <v>129.8945655</v>
      </c>
      <c r="BZ22" s="36">
        <f t="shared" si="43"/>
        <v>74.1945015</v>
      </c>
      <c r="CA22" s="36">
        <f t="shared" si="44"/>
        <v>39.638403</v>
      </c>
      <c r="CB22" s="5"/>
      <c r="CC22" s="36"/>
      <c r="CD22" s="36">
        <f t="shared" si="45"/>
        <v>23084.2966533</v>
      </c>
      <c r="CE22" s="5">
        <f t="shared" si="46"/>
        <v>23084.2966533</v>
      </c>
      <c r="CF22" s="36">
        <f t="shared" si="47"/>
        <v>13185.5237829</v>
      </c>
      <c r="CG22" s="36">
        <f t="shared" si="48"/>
        <v>7044.3644058</v>
      </c>
      <c r="CH22" s="5"/>
      <c r="CI22" s="5"/>
      <c r="CJ22" s="5">
        <f t="shared" si="49"/>
        <v>116.52219980000001</v>
      </c>
      <c r="CK22" s="5">
        <f t="shared" si="50"/>
        <v>116.52219980000001</v>
      </c>
      <c r="CL22" s="36">
        <f t="shared" si="51"/>
        <v>66.5563374</v>
      </c>
      <c r="CM22" s="36">
        <f t="shared" si="52"/>
        <v>35.5577148</v>
      </c>
      <c r="CN22" s="5"/>
      <c r="CO22" s="36"/>
      <c r="CP22" s="36">
        <f t="shared" si="53"/>
        <v>4530.4632446</v>
      </c>
      <c r="CQ22" s="5">
        <f t="shared" si="54"/>
        <v>4530.4632446</v>
      </c>
      <c r="CR22" s="36">
        <f t="shared" si="55"/>
        <v>2587.7561597999998</v>
      </c>
      <c r="CS22" s="36">
        <f t="shared" si="56"/>
        <v>1382.5083995999998</v>
      </c>
      <c r="CT22" s="5"/>
      <c r="CU22" s="36"/>
      <c r="CV22" s="36">
        <f t="shared" si="57"/>
        <v>2411.9152813</v>
      </c>
      <c r="CW22" s="5">
        <f t="shared" si="58"/>
        <v>2411.9152813</v>
      </c>
      <c r="CX22" s="36">
        <f t="shared" si="59"/>
        <v>1377.6623469</v>
      </c>
      <c r="CY22" s="36">
        <f t="shared" si="60"/>
        <v>736.0159338000001</v>
      </c>
      <c r="CZ22" s="5"/>
      <c r="DA22" s="5"/>
      <c r="DB22" s="36">
        <f t="shared" si="61"/>
        <v>7859.298667399999</v>
      </c>
      <c r="DC22" s="36">
        <f t="shared" si="62"/>
        <v>7859.298667399999</v>
      </c>
      <c r="DD22" s="36">
        <f t="shared" si="63"/>
        <v>4489.1542962</v>
      </c>
      <c r="DE22" s="36">
        <f t="shared" si="64"/>
        <v>2398.3301124</v>
      </c>
      <c r="DF22" s="5"/>
      <c r="DG22" s="5"/>
      <c r="DH22" s="36">
        <f t="shared" si="65"/>
        <v>69181.4921307</v>
      </c>
      <c r="DI22" s="36">
        <f t="shared" si="66"/>
        <v>69181.4921307</v>
      </c>
      <c r="DJ22" s="36">
        <f t="shared" si="67"/>
        <v>39515.7896091</v>
      </c>
      <c r="DK22" s="36">
        <f t="shared" si="68"/>
        <v>21111.3055782</v>
      </c>
      <c r="DL22" s="5"/>
      <c r="DM22" s="36"/>
      <c r="DN22" s="36">
        <f t="shared" si="69"/>
        <v>143229.05264870002</v>
      </c>
      <c r="DO22" s="5">
        <f t="shared" si="70"/>
        <v>143229.05264870002</v>
      </c>
      <c r="DP22" s="36">
        <f t="shared" si="71"/>
        <v>81811.0297431</v>
      </c>
      <c r="DQ22" s="36">
        <f t="shared" si="72"/>
        <v>43707.532246200004</v>
      </c>
      <c r="DR22" s="5"/>
      <c r="DS22" s="5"/>
      <c r="DT22" s="5">
        <f t="shared" si="73"/>
        <v>6356.8220719</v>
      </c>
      <c r="DU22" s="5">
        <f t="shared" si="74"/>
        <v>6356.8220719</v>
      </c>
      <c r="DV22" s="36">
        <f t="shared" si="75"/>
        <v>3630.9544047000004</v>
      </c>
      <c r="DW22" s="36">
        <f t="shared" si="76"/>
        <v>1939.8369294000001</v>
      </c>
      <c r="DX22" s="5"/>
      <c r="DY22" s="36"/>
      <c r="DZ22" s="36">
        <f t="shared" si="77"/>
        <v>7051.1247244999995</v>
      </c>
      <c r="EA22" s="5">
        <f t="shared" si="78"/>
        <v>7051.1247244999995</v>
      </c>
      <c r="EB22" s="36">
        <f t="shared" si="79"/>
        <v>4027.5332685</v>
      </c>
      <c r="EC22" s="36">
        <f t="shared" si="8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46113</v>
      </c>
      <c r="C23" s="3">
        <v>6735000</v>
      </c>
      <c r="D23" s="3">
        <v>589091</v>
      </c>
      <c r="E23" s="35">
        <f t="shared" si="0"/>
        <v>7324091</v>
      </c>
      <c r="F23" s="35">
        <v>336483</v>
      </c>
      <c r="G23" s="35">
        <v>179766</v>
      </c>
      <c r="I23" s="36">
        <f>'2016B Academic'!I23</f>
        <v>1015112.67</v>
      </c>
      <c r="J23" s="36">
        <f>'2016B Academic'!J23</f>
        <v>88788.973702</v>
      </c>
      <c r="K23" s="36">
        <f t="shared" si="1"/>
        <v>1103901.6437020001</v>
      </c>
      <c r="L23" s="36">
        <f>'2016B Academic'!L23</f>
        <v>50715.390726000005</v>
      </c>
      <c r="M23" s="36">
        <f>'2016B Academic'!M23</f>
        <v>27094.691052000002</v>
      </c>
      <c r="O23" s="36">
        <f t="shared" si="81"/>
        <v>5719887.33</v>
      </c>
      <c r="P23" s="35">
        <f t="shared" si="2"/>
        <v>500302.02629800007</v>
      </c>
      <c r="Q23" s="5">
        <f t="shared" si="3"/>
        <v>6220189.356298001</v>
      </c>
      <c r="R23" s="35">
        <f t="shared" si="4"/>
        <v>285767.609274</v>
      </c>
      <c r="S23" s="35">
        <f t="shared" si="4"/>
        <v>152671.308948</v>
      </c>
      <c r="U23" s="36">
        <f t="shared" si="82"/>
        <v>258153.2235</v>
      </c>
      <c r="V23" s="36">
        <f t="shared" si="5"/>
        <v>22579.9169391</v>
      </c>
      <c r="W23" s="5">
        <f t="shared" si="6"/>
        <v>280733.1404391</v>
      </c>
      <c r="X23" s="36">
        <f t="shared" si="7"/>
        <v>12897.4270383</v>
      </c>
      <c r="Y23" s="36">
        <f t="shared" si="8"/>
        <v>6890.4487566</v>
      </c>
      <c r="AA23" s="5">
        <f t="shared" si="83"/>
        <v>467784.1395</v>
      </c>
      <c r="AB23" s="36">
        <f t="shared" si="9"/>
        <v>40915.727768699995</v>
      </c>
      <c r="AC23" s="36">
        <f t="shared" si="10"/>
        <v>508699.8672687</v>
      </c>
      <c r="AD23" s="36">
        <f t="shared" si="11"/>
        <v>23370.662303099998</v>
      </c>
      <c r="AE23" s="36">
        <f t="shared" si="12"/>
        <v>12485.7733662</v>
      </c>
      <c r="AG23" s="5">
        <f t="shared" si="84"/>
        <v>376924.9485</v>
      </c>
      <c r="AH23" s="5">
        <f t="shared" si="13"/>
        <v>32968.5367241</v>
      </c>
      <c r="AI23" s="5">
        <f t="shared" si="14"/>
        <v>409893.4852241</v>
      </c>
      <c r="AJ23" s="36">
        <f t="shared" si="15"/>
        <v>18831.3047433</v>
      </c>
      <c r="AK23" s="36">
        <f t="shared" si="16"/>
        <v>10060.6221666</v>
      </c>
      <c r="AM23" s="5">
        <f t="shared" si="85"/>
        <v>447938.115</v>
      </c>
      <c r="AN23" s="5">
        <f t="shared" si="17"/>
        <v>39179.853319</v>
      </c>
      <c r="AO23" s="5">
        <f t="shared" si="18"/>
        <v>487117.968319</v>
      </c>
      <c r="AP23" s="36">
        <f t="shared" si="19"/>
        <v>22379.147847</v>
      </c>
      <c r="AQ23" s="36">
        <f t="shared" si="20"/>
        <v>11956.056894</v>
      </c>
      <c r="AS23" s="36">
        <f t="shared" si="86"/>
        <v>26755.461</v>
      </c>
      <c r="AT23" s="36">
        <f t="shared" si="21"/>
        <v>2340.2229066</v>
      </c>
      <c r="AU23" s="5">
        <f t="shared" si="22"/>
        <v>29095.6839066</v>
      </c>
      <c r="AV23" s="36">
        <f t="shared" si="23"/>
        <v>1336.7123657999998</v>
      </c>
      <c r="AW23" s="36">
        <f t="shared" si="24"/>
        <v>714.1384115999999</v>
      </c>
      <c r="AY23" s="36">
        <f t="shared" si="87"/>
        <v>2408.436</v>
      </c>
      <c r="AZ23" s="36">
        <f t="shared" si="25"/>
        <v>210.65894160000002</v>
      </c>
      <c r="BA23" s="5">
        <f t="shared" si="26"/>
        <v>2619.0949416000003</v>
      </c>
      <c r="BB23" s="36">
        <f t="shared" si="27"/>
        <v>120.3263208</v>
      </c>
      <c r="BC23" s="36">
        <f t="shared" si="28"/>
        <v>64.2843216</v>
      </c>
      <c r="BD23" s="5"/>
      <c r="BE23" s="36">
        <f t="shared" si="88"/>
        <v>492770.316</v>
      </c>
      <c r="BF23" s="36">
        <f t="shared" si="29"/>
        <v>43101.1964696</v>
      </c>
      <c r="BG23" s="5">
        <f t="shared" si="30"/>
        <v>535871.5124696</v>
      </c>
      <c r="BH23" s="36">
        <f t="shared" si="31"/>
        <v>24618.9805848</v>
      </c>
      <c r="BI23" s="36">
        <f t="shared" si="32"/>
        <v>13152.6872496</v>
      </c>
      <c r="BJ23" s="5"/>
      <c r="BK23" s="36">
        <f t="shared" si="89"/>
        <v>17.511</v>
      </c>
      <c r="BL23" s="36">
        <f t="shared" si="33"/>
        <v>1.5316366000000001</v>
      </c>
      <c r="BM23" s="5">
        <f t="shared" si="34"/>
        <v>19.042636599999998</v>
      </c>
      <c r="BN23" s="36">
        <f t="shared" si="35"/>
        <v>0.8748558000000001</v>
      </c>
      <c r="BO23" s="36">
        <f t="shared" si="36"/>
        <v>0.4673916</v>
      </c>
      <c r="BP23" s="5"/>
      <c r="BQ23" s="36">
        <f t="shared" si="90"/>
        <v>629419.4249999999</v>
      </c>
      <c r="BR23" s="36">
        <f t="shared" si="37"/>
        <v>55053.499404999995</v>
      </c>
      <c r="BS23" s="5">
        <f t="shared" si="38"/>
        <v>684472.9244049999</v>
      </c>
      <c r="BT23" s="36">
        <f t="shared" si="39"/>
        <v>31446.018764999997</v>
      </c>
      <c r="BU23" s="36">
        <f t="shared" si="40"/>
        <v>16800.03153</v>
      </c>
      <c r="BV23" s="5"/>
      <c r="BW23" s="36">
        <f t="shared" si="91"/>
        <v>1485.0674999999999</v>
      </c>
      <c r="BX23" s="36">
        <f t="shared" si="41"/>
        <v>129.8945655</v>
      </c>
      <c r="BY23" s="5">
        <f t="shared" si="42"/>
        <v>1614.9620654999999</v>
      </c>
      <c r="BZ23" s="36">
        <f t="shared" si="43"/>
        <v>74.1945015</v>
      </c>
      <c r="CA23" s="36">
        <f t="shared" si="44"/>
        <v>39.638403</v>
      </c>
      <c r="CB23" s="5"/>
      <c r="CC23" s="36">
        <f t="shared" si="92"/>
        <v>263919.7305</v>
      </c>
      <c r="CD23" s="36">
        <f t="shared" si="45"/>
        <v>23084.2966533</v>
      </c>
      <c r="CE23" s="5">
        <f t="shared" si="46"/>
        <v>287004.0271533</v>
      </c>
      <c r="CF23" s="36">
        <f t="shared" si="47"/>
        <v>13185.5237829</v>
      </c>
      <c r="CG23" s="36">
        <f t="shared" si="48"/>
        <v>7044.3644058</v>
      </c>
      <c r="CH23" s="5"/>
      <c r="CI23" s="5">
        <f t="shared" si="93"/>
        <v>1332.183</v>
      </c>
      <c r="CJ23" s="5">
        <f t="shared" si="49"/>
        <v>116.52219980000001</v>
      </c>
      <c r="CK23" s="5">
        <f t="shared" si="50"/>
        <v>1448.7051998</v>
      </c>
      <c r="CL23" s="36">
        <f t="shared" si="51"/>
        <v>66.5563374</v>
      </c>
      <c r="CM23" s="36">
        <f t="shared" si="52"/>
        <v>35.5577148</v>
      </c>
      <c r="CN23" s="5"/>
      <c r="CO23" s="36">
        <f t="shared" si="94"/>
        <v>51796.191</v>
      </c>
      <c r="CP23" s="36">
        <f t="shared" si="53"/>
        <v>4530.4632446</v>
      </c>
      <c r="CQ23" s="5">
        <f t="shared" si="54"/>
        <v>56326.654244599995</v>
      </c>
      <c r="CR23" s="36">
        <f t="shared" si="55"/>
        <v>2587.7561597999998</v>
      </c>
      <c r="CS23" s="36">
        <f t="shared" si="56"/>
        <v>1382.5083995999998</v>
      </c>
      <c r="CT23" s="5"/>
      <c r="CU23" s="36">
        <f t="shared" si="95"/>
        <v>27575.110500000003</v>
      </c>
      <c r="CV23" s="36">
        <f t="shared" si="57"/>
        <v>2411.9152813</v>
      </c>
      <c r="CW23" s="5">
        <f t="shared" si="58"/>
        <v>29987.025781300003</v>
      </c>
      <c r="CX23" s="36">
        <f t="shared" si="59"/>
        <v>1377.6623469</v>
      </c>
      <c r="CY23" s="36">
        <f t="shared" si="60"/>
        <v>736.0159338000001</v>
      </c>
      <c r="CZ23" s="5"/>
      <c r="DA23" s="5">
        <f t="shared" si="96"/>
        <v>89854.329</v>
      </c>
      <c r="DB23" s="36">
        <f t="shared" si="61"/>
        <v>7859.298667399999</v>
      </c>
      <c r="DC23" s="36">
        <f t="shared" si="62"/>
        <v>97713.6276674</v>
      </c>
      <c r="DD23" s="36">
        <f t="shared" si="63"/>
        <v>4489.1542962</v>
      </c>
      <c r="DE23" s="36">
        <f t="shared" si="64"/>
        <v>2398.3301124</v>
      </c>
      <c r="DF23" s="5"/>
      <c r="DG23" s="5">
        <f t="shared" si="97"/>
        <v>790942.9095000001</v>
      </c>
      <c r="DH23" s="36">
        <f t="shared" si="65"/>
        <v>69181.4921307</v>
      </c>
      <c r="DI23" s="36">
        <f t="shared" si="66"/>
        <v>860124.4016307001</v>
      </c>
      <c r="DJ23" s="36">
        <f t="shared" si="67"/>
        <v>39515.7896091</v>
      </c>
      <c r="DK23" s="36">
        <f t="shared" si="68"/>
        <v>21111.3055782</v>
      </c>
      <c r="DL23" s="5"/>
      <c r="DM23" s="36">
        <f t="shared" si="98"/>
        <v>1637518.9395</v>
      </c>
      <c r="DN23" s="36">
        <f t="shared" si="69"/>
        <v>143229.05264870002</v>
      </c>
      <c r="DO23" s="5">
        <f t="shared" si="70"/>
        <v>1780747.9921487002</v>
      </c>
      <c r="DP23" s="36">
        <f t="shared" si="71"/>
        <v>81811.0297431</v>
      </c>
      <c r="DQ23" s="36">
        <f t="shared" si="72"/>
        <v>43707.532246200004</v>
      </c>
      <c r="DR23" s="5"/>
      <c r="DS23" s="5">
        <f t="shared" si="99"/>
        <v>72676.7115</v>
      </c>
      <c r="DT23" s="5">
        <f t="shared" si="73"/>
        <v>6356.8220719</v>
      </c>
      <c r="DU23" s="5">
        <f t="shared" si="74"/>
        <v>79033.5335719</v>
      </c>
      <c r="DV23" s="36">
        <f t="shared" si="75"/>
        <v>3630.9544047000004</v>
      </c>
      <c r="DW23" s="36">
        <f t="shared" si="76"/>
        <v>1939.8369294000001</v>
      </c>
      <c r="DX23" s="5"/>
      <c r="DY23" s="36">
        <f t="shared" si="100"/>
        <v>80614.58249999999</v>
      </c>
      <c r="DZ23" s="36">
        <f t="shared" si="77"/>
        <v>7051.1247244999995</v>
      </c>
      <c r="EA23" s="5">
        <f t="shared" si="78"/>
        <v>87665.70722449999</v>
      </c>
      <c r="EB23" s="36">
        <f t="shared" si="79"/>
        <v>4027.5332685</v>
      </c>
      <c r="EC23" s="36">
        <f t="shared" si="8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46296</v>
      </c>
      <c r="D24" s="3">
        <v>420716</v>
      </c>
      <c r="E24" s="35">
        <f t="shared" si="0"/>
        <v>420716</v>
      </c>
      <c r="F24" s="35">
        <v>336483</v>
      </c>
      <c r="G24" s="35">
        <v>179766</v>
      </c>
      <c r="I24" s="36"/>
      <c r="J24" s="36">
        <f>'2016B Academic'!J24</f>
        <v>63411.15695200001</v>
      </c>
      <c r="K24" s="36">
        <f t="shared" si="1"/>
        <v>63411.15695200001</v>
      </c>
      <c r="L24" s="36">
        <f>'2016B Academic'!L24</f>
        <v>50715.390726000005</v>
      </c>
      <c r="M24" s="36">
        <f>'2016B Academic'!M24</f>
        <v>27094.691052000002</v>
      </c>
      <c r="O24" s="36"/>
      <c r="P24" s="35">
        <f t="shared" si="2"/>
        <v>357304.843048</v>
      </c>
      <c r="Q24" s="5">
        <f t="shared" si="3"/>
        <v>357304.843048</v>
      </c>
      <c r="R24" s="35">
        <f t="shared" si="4"/>
        <v>285767.609274</v>
      </c>
      <c r="S24" s="35">
        <f t="shared" si="4"/>
        <v>152671.308948</v>
      </c>
      <c r="U24" s="36"/>
      <c r="V24" s="36">
        <f t="shared" si="5"/>
        <v>16126.086351599999</v>
      </c>
      <c r="W24" s="5">
        <f t="shared" si="6"/>
        <v>16126.086351599999</v>
      </c>
      <c r="X24" s="36">
        <f t="shared" si="7"/>
        <v>12897.4270383</v>
      </c>
      <c r="Y24" s="36">
        <f t="shared" si="8"/>
        <v>6890.4487566</v>
      </c>
      <c r="AB24" s="36">
        <f t="shared" si="9"/>
        <v>29221.1242812</v>
      </c>
      <c r="AC24" s="36">
        <f t="shared" si="10"/>
        <v>29221.1242812</v>
      </c>
      <c r="AD24" s="36">
        <f t="shared" si="11"/>
        <v>23370.662303099998</v>
      </c>
      <c r="AE24" s="36">
        <f t="shared" si="12"/>
        <v>12485.7733662</v>
      </c>
      <c r="AH24" s="5">
        <f t="shared" si="13"/>
        <v>23545.413011599998</v>
      </c>
      <c r="AI24" s="5">
        <f t="shared" si="14"/>
        <v>23545.413011599998</v>
      </c>
      <c r="AJ24" s="36">
        <f t="shared" si="15"/>
        <v>18831.3047433</v>
      </c>
      <c r="AK24" s="36">
        <f t="shared" si="16"/>
        <v>10060.6221666</v>
      </c>
      <c r="AN24" s="5">
        <f t="shared" si="17"/>
        <v>27981.400444</v>
      </c>
      <c r="AO24" s="5">
        <f t="shared" si="18"/>
        <v>27981.400444</v>
      </c>
      <c r="AP24" s="36">
        <f t="shared" si="19"/>
        <v>22379.147847</v>
      </c>
      <c r="AQ24" s="36">
        <f t="shared" si="20"/>
        <v>11956.056894</v>
      </c>
      <c r="AS24" s="36"/>
      <c r="AT24" s="36">
        <f t="shared" si="21"/>
        <v>1671.3363815999999</v>
      </c>
      <c r="AU24" s="5">
        <f t="shared" si="22"/>
        <v>1671.3363815999999</v>
      </c>
      <c r="AV24" s="36">
        <f t="shared" si="23"/>
        <v>1336.7123657999998</v>
      </c>
      <c r="AW24" s="36">
        <f t="shared" si="24"/>
        <v>714.1384115999999</v>
      </c>
      <c r="AY24" s="36"/>
      <c r="AZ24" s="36">
        <f t="shared" si="25"/>
        <v>150.4480416</v>
      </c>
      <c r="BA24" s="5">
        <f t="shared" si="26"/>
        <v>150.4480416</v>
      </c>
      <c r="BB24" s="36">
        <f t="shared" si="27"/>
        <v>120.3263208</v>
      </c>
      <c r="BC24" s="36">
        <f t="shared" si="28"/>
        <v>64.2843216</v>
      </c>
      <c r="BD24" s="5"/>
      <c r="BE24" s="36"/>
      <c r="BF24" s="36">
        <f t="shared" si="29"/>
        <v>30781.9385696</v>
      </c>
      <c r="BG24" s="5">
        <f t="shared" si="30"/>
        <v>30781.9385696</v>
      </c>
      <c r="BH24" s="36">
        <f t="shared" si="31"/>
        <v>24618.9805848</v>
      </c>
      <c r="BI24" s="36">
        <f t="shared" si="32"/>
        <v>13152.6872496</v>
      </c>
      <c r="BJ24" s="5"/>
      <c r="BK24" s="36"/>
      <c r="BL24" s="36">
        <f t="shared" si="33"/>
        <v>1.0938616</v>
      </c>
      <c r="BM24" s="5">
        <f t="shared" si="34"/>
        <v>1.0938616</v>
      </c>
      <c r="BN24" s="36">
        <f t="shared" si="35"/>
        <v>0.8748558000000001</v>
      </c>
      <c r="BO24" s="36">
        <f t="shared" si="36"/>
        <v>0.4673916</v>
      </c>
      <c r="BP24" s="5"/>
      <c r="BQ24" s="36"/>
      <c r="BR24" s="36">
        <f t="shared" si="37"/>
        <v>39318.01378</v>
      </c>
      <c r="BS24" s="5">
        <f t="shared" si="38"/>
        <v>39318.01378</v>
      </c>
      <c r="BT24" s="36">
        <f t="shared" si="39"/>
        <v>31446.018764999997</v>
      </c>
      <c r="BU24" s="36">
        <f t="shared" si="40"/>
        <v>16800.03153</v>
      </c>
      <c r="BV24" s="5"/>
      <c r="BW24" s="36"/>
      <c r="BX24" s="36">
        <f t="shared" si="41"/>
        <v>92.767878</v>
      </c>
      <c r="BY24" s="5">
        <f t="shared" si="42"/>
        <v>92.767878</v>
      </c>
      <c r="BZ24" s="36">
        <f t="shared" si="43"/>
        <v>74.1945015</v>
      </c>
      <c r="CA24" s="36">
        <f t="shared" si="44"/>
        <v>39.638403</v>
      </c>
      <c r="CB24" s="5"/>
      <c r="CC24" s="36"/>
      <c r="CD24" s="36">
        <f t="shared" si="45"/>
        <v>16486.3033908</v>
      </c>
      <c r="CE24" s="5">
        <f t="shared" si="46"/>
        <v>16486.3033908</v>
      </c>
      <c r="CF24" s="36">
        <f t="shared" si="47"/>
        <v>13185.5237829</v>
      </c>
      <c r="CG24" s="36">
        <f t="shared" si="48"/>
        <v>7044.3644058</v>
      </c>
      <c r="CH24" s="5"/>
      <c r="CI24" s="5"/>
      <c r="CJ24" s="5">
        <f t="shared" si="49"/>
        <v>83.21762480000001</v>
      </c>
      <c r="CK24" s="5">
        <f t="shared" si="50"/>
        <v>83.21762480000001</v>
      </c>
      <c r="CL24" s="36">
        <f t="shared" si="51"/>
        <v>66.5563374</v>
      </c>
      <c r="CM24" s="36">
        <f t="shared" si="52"/>
        <v>35.5577148</v>
      </c>
      <c r="CN24" s="5"/>
      <c r="CO24" s="36"/>
      <c r="CP24" s="36">
        <f t="shared" si="53"/>
        <v>3235.5584696</v>
      </c>
      <c r="CQ24" s="5">
        <f t="shared" si="54"/>
        <v>3235.5584696</v>
      </c>
      <c r="CR24" s="36">
        <f t="shared" si="55"/>
        <v>2587.7561597999998</v>
      </c>
      <c r="CS24" s="36">
        <f t="shared" si="56"/>
        <v>1382.5083995999998</v>
      </c>
      <c r="CT24" s="5"/>
      <c r="CU24" s="36"/>
      <c r="CV24" s="36">
        <f t="shared" si="57"/>
        <v>1722.5375188</v>
      </c>
      <c r="CW24" s="5">
        <f t="shared" si="58"/>
        <v>1722.5375188</v>
      </c>
      <c r="CX24" s="36">
        <f t="shared" si="59"/>
        <v>1377.6623469</v>
      </c>
      <c r="CY24" s="36">
        <f t="shared" si="60"/>
        <v>736.0159338000001</v>
      </c>
      <c r="CZ24" s="5"/>
      <c r="DA24" s="5"/>
      <c r="DB24" s="36">
        <f t="shared" si="61"/>
        <v>5612.9404423999995</v>
      </c>
      <c r="DC24" s="36">
        <f t="shared" si="62"/>
        <v>5612.9404423999995</v>
      </c>
      <c r="DD24" s="36">
        <f t="shared" si="63"/>
        <v>4489.1542962</v>
      </c>
      <c r="DE24" s="36">
        <f t="shared" si="64"/>
        <v>2398.3301124</v>
      </c>
      <c r="DF24" s="5"/>
      <c r="DG24" s="5"/>
      <c r="DH24" s="36">
        <f t="shared" si="65"/>
        <v>49407.919393200005</v>
      </c>
      <c r="DI24" s="36">
        <f t="shared" si="66"/>
        <v>49407.919393200005</v>
      </c>
      <c r="DJ24" s="36">
        <f t="shared" si="67"/>
        <v>39515.7896091</v>
      </c>
      <c r="DK24" s="36">
        <f t="shared" si="68"/>
        <v>21111.3055782</v>
      </c>
      <c r="DL24" s="5"/>
      <c r="DM24" s="36"/>
      <c r="DN24" s="36">
        <f t="shared" si="69"/>
        <v>102291.0791612</v>
      </c>
      <c r="DO24" s="5">
        <f t="shared" si="70"/>
        <v>102291.0791612</v>
      </c>
      <c r="DP24" s="36">
        <f t="shared" si="71"/>
        <v>81811.0297431</v>
      </c>
      <c r="DQ24" s="36">
        <f t="shared" si="72"/>
        <v>43707.532246200004</v>
      </c>
      <c r="DR24" s="5"/>
      <c r="DS24" s="5"/>
      <c r="DT24" s="5">
        <f t="shared" si="73"/>
        <v>4539.9042844000005</v>
      </c>
      <c r="DU24" s="5">
        <f t="shared" si="74"/>
        <v>4539.9042844000005</v>
      </c>
      <c r="DV24" s="36">
        <f t="shared" si="75"/>
        <v>3630.9544047000004</v>
      </c>
      <c r="DW24" s="36">
        <f t="shared" si="76"/>
        <v>1939.8369294000001</v>
      </c>
      <c r="DX24" s="5"/>
      <c r="DY24" s="36"/>
      <c r="DZ24" s="36">
        <f t="shared" si="77"/>
        <v>5035.760162</v>
      </c>
      <c r="EA24" s="5">
        <f t="shared" si="78"/>
        <v>5035.760162</v>
      </c>
      <c r="EB24" s="36">
        <f t="shared" si="79"/>
        <v>4027.5332685</v>
      </c>
      <c r="EC24" s="36">
        <f t="shared" si="80"/>
        <v>2151.709137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46478</v>
      </c>
      <c r="C25" s="3">
        <v>7070000</v>
      </c>
      <c r="D25" s="3">
        <v>420716</v>
      </c>
      <c r="E25" s="35">
        <f t="shared" si="0"/>
        <v>7490716</v>
      </c>
      <c r="F25" s="35">
        <v>336483</v>
      </c>
      <c r="G25" s="35">
        <v>179766</v>
      </c>
      <c r="I25" s="36">
        <f>'2016B Academic'!I25</f>
        <v>1065604.54</v>
      </c>
      <c r="J25" s="36">
        <f>'2016B Academic'!J25</f>
        <v>63411.15695200001</v>
      </c>
      <c r="K25" s="36">
        <f t="shared" si="1"/>
        <v>1129015.696952</v>
      </c>
      <c r="L25" s="36">
        <f>'2016B Academic'!L25</f>
        <v>50715.390726000005</v>
      </c>
      <c r="M25" s="36">
        <f>'2016B Academic'!M25</f>
        <v>27094.691052000002</v>
      </c>
      <c r="O25" s="36">
        <f t="shared" si="81"/>
        <v>6004395.459999999</v>
      </c>
      <c r="P25" s="35">
        <f t="shared" si="2"/>
        <v>357304.843048</v>
      </c>
      <c r="Q25" s="5">
        <f t="shared" si="3"/>
        <v>6361700.303047999</v>
      </c>
      <c r="R25" s="35">
        <f t="shared" si="4"/>
        <v>285767.609274</v>
      </c>
      <c r="S25" s="35">
        <f t="shared" si="4"/>
        <v>152671.308948</v>
      </c>
      <c r="U25" s="36">
        <f t="shared" si="82"/>
        <v>270993.807</v>
      </c>
      <c r="V25" s="36">
        <f t="shared" si="5"/>
        <v>16126.086351599999</v>
      </c>
      <c r="W25" s="5">
        <f t="shared" si="6"/>
        <v>287119.8933516</v>
      </c>
      <c r="X25" s="36">
        <f t="shared" si="7"/>
        <v>12897.4270383</v>
      </c>
      <c r="Y25" s="36">
        <f t="shared" si="8"/>
        <v>6890.4487566</v>
      </c>
      <c r="AA25" s="5">
        <f t="shared" si="83"/>
        <v>491051.79899999994</v>
      </c>
      <c r="AB25" s="36">
        <f t="shared" si="9"/>
        <v>29221.1242812</v>
      </c>
      <c r="AC25" s="36">
        <f t="shared" si="10"/>
        <v>520272.92328119994</v>
      </c>
      <c r="AD25" s="36">
        <f t="shared" si="11"/>
        <v>23370.662303099998</v>
      </c>
      <c r="AE25" s="36">
        <f t="shared" si="12"/>
        <v>12485.7733662</v>
      </c>
      <c r="AG25" s="5">
        <f t="shared" si="84"/>
        <v>395673.257</v>
      </c>
      <c r="AH25" s="5">
        <f t="shared" si="13"/>
        <v>23545.413011599998</v>
      </c>
      <c r="AI25" s="5">
        <f t="shared" si="14"/>
        <v>419218.67001159996</v>
      </c>
      <c r="AJ25" s="36">
        <f t="shared" si="15"/>
        <v>18831.3047433</v>
      </c>
      <c r="AK25" s="36">
        <f t="shared" si="16"/>
        <v>10060.6221666</v>
      </c>
      <c r="AM25" s="5">
        <f t="shared" si="85"/>
        <v>470218.63</v>
      </c>
      <c r="AN25" s="5">
        <f t="shared" si="17"/>
        <v>27981.400444</v>
      </c>
      <c r="AO25" s="5">
        <f t="shared" si="18"/>
        <v>498200.03044400003</v>
      </c>
      <c r="AP25" s="36">
        <f t="shared" si="19"/>
        <v>22379.147847</v>
      </c>
      <c r="AQ25" s="36">
        <f t="shared" si="20"/>
        <v>11956.056894</v>
      </c>
      <c r="AS25" s="36">
        <f t="shared" si="86"/>
        <v>28086.282</v>
      </c>
      <c r="AT25" s="36">
        <f t="shared" si="21"/>
        <v>1671.3363815999999</v>
      </c>
      <c r="AU25" s="5">
        <f t="shared" si="22"/>
        <v>29757.618381599998</v>
      </c>
      <c r="AV25" s="36">
        <f t="shared" si="23"/>
        <v>1336.7123657999998</v>
      </c>
      <c r="AW25" s="36">
        <f t="shared" si="24"/>
        <v>714.1384115999999</v>
      </c>
      <c r="AY25" s="36">
        <f t="shared" si="87"/>
        <v>2528.232</v>
      </c>
      <c r="AZ25" s="36">
        <f t="shared" si="25"/>
        <v>150.4480416</v>
      </c>
      <c r="BA25" s="5">
        <f t="shared" si="26"/>
        <v>2678.6800416</v>
      </c>
      <c r="BB25" s="36">
        <f t="shared" si="27"/>
        <v>120.3263208</v>
      </c>
      <c r="BC25" s="36">
        <f t="shared" si="28"/>
        <v>64.2843216</v>
      </c>
      <c r="BD25" s="5"/>
      <c r="BE25" s="36">
        <f t="shared" si="88"/>
        <v>517280.79199999996</v>
      </c>
      <c r="BF25" s="36">
        <f t="shared" si="29"/>
        <v>30781.9385696</v>
      </c>
      <c r="BG25" s="5">
        <f t="shared" si="30"/>
        <v>548062.7305696</v>
      </c>
      <c r="BH25" s="36">
        <f t="shared" si="31"/>
        <v>24618.9805848</v>
      </c>
      <c r="BI25" s="36">
        <f t="shared" si="32"/>
        <v>13152.6872496</v>
      </c>
      <c r="BJ25" s="5"/>
      <c r="BK25" s="36">
        <f t="shared" si="89"/>
        <v>18.382</v>
      </c>
      <c r="BL25" s="36">
        <f t="shared" si="33"/>
        <v>1.0938616</v>
      </c>
      <c r="BM25" s="5">
        <f t="shared" si="34"/>
        <v>19.4758616</v>
      </c>
      <c r="BN25" s="36">
        <f t="shared" si="35"/>
        <v>0.8748558000000001</v>
      </c>
      <c r="BO25" s="36">
        <f t="shared" si="36"/>
        <v>0.4673916</v>
      </c>
      <c r="BP25" s="5"/>
      <c r="BQ25" s="36">
        <f t="shared" si="90"/>
        <v>660726.85</v>
      </c>
      <c r="BR25" s="36">
        <f t="shared" si="37"/>
        <v>39318.01378</v>
      </c>
      <c r="BS25" s="5">
        <f t="shared" si="38"/>
        <v>700044.86378</v>
      </c>
      <c r="BT25" s="36">
        <f t="shared" si="39"/>
        <v>31446.018764999997</v>
      </c>
      <c r="BU25" s="36">
        <f t="shared" si="40"/>
        <v>16800.03153</v>
      </c>
      <c r="BV25" s="5"/>
      <c r="BW25" s="36">
        <f t="shared" si="91"/>
        <v>1558.935</v>
      </c>
      <c r="BX25" s="36">
        <f t="shared" si="41"/>
        <v>92.767878</v>
      </c>
      <c r="BY25" s="5">
        <f t="shared" si="42"/>
        <v>1651.702878</v>
      </c>
      <c r="BZ25" s="36">
        <f t="shared" si="43"/>
        <v>74.1945015</v>
      </c>
      <c r="CA25" s="36">
        <f t="shared" si="44"/>
        <v>39.638403</v>
      </c>
      <c r="CB25" s="5"/>
      <c r="CC25" s="36">
        <f t="shared" si="92"/>
        <v>277047.141</v>
      </c>
      <c r="CD25" s="36">
        <f t="shared" si="45"/>
        <v>16486.3033908</v>
      </c>
      <c r="CE25" s="5">
        <f t="shared" si="46"/>
        <v>293533.4443908</v>
      </c>
      <c r="CF25" s="36">
        <f t="shared" si="47"/>
        <v>13185.5237829</v>
      </c>
      <c r="CG25" s="36">
        <f t="shared" si="48"/>
        <v>7044.3644058</v>
      </c>
      <c r="CH25" s="5"/>
      <c r="CI25" s="5">
        <f t="shared" si="93"/>
        <v>1398.4460000000001</v>
      </c>
      <c r="CJ25" s="5">
        <f t="shared" si="49"/>
        <v>83.21762480000001</v>
      </c>
      <c r="CK25" s="5">
        <f t="shared" si="50"/>
        <v>1481.6636248000002</v>
      </c>
      <c r="CL25" s="36">
        <f t="shared" si="51"/>
        <v>66.5563374</v>
      </c>
      <c r="CM25" s="36">
        <f t="shared" si="52"/>
        <v>35.5577148</v>
      </c>
      <c r="CN25" s="5"/>
      <c r="CO25" s="36">
        <f t="shared" si="94"/>
        <v>54372.542</v>
      </c>
      <c r="CP25" s="36">
        <f t="shared" si="53"/>
        <v>3235.5584696</v>
      </c>
      <c r="CQ25" s="5">
        <f t="shared" si="54"/>
        <v>57608.1004696</v>
      </c>
      <c r="CR25" s="36">
        <f t="shared" si="55"/>
        <v>2587.7561597999998</v>
      </c>
      <c r="CS25" s="36">
        <f t="shared" si="56"/>
        <v>1382.5083995999998</v>
      </c>
      <c r="CT25" s="5"/>
      <c r="CU25" s="36">
        <f t="shared" si="95"/>
        <v>28946.701</v>
      </c>
      <c r="CV25" s="36">
        <f t="shared" si="57"/>
        <v>1722.5375188</v>
      </c>
      <c r="CW25" s="5">
        <f t="shared" si="58"/>
        <v>30669.2385188</v>
      </c>
      <c r="CX25" s="36">
        <f t="shared" si="59"/>
        <v>1377.6623469</v>
      </c>
      <c r="CY25" s="36">
        <f t="shared" si="60"/>
        <v>736.0159338000001</v>
      </c>
      <c r="CZ25" s="5"/>
      <c r="DA25" s="5">
        <f t="shared" si="96"/>
        <v>94323.698</v>
      </c>
      <c r="DB25" s="36">
        <f t="shared" si="61"/>
        <v>5612.9404423999995</v>
      </c>
      <c r="DC25" s="36">
        <f t="shared" si="62"/>
        <v>99936.6384424</v>
      </c>
      <c r="DD25" s="36">
        <f t="shared" si="63"/>
        <v>4489.1542962</v>
      </c>
      <c r="DE25" s="36">
        <f t="shared" si="64"/>
        <v>2398.3301124</v>
      </c>
      <c r="DF25" s="5"/>
      <c r="DG25" s="5">
        <f t="shared" si="97"/>
        <v>830284.539</v>
      </c>
      <c r="DH25" s="36">
        <f t="shared" si="65"/>
        <v>49407.919393200005</v>
      </c>
      <c r="DI25" s="36">
        <f t="shared" si="66"/>
        <v>879692.4583932</v>
      </c>
      <c r="DJ25" s="36">
        <f t="shared" si="67"/>
        <v>39515.7896091</v>
      </c>
      <c r="DK25" s="36">
        <f t="shared" si="68"/>
        <v>21111.3055782</v>
      </c>
      <c r="DL25" s="5"/>
      <c r="DM25" s="36">
        <f t="shared" si="98"/>
        <v>1718969.399</v>
      </c>
      <c r="DN25" s="36">
        <f t="shared" si="69"/>
        <v>102291.0791612</v>
      </c>
      <c r="DO25" s="5">
        <f t="shared" si="70"/>
        <v>1821260.4781612</v>
      </c>
      <c r="DP25" s="36">
        <f t="shared" si="71"/>
        <v>81811.0297431</v>
      </c>
      <c r="DQ25" s="36">
        <f t="shared" si="72"/>
        <v>43707.532246200004</v>
      </c>
      <c r="DR25" s="5"/>
      <c r="DS25" s="5">
        <f t="shared" si="99"/>
        <v>76291.663</v>
      </c>
      <c r="DT25" s="5">
        <f t="shared" si="73"/>
        <v>4539.9042844000005</v>
      </c>
      <c r="DU25" s="5">
        <f t="shared" si="74"/>
        <v>80831.56728440001</v>
      </c>
      <c r="DV25" s="36">
        <f t="shared" si="75"/>
        <v>3630.9544047000004</v>
      </c>
      <c r="DW25" s="36">
        <f t="shared" si="76"/>
        <v>1939.8369294000001</v>
      </c>
      <c r="DX25" s="5"/>
      <c r="DY25" s="36">
        <f t="shared" si="100"/>
        <v>84624.36499999999</v>
      </c>
      <c r="DZ25" s="36">
        <f t="shared" si="77"/>
        <v>5035.760162</v>
      </c>
      <c r="EA25" s="5">
        <f t="shared" si="78"/>
        <v>89660.125162</v>
      </c>
      <c r="EB25" s="36">
        <f t="shared" si="79"/>
        <v>4027.5332685</v>
      </c>
      <c r="EC25" s="36">
        <f t="shared" si="80"/>
        <v>2151.709137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46661</v>
      </c>
      <c r="D26" s="3">
        <v>243966</v>
      </c>
      <c r="E26" s="35">
        <f t="shared" si="0"/>
        <v>243966</v>
      </c>
      <c r="F26" s="35">
        <v>336483</v>
      </c>
      <c r="G26" s="35">
        <v>179766</v>
      </c>
      <c r="I26" s="36"/>
      <c r="J26" s="36">
        <f>'2016B Academic'!J26</f>
        <v>36771.043452000005</v>
      </c>
      <c r="K26" s="36">
        <f t="shared" si="1"/>
        <v>36771.043452000005</v>
      </c>
      <c r="L26" s="36">
        <f>'2016B Academic'!L26</f>
        <v>50715.390726000005</v>
      </c>
      <c r="M26" s="36">
        <f>'2016B Academic'!M26</f>
        <v>27094.691052000002</v>
      </c>
      <c r="O26" s="36"/>
      <c r="P26" s="35">
        <f t="shared" si="2"/>
        <v>207194.956548</v>
      </c>
      <c r="Q26" s="5">
        <f t="shared" si="3"/>
        <v>207194.956548</v>
      </c>
      <c r="R26" s="35">
        <f t="shared" si="4"/>
        <v>285767.609274</v>
      </c>
      <c r="S26" s="35">
        <f t="shared" si="4"/>
        <v>152671.308948</v>
      </c>
      <c r="U26" s="36"/>
      <c r="V26" s="36">
        <f t="shared" si="5"/>
        <v>9351.2411766</v>
      </c>
      <c r="W26" s="5">
        <f t="shared" si="6"/>
        <v>9351.2411766</v>
      </c>
      <c r="X26" s="36">
        <f t="shared" si="7"/>
        <v>12897.4270383</v>
      </c>
      <c r="Y26" s="36">
        <f t="shared" si="8"/>
        <v>6890.4487566</v>
      </c>
      <c r="AB26" s="36">
        <f t="shared" si="9"/>
        <v>16944.829306199998</v>
      </c>
      <c r="AC26" s="36">
        <f t="shared" si="10"/>
        <v>16944.829306199998</v>
      </c>
      <c r="AD26" s="36">
        <f t="shared" si="11"/>
        <v>23370.662303099998</v>
      </c>
      <c r="AE26" s="36">
        <f t="shared" si="12"/>
        <v>12485.7733662</v>
      </c>
      <c r="AH26" s="5">
        <f t="shared" si="13"/>
        <v>13653.5815866</v>
      </c>
      <c r="AI26" s="5">
        <f t="shared" si="14"/>
        <v>13653.5815866</v>
      </c>
      <c r="AJ26" s="36">
        <f t="shared" si="15"/>
        <v>18831.3047433</v>
      </c>
      <c r="AK26" s="36">
        <f t="shared" si="16"/>
        <v>10060.6221666</v>
      </c>
      <c r="AN26" s="5">
        <f t="shared" si="17"/>
        <v>16225.934694</v>
      </c>
      <c r="AO26" s="5">
        <f t="shared" si="18"/>
        <v>16225.934694</v>
      </c>
      <c r="AP26" s="36">
        <f t="shared" si="19"/>
        <v>22379.147847</v>
      </c>
      <c r="AQ26" s="36">
        <f t="shared" si="20"/>
        <v>11956.056894</v>
      </c>
      <c r="AS26" s="36"/>
      <c r="AT26" s="36">
        <f t="shared" si="21"/>
        <v>969.1793316</v>
      </c>
      <c r="AU26" s="5">
        <f t="shared" si="22"/>
        <v>969.1793316</v>
      </c>
      <c r="AV26" s="36">
        <f t="shared" si="23"/>
        <v>1336.7123657999998</v>
      </c>
      <c r="AW26" s="36">
        <f t="shared" si="24"/>
        <v>714.1384115999999</v>
      </c>
      <c r="AY26" s="36"/>
      <c r="AZ26" s="36">
        <f t="shared" si="25"/>
        <v>87.2422416</v>
      </c>
      <c r="BA26" s="5">
        <f t="shared" si="26"/>
        <v>87.2422416</v>
      </c>
      <c r="BB26" s="36">
        <f t="shared" si="27"/>
        <v>120.3263208</v>
      </c>
      <c r="BC26" s="36">
        <f t="shared" si="28"/>
        <v>64.2843216</v>
      </c>
      <c r="BD26" s="5"/>
      <c r="BE26" s="36"/>
      <c r="BF26" s="36">
        <f t="shared" si="29"/>
        <v>17849.9187696</v>
      </c>
      <c r="BG26" s="5">
        <f t="shared" si="30"/>
        <v>17849.9187696</v>
      </c>
      <c r="BH26" s="36">
        <f t="shared" si="31"/>
        <v>24618.9805848</v>
      </c>
      <c r="BI26" s="36">
        <f t="shared" si="32"/>
        <v>13152.6872496</v>
      </c>
      <c r="BJ26" s="5"/>
      <c r="BK26" s="36"/>
      <c r="BL26" s="36">
        <f t="shared" si="33"/>
        <v>0.6343116</v>
      </c>
      <c r="BM26" s="5">
        <f t="shared" si="34"/>
        <v>0.6343116</v>
      </c>
      <c r="BN26" s="36">
        <f t="shared" si="35"/>
        <v>0.8748558000000001</v>
      </c>
      <c r="BO26" s="36">
        <f t="shared" si="36"/>
        <v>0.4673916</v>
      </c>
      <c r="BP26" s="5"/>
      <c r="BQ26" s="36"/>
      <c r="BR26" s="36">
        <f t="shared" si="37"/>
        <v>22799.842529999998</v>
      </c>
      <c r="BS26" s="5">
        <f t="shared" si="38"/>
        <v>22799.842529999998</v>
      </c>
      <c r="BT26" s="36">
        <f t="shared" si="39"/>
        <v>31446.018764999997</v>
      </c>
      <c r="BU26" s="36">
        <f t="shared" si="40"/>
        <v>16800.03153</v>
      </c>
      <c r="BV26" s="5"/>
      <c r="BW26" s="36"/>
      <c r="BX26" s="36">
        <f t="shared" si="41"/>
        <v>53.794503</v>
      </c>
      <c r="BY26" s="5">
        <f t="shared" si="42"/>
        <v>53.794503</v>
      </c>
      <c r="BZ26" s="36">
        <f t="shared" si="43"/>
        <v>74.1945015</v>
      </c>
      <c r="CA26" s="36">
        <f t="shared" si="44"/>
        <v>39.638403</v>
      </c>
      <c r="CB26" s="5"/>
      <c r="CC26" s="36"/>
      <c r="CD26" s="36">
        <f t="shared" si="45"/>
        <v>9560.1248658</v>
      </c>
      <c r="CE26" s="5">
        <f t="shared" si="46"/>
        <v>9560.1248658</v>
      </c>
      <c r="CF26" s="36">
        <f t="shared" si="47"/>
        <v>13185.5237829</v>
      </c>
      <c r="CG26" s="36">
        <f t="shared" si="48"/>
        <v>7044.3644058</v>
      </c>
      <c r="CH26" s="5"/>
      <c r="CI26" s="5"/>
      <c r="CJ26" s="5">
        <f t="shared" si="49"/>
        <v>48.2564748</v>
      </c>
      <c r="CK26" s="5">
        <f t="shared" si="50"/>
        <v>48.2564748</v>
      </c>
      <c r="CL26" s="36">
        <f t="shared" si="51"/>
        <v>66.5563374</v>
      </c>
      <c r="CM26" s="36">
        <f t="shared" si="52"/>
        <v>35.5577148</v>
      </c>
      <c r="CN26" s="5"/>
      <c r="CO26" s="36"/>
      <c r="CP26" s="36">
        <f t="shared" si="53"/>
        <v>1876.2449196</v>
      </c>
      <c r="CQ26" s="5">
        <f t="shared" si="54"/>
        <v>1876.2449196</v>
      </c>
      <c r="CR26" s="36">
        <f t="shared" si="55"/>
        <v>2587.7561597999998</v>
      </c>
      <c r="CS26" s="36">
        <f t="shared" si="56"/>
        <v>1382.5083995999998</v>
      </c>
      <c r="CT26" s="5"/>
      <c r="CU26" s="36"/>
      <c r="CV26" s="36">
        <f t="shared" si="57"/>
        <v>998.8699938000001</v>
      </c>
      <c r="CW26" s="5">
        <f t="shared" si="58"/>
        <v>998.8699938000001</v>
      </c>
      <c r="CX26" s="36">
        <f t="shared" si="59"/>
        <v>1377.6623469</v>
      </c>
      <c r="CY26" s="36">
        <f t="shared" si="60"/>
        <v>736.0159338000001</v>
      </c>
      <c r="CZ26" s="5"/>
      <c r="DA26" s="5"/>
      <c r="DB26" s="36">
        <f t="shared" si="61"/>
        <v>3254.8479924</v>
      </c>
      <c r="DC26" s="36">
        <f t="shared" si="62"/>
        <v>3254.8479924</v>
      </c>
      <c r="DD26" s="36">
        <f t="shared" si="63"/>
        <v>4489.1542962</v>
      </c>
      <c r="DE26" s="36">
        <f t="shared" si="64"/>
        <v>2398.3301124</v>
      </c>
      <c r="DF26" s="5"/>
      <c r="DG26" s="5"/>
      <c r="DH26" s="36">
        <f t="shared" si="65"/>
        <v>28650.8059182</v>
      </c>
      <c r="DI26" s="36">
        <f t="shared" si="66"/>
        <v>28650.8059182</v>
      </c>
      <c r="DJ26" s="36">
        <f t="shared" si="67"/>
        <v>39515.7896091</v>
      </c>
      <c r="DK26" s="36">
        <f t="shared" si="68"/>
        <v>21111.3055782</v>
      </c>
      <c r="DL26" s="5"/>
      <c r="DM26" s="36"/>
      <c r="DN26" s="36">
        <f t="shared" si="69"/>
        <v>59316.8441862</v>
      </c>
      <c r="DO26" s="5">
        <f t="shared" si="70"/>
        <v>59316.8441862</v>
      </c>
      <c r="DP26" s="36">
        <f t="shared" si="71"/>
        <v>81811.0297431</v>
      </c>
      <c r="DQ26" s="36">
        <f t="shared" si="72"/>
        <v>43707.532246200004</v>
      </c>
      <c r="DR26" s="5"/>
      <c r="DS26" s="5"/>
      <c r="DT26" s="5">
        <f t="shared" si="73"/>
        <v>2632.6127094000003</v>
      </c>
      <c r="DU26" s="5">
        <f t="shared" si="74"/>
        <v>2632.6127094000003</v>
      </c>
      <c r="DV26" s="36">
        <f t="shared" si="75"/>
        <v>3630.9544047000004</v>
      </c>
      <c r="DW26" s="36">
        <f t="shared" si="76"/>
        <v>1939.8369294000001</v>
      </c>
      <c r="DX26" s="5"/>
      <c r="DY26" s="36"/>
      <c r="DZ26" s="36">
        <f t="shared" si="77"/>
        <v>2920.1510369999996</v>
      </c>
      <c r="EA26" s="5">
        <f t="shared" si="78"/>
        <v>2920.1510369999996</v>
      </c>
      <c r="EB26" s="36">
        <f t="shared" si="79"/>
        <v>4027.5332685</v>
      </c>
      <c r="EC26" s="36">
        <f t="shared" si="80"/>
        <v>2151.709137</v>
      </c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46844</v>
      </c>
      <c r="C27" s="3">
        <v>7420000</v>
      </c>
      <c r="D27" s="3">
        <v>243966</v>
      </c>
      <c r="E27" s="35">
        <f t="shared" si="0"/>
        <v>7663966</v>
      </c>
      <c r="F27" s="35">
        <v>336483</v>
      </c>
      <c r="G27" s="35">
        <v>179766</v>
      </c>
      <c r="I27" s="36">
        <f>'2016B Academic'!I27</f>
        <v>1118357.2400000002</v>
      </c>
      <c r="J27" s="36">
        <f>'2016B Academic'!J27</f>
        <v>36771.043452000005</v>
      </c>
      <c r="K27" s="36">
        <f t="shared" si="1"/>
        <v>1155128.2834520002</v>
      </c>
      <c r="L27" s="36">
        <f>'2016B Academic'!L27</f>
        <v>50715.390726000005</v>
      </c>
      <c r="M27" s="36">
        <f>'2016B Academic'!M27</f>
        <v>27094.691052000002</v>
      </c>
      <c r="O27" s="36">
        <f t="shared" si="81"/>
        <v>6301642.76</v>
      </c>
      <c r="P27" s="35">
        <f t="shared" si="2"/>
        <v>207194.956548</v>
      </c>
      <c r="Q27" s="5">
        <f t="shared" si="3"/>
        <v>6508837.7165479995</v>
      </c>
      <c r="R27" s="35">
        <f t="shared" si="4"/>
        <v>285767.609274</v>
      </c>
      <c r="S27" s="35">
        <f t="shared" si="4"/>
        <v>152671.308948</v>
      </c>
      <c r="U27" s="36">
        <f t="shared" si="82"/>
        <v>284409.342</v>
      </c>
      <c r="V27" s="36">
        <f t="shared" si="5"/>
        <v>9351.2411766</v>
      </c>
      <c r="W27" s="5">
        <f t="shared" si="6"/>
        <v>293760.5831766</v>
      </c>
      <c r="X27" s="36">
        <f t="shared" si="7"/>
        <v>12897.4270383</v>
      </c>
      <c r="Y27" s="36">
        <f t="shared" si="8"/>
        <v>6890.4487566</v>
      </c>
      <c r="AA27" s="5">
        <f t="shared" si="83"/>
        <v>515361.29399999994</v>
      </c>
      <c r="AB27" s="36">
        <f t="shared" si="9"/>
        <v>16944.829306199998</v>
      </c>
      <c r="AC27" s="36">
        <f t="shared" si="10"/>
        <v>532306.1233061999</v>
      </c>
      <c r="AD27" s="36">
        <f t="shared" si="11"/>
        <v>23370.662303099998</v>
      </c>
      <c r="AE27" s="36">
        <f t="shared" si="12"/>
        <v>12485.7733662</v>
      </c>
      <c r="AG27" s="5">
        <f t="shared" si="84"/>
        <v>415261.04199999996</v>
      </c>
      <c r="AH27" s="5">
        <f t="shared" si="13"/>
        <v>13653.5815866</v>
      </c>
      <c r="AI27" s="5">
        <f t="shared" si="14"/>
        <v>428914.62358659995</v>
      </c>
      <c r="AJ27" s="36">
        <f t="shared" si="15"/>
        <v>18831.3047433</v>
      </c>
      <c r="AK27" s="36">
        <f t="shared" si="16"/>
        <v>10060.6221666</v>
      </c>
      <c r="AM27" s="5">
        <f t="shared" si="85"/>
        <v>493496.77999999997</v>
      </c>
      <c r="AN27" s="5">
        <f t="shared" si="17"/>
        <v>16225.934694</v>
      </c>
      <c r="AO27" s="5">
        <f t="shared" si="18"/>
        <v>509722.71469399997</v>
      </c>
      <c r="AP27" s="36">
        <f t="shared" si="19"/>
        <v>22379.147847</v>
      </c>
      <c r="AQ27" s="36">
        <f t="shared" si="20"/>
        <v>11956.056894</v>
      </c>
      <c r="AS27" s="36">
        <f t="shared" si="86"/>
        <v>29476.692</v>
      </c>
      <c r="AT27" s="36">
        <f t="shared" si="21"/>
        <v>969.1793316</v>
      </c>
      <c r="AU27" s="5">
        <f t="shared" si="22"/>
        <v>30445.8713316</v>
      </c>
      <c r="AV27" s="36">
        <f t="shared" si="23"/>
        <v>1336.7123657999998</v>
      </c>
      <c r="AW27" s="36">
        <f t="shared" si="24"/>
        <v>714.1384115999999</v>
      </c>
      <c r="AY27" s="36">
        <f t="shared" si="87"/>
        <v>2653.3920000000003</v>
      </c>
      <c r="AZ27" s="36">
        <f t="shared" si="25"/>
        <v>87.2422416</v>
      </c>
      <c r="BA27" s="5">
        <f t="shared" si="26"/>
        <v>2740.6342416</v>
      </c>
      <c r="BB27" s="36">
        <f t="shared" si="27"/>
        <v>120.3263208</v>
      </c>
      <c r="BC27" s="36">
        <f t="shared" si="28"/>
        <v>64.2843216</v>
      </c>
      <c r="BD27" s="5"/>
      <c r="BE27" s="36">
        <f t="shared" si="88"/>
        <v>542888.752</v>
      </c>
      <c r="BF27" s="36">
        <f t="shared" si="29"/>
        <v>17849.9187696</v>
      </c>
      <c r="BG27" s="5">
        <f t="shared" si="30"/>
        <v>560738.6707696</v>
      </c>
      <c r="BH27" s="36">
        <f t="shared" si="31"/>
        <v>24618.9805848</v>
      </c>
      <c r="BI27" s="36">
        <f t="shared" si="32"/>
        <v>13152.6872496</v>
      </c>
      <c r="BJ27" s="5"/>
      <c r="BK27" s="36">
        <f t="shared" si="89"/>
        <v>19.292</v>
      </c>
      <c r="BL27" s="36">
        <f t="shared" si="33"/>
        <v>0.6343116</v>
      </c>
      <c r="BM27" s="5">
        <f t="shared" si="34"/>
        <v>19.926311600000002</v>
      </c>
      <c r="BN27" s="36">
        <f t="shared" si="35"/>
        <v>0.8748558000000001</v>
      </c>
      <c r="BO27" s="36">
        <f t="shared" si="36"/>
        <v>0.4673916</v>
      </c>
      <c r="BP27" s="5"/>
      <c r="BQ27" s="36">
        <f t="shared" si="90"/>
        <v>693436.1</v>
      </c>
      <c r="BR27" s="36">
        <f t="shared" si="37"/>
        <v>22799.842529999998</v>
      </c>
      <c r="BS27" s="5">
        <f t="shared" si="38"/>
        <v>716235.94253</v>
      </c>
      <c r="BT27" s="36">
        <f t="shared" si="39"/>
        <v>31446.018764999997</v>
      </c>
      <c r="BU27" s="36">
        <f t="shared" si="40"/>
        <v>16800.03153</v>
      </c>
      <c r="BV27" s="5"/>
      <c r="BW27" s="36">
        <f t="shared" si="91"/>
        <v>1636.11</v>
      </c>
      <c r="BX27" s="36">
        <f t="shared" si="41"/>
        <v>53.794503</v>
      </c>
      <c r="BY27" s="5">
        <f t="shared" si="42"/>
        <v>1689.904503</v>
      </c>
      <c r="BZ27" s="36">
        <f t="shared" si="43"/>
        <v>74.1945015</v>
      </c>
      <c r="CA27" s="36">
        <f t="shared" si="44"/>
        <v>39.638403</v>
      </c>
      <c r="CB27" s="5"/>
      <c r="CC27" s="36">
        <f t="shared" si="92"/>
        <v>290762.346</v>
      </c>
      <c r="CD27" s="36">
        <f t="shared" si="45"/>
        <v>9560.1248658</v>
      </c>
      <c r="CE27" s="5">
        <f t="shared" si="46"/>
        <v>300322.47086580005</v>
      </c>
      <c r="CF27" s="36">
        <f t="shared" si="47"/>
        <v>13185.5237829</v>
      </c>
      <c r="CG27" s="36">
        <f t="shared" si="48"/>
        <v>7044.3644058</v>
      </c>
      <c r="CH27" s="5"/>
      <c r="CI27" s="5">
        <f t="shared" si="93"/>
        <v>1467.6760000000002</v>
      </c>
      <c r="CJ27" s="5">
        <f t="shared" si="49"/>
        <v>48.2564748</v>
      </c>
      <c r="CK27" s="5">
        <f t="shared" si="50"/>
        <v>1515.9324748000001</v>
      </c>
      <c r="CL27" s="36">
        <f t="shared" si="51"/>
        <v>66.5563374</v>
      </c>
      <c r="CM27" s="36">
        <f t="shared" si="52"/>
        <v>35.5577148</v>
      </c>
      <c r="CN27" s="5"/>
      <c r="CO27" s="36">
        <f t="shared" si="94"/>
        <v>57064.252</v>
      </c>
      <c r="CP27" s="36">
        <f t="shared" si="53"/>
        <v>1876.2449196</v>
      </c>
      <c r="CQ27" s="5">
        <f t="shared" si="54"/>
        <v>58940.4969196</v>
      </c>
      <c r="CR27" s="36">
        <f t="shared" si="55"/>
        <v>2587.7561597999998</v>
      </c>
      <c r="CS27" s="36">
        <f t="shared" si="56"/>
        <v>1382.5083995999998</v>
      </c>
      <c r="CT27" s="5"/>
      <c r="CU27" s="36">
        <f t="shared" si="95"/>
        <v>30379.706000000002</v>
      </c>
      <c r="CV27" s="36">
        <f t="shared" si="57"/>
        <v>998.8699938000001</v>
      </c>
      <c r="CW27" s="5">
        <f t="shared" si="58"/>
        <v>31378.5759938</v>
      </c>
      <c r="CX27" s="36">
        <f t="shared" si="59"/>
        <v>1377.6623469</v>
      </c>
      <c r="CY27" s="36">
        <f t="shared" si="60"/>
        <v>736.0159338000001</v>
      </c>
      <c r="CZ27" s="5"/>
      <c r="DA27" s="5">
        <f t="shared" si="96"/>
        <v>98993.188</v>
      </c>
      <c r="DB27" s="36">
        <f t="shared" si="61"/>
        <v>3254.8479924</v>
      </c>
      <c r="DC27" s="36">
        <f t="shared" si="62"/>
        <v>102248.0359924</v>
      </c>
      <c r="DD27" s="36">
        <f t="shared" si="63"/>
        <v>4489.1542962</v>
      </c>
      <c r="DE27" s="36">
        <f t="shared" si="64"/>
        <v>2398.3301124</v>
      </c>
      <c r="DF27" s="5"/>
      <c r="DG27" s="5">
        <f t="shared" si="97"/>
        <v>871387.734</v>
      </c>
      <c r="DH27" s="36">
        <f t="shared" si="65"/>
        <v>28650.8059182</v>
      </c>
      <c r="DI27" s="36">
        <f t="shared" si="66"/>
        <v>900038.5399182001</v>
      </c>
      <c r="DJ27" s="36">
        <f t="shared" si="67"/>
        <v>39515.7896091</v>
      </c>
      <c r="DK27" s="36">
        <f t="shared" si="68"/>
        <v>21111.3055782</v>
      </c>
      <c r="DL27" s="5"/>
      <c r="DM27" s="36">
        <f t="shared" si="98"/>
        <v>1804066.894</v>
      </c>
      <c r="DN27" s="36">
        <f t="shared" si="69"/>
        <v>59316.8441862</v>
      </c>
      <c r="DO27" s="5">
        <f t="shared" si="70"/>
        <v>1863383.7381862001</v>
      </c>
      <c r="DP27" s="36">
        <f t="shared" si="71"/>
        <v>81811.0297431</v>
      </c>
      <c r="DQ27" s="36">
        <f t="shared" si="72"/>
        <v>43707.532246200004</v>
      </c>
      <c r="DR27" s="5"/>
      <c r="DS27" s="5">
        <f t="shared" si="99"/>
        <v>80068.478</v>
      </c>
      <c r="DT27" s="5">
        <f t="shared" si="73"/>
        <v>2632.6127094000003</v>
      </c>
      <c r="DU27" s="5">
        <f t="shared" si="74"/>
        <v>82701.0907094</v>
      </c>
      <c r="DV27" s="36">
        <f t="shared" si="75"/>
        <v>3630.9544047000004</v>
      </c>
      <c r="DW27" s="36">
        <f t="shared" si="76"/>
        <v>1939.8369294000001</v>
      </c>
      <c r="DX27" s="5"/>
      <c r="DY27" s="36">
        <f t="shared" si="100"/>
        <v>88813.68999999999</v>
      </c>
      <c r="DZ27" s="36">
        <f t="shared" si="77"/>
        <v>2920.1510369999996</v>
      </c>
      <c r="EA27" s="5">
        <f t="shared" si="78"/>
        <v>91733.84103699999</v>
      </c>
      <c r="EB27" s="36">
        <f t="shared" si="79"/>
        <v>4027.5332685</v>
      </c>
      <c r="EC27" s="36">
        <f t="shared" si="80"/>
        <v>2151.709137</v>
      </c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1:153" ht="12.75">
      <c r="A28" s="37">
        <v>47027</v>
      </c>
      <c r="D28" s="3">
        <v>95566</v>
      </c>
      <c r="E28" s="35">
        <f t="shared" si="0"/>
        <v>95566</v>
      </c>
      <c r="F28" s="35">
        <v>336483</v>
      </c>
      <c r="G28" s="35">
        <v>179766</v>
      </c>
      <c r="I28" s="36"/>
      <c r="J28" s="36">
        <f>'2016B Academic'!J28</f>
        <v>14403.898651999998</v>
      </c>
      <c r="K28" s="36">
        <f t="shared" si="1"/>
        <v>14403.898651999998</v>
      </c>
      <c r="L28" s="36">
        <f>'2016B Academic'!L28</f>
        <v>50715.390726000005</v>
      </c>
      <c r="M28" s="36">
        <f>'2016B Academic'!M28</f>
        <v>27094.691052000002</v>
      </c>
      <c r="O28" s="36"/>
      <c r="P28" s="35">
        <f t="shared" si="2"/>
        <v>81162.101348</v>
      </c>
      <c r="Q28" s="5">
        <f t="shared" si="3"/>
        <v>81162.101348</v>
      </c>
      <c r="R28" s="35">
        <f t="shared" si="4"/>
        <v>285767.609274</v>
      </c>
      <c r="S28" s="35">
        <f t="shared" si="4"/>
        <v>152671.308948</v>
      </c>
      <c r="U28" s="36"/>
      <c r="V28" s="36">
        <f t="shared" si="5"/>
        <v>3663.0543365999997</v>
      </c>
      <c r="W28" s="5">
        <f t="shared" si="6"/>
        <v>3663.0543365999997</v>
      </c>
      <c r="X28" s="36">
        <f t="shared" si="7"/>
        <v>12897.4270383</v>
      </c>
      <c r="Y28" s="36">
        <f t="shared" si="8"/>
        <v>6890.4487566</v>
      </c>
      <c r="AB28" s="36">
        <f t="shared" si="9"/>
        <v>6637.603426199999</v>
      </c>
      <c r="AC28" s="36">
        <f t="shared" si="10"/>
        <v>6637.603426199999</v>
      </c>
      <c r="AD28" s="36">
        <f t="shared" si="11"/>
        <v>23370.662303099998</v>
      </c>
      <c r="AE28" s="36">
        <f t="shared" si="12"/>
        <v>12485.7733662</v>
      </c>
      <c r="AH28" s="5">
        <f t="shared" si="13"/>
        <v>5348.360746599999</v>
      </c>
      <c r="AI28" s="5">
        <f t="shared" si="14"/>
        <v>5348.360746599999</v>
      </c>
      <c r="AJ28" s="36">
        <f t="shared" si="15"/>
        <v>18831.3047433</v>
      </c>
      <c r="AK28" s="36">
        <f t="shared" si="16"/>
        <v>10060.6221666</v>
      </c>
      <c r="AN28" s="5">
        <f t="shared" si="17"/>
        <v>6355.999094</v>
      </c>
      <c r="AO28" s="5">
        <f t="shared" si="18"/>
        <v>6355.999094</v>
      </c>
      <c r="AP28" s="36">
        <f t="shared" si="19"/>
        <v>22379.147847</v>
      </c>
      <c r="AQ28" s="36">
        <f t="shared" si="20"/>
        <v>11956.056894</v>
      </c>
      <c r="AS28" s="36"/>
      <c r="AT28" s="36">
        <f t="shared" si="21"/>
        <v>379.64549159999996</v>
      </c>
      <c r="AU28" s="5">
        <f t="shared" si="22"/>
        <v>379.64549159999996</v>
      </c>
      <c r="AV28" s="36">
        <f t="shared" si="23"/>
        <v>1336.7123657999998</v>
      </c>
      <c r="AW28" s="36">
        <f t="shared" si="24"/>
        <v>714.1384115999999</v>
      </c>
      <c r="AY28" s="36"/>
      <c r="AZ28" s="36">
        <f t="shared" si="25"/>
        <v>34.1744016</v>
      </c>
      <c r="BA28" s="5">
        <f t="shared" si="26"/>
        <v>34.1744016</v>
      </c>
      <c r="BB28" s="36">
        <f t="shared" si="27"/>
        <v>120.3263208</v>
      </c>
      <c r="BC28" s="36">
        <f t="shared" si="28"/>
        <v>64.2843216</v>
      </c>
      <c r="BD28" s="5"/>
      <c r="BE28" s="36"/>
      <c r="BF28" s="36">
        <f t="shared" si="29"/>
        <v>6992.1437295999995</v>
      </c>
      <c r="BG28" s="5">
        <f t="shared" si="30"/>
        <v>6992.1437295999995</v>
      </c>
      <c r="BH28" s="36">
        <f t="shared" si="31"/>
        <v>24618.9805848</v>
      </c>
      <c r="BI28" s="36">
        <f t="shared" si="32"/>
        <v>13152.6872496</v>
      </c>
      <c r="BJ28" s="5"/>
      <c r="BK28" s="36"/>
      <c r="BL28" s="36">
        <f t="shared" si="33"/>
        <v>0.24847160000000001</v>
      </c>
      <c r="BM28" s="5">
        <f t="shared" si="34"/>
        <v>0.24847160000000001</v>
      </c>
      <c r="BN28" s="36">
        <f t="shared" si="35"/>
        <v>0.8748558000000001</v>
      </c>
      <c r="BO28" s="36">
        <f t="shared" si="36"/>
        <v>0.4673916</v>
      </c>
      <c r="BP28" s="5"/>
      <c r="BQ28" s="36"/>
      <c r="BR28" s="36">
        <f t="shared" si="37"/>
        <v>8931.12053</v>
      </c>
      <c r="BS28" s="5">
        <f t="shared" si="38"/>
        <v>8931.12053</v>
      </c>
      <c r="BT28" s="36">
        <f t="shared" si="39"/>
        <v>31446.018764999997</v>
      </c>
      <c r="BU28" s="36">
        <f t="shared" si="40"/>
        <v>16800.03153</v>
      </c>
      <c r="BV28" s="5"/>
      <c r="BW28" s="36"/>
      <c r="BX28" s="36">
        <f t="shared" si="41"/>
        <v>21.072302999999998</v>
      </c>
      <c r="BY28" s="5">
        <f t="shared" si="42"/>
        <v>21.072302999999998</v>
      </c>
      <c r="BZ28" s="36">
        <f t="shared" si="43"/>
        <v>74.1945015</v>
      </c>
      <c r="CA28" s="36">
        <f t="shared" si="44"/>
        <v>39.638403</v>
      </c>
      <c r="CB28" s="5"/>
      <c r="CC28" s="36"/>
      <c r="CD28" s="36">
        <f t="shared" si="45"/>
        <v>3744.8779458</v>
      </c>
      <c r="CE28" s="5">
        <f t="shared" si="46"/>
        <v>3744.8779458</v>
      </c>
      <c r="CF28" s="36">
        <f t="shared" si="47"/>
        <v>13185.5237829</v>
      </c>
      <c r="CG28" s="36">
        <f t="shared" si="48"/>
        <v>7044.3644058</v>
      </c>
      <c r="CH28" s="5"/>
      <c r="CI28" s="5"/>
      <c r="CJ28" s="5">
        <f t="shared" si="49"/>
        <v>18.9029548</v>
      </c>
      <c r="CK28" s="5">
        <f t="shared" si="50"/>
        <v>18.9029548</v>
      </c>
      <c r="CL28" s="36">
        <f t="shared" si="51"/>
        <v>66.5563374</v>
      </c>
      <c r="CM28" s="36">
        <f t="shared" si="52"/>
        <v>35.5577148</v>
      </c>
      <c r="CN28" s="5"/>
      <c r="CO28" s="36"/>
      <c r="CP28" s="36">
        <f t="shared" si="53"/>
        <v>734.9598796</v>
      </c>
      <c r="CQ28" s="5">
        <f t="shared" si="54"/>
        <v>734.9598796</v>
      </c>
      <c r="CR28" s="36">
        <f t="shared" si="55"/>
        <v>2587.7561597999998</v>
      </c>
      <c r="CS28" s="36">
        <f t="shared" si="56"/>
        <v>1382.5083995999998</v>
      </c>
      <c r="CT28" s="5"/>
      <c r="CU28" s="36"/>
      <c r="CV28" s="36">
        <f t="shared" si="57"/>
        <v>391.27587380000006</v>
      </c>
      <c r="CW28" s="5">
        <f t="shared" si="58"/>
        <v>391.27587380000006</v>
      </c>
      <c r="CX28" s="36">
        <f t="shared" si="59"/>
        <v>1377.6623469</v>
      </c>
      <c r="CY28" s="36">
        <f t="shared" si="60"/>
        <v>736.0159338000001</v>
      </c>
      <c r="CZ28" s="5"/>
      <c r="DA28" s="5"/>
      <c r="DB28" s="36">
        <f t="shared" si="61"/>
        <v>1274.9842323999999</v>
      </c>
      <c r="DC28" s="36">
        <f t="shared" si="62"/>
        <v>1274.9842323999999</v>
      </c>
      <c r="DD28" s="36">
        <f t="shared" si="63"/>
        <v>4489.1542962</v>
      </c>
      <c r="DE28" s="36">
        <f t="shared" si="64"/>
        <v>2398.3301124</v>
      </c>
      <c r="DF28" s="5"/>
      <c r="DG28" s="5"/>
      <c r="DH28" s="36">
        <f t="shared" si="65"/>
        <v>11223.0512382</v>
      </c>
      <c r="DI28" s="36">
        <f t="shared" si="66"/>
        <v>11223.0512382</v>
      </c>
      <c r="DJ28" s="36">
        <f t="shared" si="67"/>
        <v>39515.7896091</v>
      </c>
      <c r="DK28" s="36">
        <f t="shared" si="68"/>
        <v>21111.3055782</v>
      </c>
      <c r="DL28" s="5"/>
      <c r="DM28" s="36"/>
      <c r="DN28" s="36">
        <f t="shared" si="69"/>
        <v>23235.5063062</v>
      </c>
      <c r="DO28" s="5">
        <f t="shared" si="70"/>
        <v>23235.5063062</v>
      </c>
      <c r="DP28" s="36">
        <f t="shared" si="71"/>
        <v>81811.0297431</v>
      </c>
      <c r="DQ28" s="36">
        <f t="shared" si="72"/>
        <v>43707.532246200004</v>
      </c>
      <c r="DR28" s="5"/>
      <c r="DS28" s="5"/>
      <c r="DT28" s="5">
        <f t="shared" si="73"/>
        <v>1031.2431494</v>
      </c>
      <c r="DU28" s="5">
        <f t="shared" si="74"/>
        <v>1031.2431494</v>
      </c>
      <c r="DV28" s="36">
        <f t="shared" si="75"/>
        <v>3630.9544047000004</v>
      </c>
      <c r="DW28" s="36">
        <f t="shared" si="76"/>
        <v>1939.8369294000001</v>
      </c>
      <c r="DX28" s="5"/>
      <c r="DY28" s="36"/>
      <c r="DZ28" s="36">
        <f t="shared" si="77"/>
        <v>1143.877237</v>
      </c>
      <c r="EA28" s="5">
        <f t="shared" si="78"/>
        <v>1143.877237</v>
      </c>
      <c r="EB28" s="36">
        <f t="shared" si="79"/>
        <v>4027.5332685</v>
      </c>
      <c r="EC28" s="36">
        <f t="shared" si="80"/>
        <v>2151.709137</v>
      </c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2.75">
      <c r="A29" s="37">
        <v>47209</v>
      </c>
      <c r="C29" s="3">
        <v>10000</v>
      </c>
      <c r="D29" s="3">
        <v>95566</v>
      </c>
      <c r="E29" s="35">
        <f t="shared" si="0"/>
        <v>105566</v>
      </c>
      <c r="F29" s="35">
        <v>336483</v>
      </c>
      <c r="G29" s="35">
        <v>179766</v>
      </c>
      <c r="I29" s="36">
        <f>'2016B Academic'!I29</f>
        <v>1507.2199999999998</v>
      </c>
      <c r="J29" s="36">
        <f>'2016B Academic'!J29</f>
        <v>14403.898651999998</v>
      </c>
      <c r="K29" s="36">
        <f t="shared" si="1"/>
        <v>15911.118651999997</v>
      </c>
      <c r="L29" s="36">
        <f>'2016B Academic'!L29</f>
        <v>50715.390726000005</v>
      </c>
      <c r="M29" s="36">
        <f>'2016B Academic'!M29</f>
        <v>27094.691052000002</v>
      </c>
      <c r="O29" s="36">
        <f t="shared" si="81"/>
        <v>8492.779999999999</v>
      </c>
      <c r="P29" s="35">
        <f t="shared" si="2"/>
        <v>81162.101348</v>
      </c>
      <c r="Q29" s="5">
        <f t="shared" si="3"/>
        <v>89654.881348</v>
      </c>
      <c r="R29" s="35">
        <f t="shared" si="4"/>
        <v>285767.609274</v>
      </c>
      <c r="S29" s="35">
        <f t="shared" si="4"/>
        <v>152671.308948</v>
      </c>
      <c r="U29" s="36">
        <f t="shared" si="82"/>
        <v>383.301</v>
      </c>
      <c r="V29" s="36">
        <f t="shared" si="5"/>
        <v>3663.0543365999997</v>
      </c>
      <c r="W29" s="5">
        <f t="shared" si="6"/>
        <v>4046.3553365999996</v>
      </c>
      <c r="X29" s="36">
        <f t="shared" si="7"/>
        <v>12897.4270383</v>
      </c>
      <c r="Y29" s="36">
        <f t="shared" si="8"/>
        <v>6890.4487566</v>
      </c>
      <c r="AA29" s="5">
        <f t="shared" si="83"/>
        <v>694.5569999999999</v>
      </c>
      <c r="AB29" s="36">
        <f t="shared" si="9"/>
        <v>6637.603426199999</v>
      </c>
      <c r="AC29" s="36">
        <f t="shared" si="10"/>
        <v>7332.160426199999</v>
      </c>
      <c r="AD29" s="36">
        <f t="shared" si="11"/>
        <v>23370.662303099998</v>
      </c>
      <c r="AE29" s="36">
        <f t="shared" si="12"/>
        <v>12485.7733662</v>
      </c>
      <c r="AG29" s="5">
        <f t="shared" si="84"/>
        <v>559.651</v>
      </c>
      <c r="AH29" s="5">
        <f t="shared" si="13"/>
        <v>5348.360746599999</v>
      </c>
      <c r="AI29" s="5">
        <f t="shared" si="14"/>
        <v>5908.011746599999</v>
      </c>
      <c r="AJ29" s="36">
        <f t="shared" si="15"/>
        <v>18831.3047433</v>
      </c>
      <c r="AK29" s="36">
        <f t="shared" si="16"/>
        <v>10060.6221666</v>
      </c>
      <c r="AM29" s="5">
        <f t="shared" si="85"/>
        <v>665.09</v>
      </c>
      <c r="AN29" s="5">
        <f t="shared" si="17"/>
        <v>6355.999094</v>
      </c>
      <c r="AO29" s="5">
        <f t="shared" si="18"/>
        <v>7021.089094</v>
      </c>
      <c r="AP29" s="36">
        <f t="shared" si="19"/>
        <v>22379.147847</v>
      </c>
      <c r="AQ29" s="36">
        <f t="shared" si="20"/>
        <v>11956.056894</v>
      </c>
      <c r="AS29" s="36">
        <f t="shared" si="86"/>
        <v>39.726</v>
      </c>
      <c r="AT29" s="36">
        <f t="shared" si="21"/>
        <v>379.64549159999996</v>
      </c>
      <c r="AU29" s="5">
        <f t="shared" si="22"/>
        <v>419.37149159999996</v>
      </c>
      <c r="AV29" s="36">
        <f t="shared" si="23"/>
        <v>1336.7123657999998</v>
      </c>
      <c r="AW29" s="36">
        <f t="shared" si="24"/>
        <v>714.1384115999999</v>
      </c>
      <c r="AY29" s="36">
        <f t="shared" si="87"/>
        <v>3.576</v>
      </c>
      <c r="AZ29" s="36">
        <f t="shared" si="25"/>
        <v>34.1744016</v>
      </c>
      <c r="BA29" s="5">
        <f t="shared" si="26"/>
        <v>37.750401600000004</v>
      </c>
      <c r="BB29" s="36">
        <f t="shared" si="27"/>
        <v>120.3263208</v>
      </c>
      <c r="BC29" s="36">
        <f t="shared" si="28"/>
        <v>64.2843216</v>
      </c>
      <c r="BD29" s="5"/>
      <c r="BE29" s="36">
        <f t="shared" si="88"/>
        <v>731.656</v>
      </c>
      <c r="BF29" s="36">
        <f t="shared" si="29"/>
        <v>6992.1437295999995</v>
      </c>
      <c r="BG29" s="5">
        <f t="shared" si="30"/>
        <v>7723.799729599999</v>
      </c>
      <c r="BH29" s="36">
        <f t="shared" si="31"/>
        <v>24618.9805848</v>
      </c>
      <c r="BI29" s="36">
        <f t="shared" si="32"/>
        <v>13152.6872496</v>
      </c>
      <c r="BJ29" s="5"/>
      <c r="BK29" s="36">
        <f t="shared" si="89"/>
        <v>0.026000000000000002</v>
      </c>
      <c r="BL29" s="36">
        <f t="shared" si="33"/>
        <v>0.24847160000000001</v>
      </c>
      <c r="BM29" s="5">
        <f t="shared" si="34"/>
        <v>0.27447160000000004</v>
      </c>
      <c r="BN29" s="36">
        <f t="shared" si="35"/>
        <v>0.8748558000000001</v>
      </c>
      <c r="BO29" s="36">
        <f t="shared" si="36"/>
        <v>0.4673916</v>
      </c>
      <c r="BP29" s="5"/>
      <c r="BQ29" s="36">
        <f t="shared" si="90"/>
        <v>934.55</v>
      </c>
      <c r="BR29" s="36">
        <f t="shared" si="37"/>
        <v>8931.12053</v>
      </c>
      <c r="BS29" s="5">
        <f t="shared" si="38"/>
        <v>9865.67053</v>
      </c>
      <c r="BT29" s="36">
        <f t="shared" si="39"/>
        <v>31446.018764999997</v>
      </c>
      <c r="BU29" s="36">
        <f t="shared" si="40"/>
        <v>16800.03153</v>
      </c>
      <c r="BV29" s="5"/>
      <c r="BW29" s="36">
        <f t="shared" si="91"/>
        <v>2.205</v>
      </c>
      <c r="BX29" s="36">
        <f t="shared" si="41"/>
        <v>21.072302999999998</v>
      </c>
      <c r="BY29" s="5">
        <f t="shared" si="42"/>
        <v>23.277302999999996</v>
      </c>
      <c r="BZ29" s="36">
        <f t="shared" si="43"/>
        <v>74.1945015</v>
      </c>
      <c r="CA29" s="36">
        <f t="shared" si="44"/>
        <v>39.638403</v>
      </c>
      <c r="CB29" s="5"/>
      <c r="CC29" s="36">
        <f t="shared" si="92"/>
        <v>391.863</v>
      </c>
      <c r="CD29" s="36">
        <f t="shared" si="45"/>
        <v>3744.8779458</v>
      </c>
      <c r="CE29" s="5">
        <f t="shared" si="46"/>
        <v>4136.7409458</v>
      </c>
      <c r="CF29" s="36">
        <f t="shared" si="47"/>
        <v>13185.5237829</v>
      </c>
      <c r="CG29" s="36">
        <f t="shared" si="48"/>
        <v>7044.3644058</v>
      </c>
      <c r="CH29" s="5"/>
      <c r="CI29" s="5">
        <f t="shared" si="93"/>
        <v>1.9780000000000002</v>
      </c>
      <c r="CJ29" s="5">
        <f t="shared" si="49"/>
        <v>18.9029548</v>
      </c>
      <c r="CK29" s="5">
        <f t="shared" si="50"/>
        <v>20.8809548</v>
      </c>
      <c r="CL29" s="36">
        <f t="shared" si="51"/>
        <v>66.5563374</v>
      </c>
      <c r="CM29" s="36">
        <f t="shared" si="52"/>
        <v>35.5577148</v>
      </c>
      <c r="CN29" s="5"/>
      <c r="CO29" s="36">
        <f t="shared" si="94"/>
        <v>76.90599999999999</v>
      </c>
      <c r="CP29" s="36">
        <f t="shared" si="53"/>
        <v>734.9598796</v>
      </c>
      <c r="CQ29" s="5">
        <f t="shared" si="54"/>
        <v>811.8658796</v>
      </c>
      <c r="CR29" s="36">
        <f t="shared" si="55"/>
        <v>2587.7561597999998</v>
      </c>
      <c r="CS29" s="36">
        <f t="shared" si="56"/>
        <v>1382.5083995999998</v>
      </c>
      <c r="CT29" s="5"/>
      <c r="CU29" s="36">
        <f t="shared" si="95"/>
        <v>40.943000000000005</v>
      </c>
      <c r="CV29" s="36">
        <f t="shared" si="57"/>
        <v>391.27587380000006</v>
      </c>
      <c r="CW29" s="5">
        <f t="shared" si="58"/>
        <v>432.21887380000004</v>
      </c>
      <c r="CX29" s="36">
        <f t="shared" si="59"/>
        <v>1377.6623469</v>
      </c>
      <c r="CY29" s="36">
        <f t="shared" si="60"/>
        <v>736.0159338000001</v>
      </c>
      <c r="CZ29" s="5"/>
      <c r="DA29" s="5">
        <f t="shared" si="96"/>
        <v>133.414</v>
      </c>
      <c r="DB29" s="36">
        <f t="shared" si="61"/>
        <v>1274.9842323999999</v>
      </c>
      <c r="DC29" s="36">
        <f t="shared" si="62"/>
        <v>1408.3982323999999</v>
      </c>
      <c r="DD29" s="36">
        <f t="shared" si="63"/>
        <v>4489.1542962</v>
      </c>
      <c r="DE29" s="36">
        <f t="shared" si="64"/>
        <v>2398.3301124</v>
      </c>
      <c r="DF29" s="5"/>
      <c r="DG29" s="5">
        <f t="shared" si="97"/>
        <v>1174.377</v>
      </c>
      <c r="DH29" s="36">
        <f t="shared" si="65"/>
        <v>11223.0512382</v>
      </c>
      <c r="DI29" s="36">
        <f t="shared" si="66"/>
        <v>12397.4282382</v>
      </c>
      <c r="DJ29" s="36">
        <f t="shared" si="67"/>
        <v>39515.7896091</v>
      </c>
      <c r="DK29" s="36">
        <f t="shared" si="68"/>
        <v>21111.3055782</v>
      </c>
      <c r="DL29" s="5"/>
      <c r="DM29" s="36">
        <f t="shared" si="98"/>
        <v>2431.357</v>
      </c>
      <c r="DN29" s="36">
        <f t="shared" si="69"/>
        <v>23235.5063062</v>
      </c>
      <c r="DO29" s="5">
        <f t="shared" si="70"/>
        <v>25666.8633062</v>
      </c>
      <c r="DP29" s="36">
        <f t="shared" si="71"/>
        <v>81811.0297431</v>
      </c>
      <c r="DQ29" s="36">
        <f t="shared" si="72"/>
        <v>43707.532246200004</v>
      </c>
      <c r="DR29" s="5"/>
      <c r="DS29" s="5">
        <f t="shared" si="99"/>
        <v>107.909</v>
      </c>
      <c r="DT29" s="5">
        <f t="shared" si="73"/>
        <v>1031.2431494</v>
      </c>
      <c r="DU29" s="5">
        <f t="shared" si="74"/>
        <v>1139.1521494</v>
      </c>
      <c r="DV29" s="36">
        <f t="shared" si="75"/>
        <v>3630.9544047000004</v>
      </c>
      <c r="DW29" s="36">
        <f t="shared" si="76"/>
        <v>1939.8369294000001</v>
      </c>
      <c r="DX29" s="5"/>
      <c r="DY29" s="36">
        <f t="shared" si="100"/>
        <v>119.695</v>
      </c>
      <c r="DZ29" s="36">
        <f t="shared" si="77"/>
        <v>1143.877237</v>
      </c>
      <c r="EA29" s="5">
        <f t="shared" si="78"/>
        <v>1263.5722369999999</v>
      </c>
      <c r="EB29" s="36">
        <f t="shared" si="79"/>
        <v>4027.5332685</v>
      </c>
      <c r="EC29" s="36">
        <f t="shared" si="80"/>
        <v>2151.709137</v>
      </c>
      <c r="ED29" s="5"/>
      <c r="EE29" s="36"/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ht="12.75">
      <c r="A30" s="37">
        <v>47392</v>
      </c>
      <c r="D30" s="3">
        <v>95416</v>
      </c>
      <c r="E30" s="35">
        <f t="shared" si="0"/>
        <v>95416</v>
      </c>
      <c r="F30" s="35">
        <v>336483</v>
      </c>
      <c r="G30" s="35">
        <v>179766</v>
      </c>
      <c r="I30" s="36"/>
      <c r="J30" s="36">
        <f>'2016B Academic'!J30</f>
        <v>14381.290351999998</v>
      </c>
      <c r="K30" s="36">
        <f t="shared" si="1"/>
        <v>14381.290351999998</v>
      </c>
      <c r="L30" s="36">
        <f>'2016B Academic'!L30</f>
        <v>50715.390726000005</v>
      </c>
      <c r="M30" s="36">
        <f>'2016B Academic'!M30</f>
        <v>27094.691052000002</v>
      </c>
      <c r="O30" s="36"/>
      <c r="P30" s="35">
        <f t="shared" si="2"/>
        <v>81034.70964799999</v>
      </c>
      <c r="Q30" s="5">
        <f t="shared" si="3"/>
        <v>81034.70964799999</v>
      </c>
      <c r="R30" s="35">
        <f t="shared" si="4"/>
        <v>285767.609274</v>
      </c>
      <c r="S30" s="35">
        <f t="shared" si="4"/>
        <v>152671.308948</v>
      </c>
      <c r="U30" s="36"/>
      <c r="V30" s="36">
        <f t="shared" si="5"/>
        <v>3657.3048215999997</v>
      </c>
      <c r="W30" s="5">
        <f t="shared" si="6"/>
        <v>3657.3048215999997</v>
      </c>
      <c r="X30" s="36">
        <f t="shared" si="7"/>
        <v>12897.4270383</v>
      </c>
      <c r="Y30" s="36">
        <f t="shared" si="8"/>
        <v>6890.4487566</v>
      </c>
      <c r="AB30" s="36">
        <f t="shared" si="9"/>
        <v>6627.1850712</v>
      </c>
      <c r="AC30" s="36">
        <f t="shared" si="10"/>
        <v>6627.1850712</v>
      </c>
      <c r="AD30" s="36">
        <f t="shared" si="11"/>
        <v>23370.662303099998</v>
      </c>
      <c r="AE30" s="36">
        <f t="shared" si="12"/>
        <v>12485.7733662</v>
      </c>
      <c r="AH30" s="5">
        <f t="shared" si="13"/>
        <v>5339.965981599999</v>
      </c>
      <c r="AI30" s="5">
        <f t="shared" si="14"/>
        <v>5339.965981599999</v>
      </c>
      <c r="AJ30" s="36">
        <f t="shared" si="15"/>
        <v>18831.3047433</v>
      </c>
      <c r="AK30" s="36">
        <f t="shared" si="16"/>
        <v>10060.6221666</v>
      </c>
      <c r="AN30" s="5">
        <f t="shared" si="17"/>
        <v>6346.022744</v>
      </c>
      <c r="AO30" s="5">
        <f t="shared" si="18"/>
        <v>6346.022744</v>
      </c>
      <c r="AP30" s="36">
        <f t="shared" si="19"/>
        <v>22379.147847</v>
      </c>
      <c r="AQ30" s="36">
        <f t="shared" si="20"/>
        <v>11956.056894</v>
      </c>
      <c r="AS30" s="36"/>
      <c r="AT30" s="36">
        <f t="shared" si="21"/>
        <v>379.04960159999996</v>
      </c>
      <c r="AU30" s="5">
        <f t="shared" si="22"/>
        <v>379.04960159999996</v>
      </c>
      <c r="AV30" s="36">
        <f t="shared" si="23"/>
        <v>1336.7123657999998</v>
      </c>
      <c r="AW30" s="36">
        <f t="shared" si="24"/>
        <v>714.1384115999999</v>
      </c>
      <c r="AY30" s="36"/>
      <c r="AZ30" s="36">
        <f t="shared" si="25"/>
        <v>34.1207616</v>
      </c>
      <c r="BA30" s="5">
        <f t="shared" si="26"/>
        <v>34.1207616</v>
      </c>
      <c r="BB30" s="36">
        <f t="shared" si="27"/>
        <v>120.3263208</v>
      </c>
      <c r="BC30" s="36">
        <f t="shared" si="28"/>
        <v>64.2843216</v>
      </c>
      <c r="BD30" s="5"/>
      <c r="BE30" s="36"/>
      <c r="BF30" s="36">
        <f t="shared" si="29"/>
        <v>6981.1688896</v>
      </c>
      <c r="BG30" s="5">
        <f t="shared" si="30"/>
        <v>6981.1688896</v>
      </c>
      <c r="BH30" s="36">
        <f t="shared" si="31"/>
        <v>24618.9805848</v>
      </c>
      <c r="BI30" s="36">
        <f t="shared" si="32"/>
        <v>13152.6872496</v>
      </c>
      <c r="BJ30" s="5"/>
      <c r="BK30" s="36"/>
      <c r="BL30" s="36">
        <f t="shared" si="33"/>
        <v>0.2480816</v>
      </c>
      <c r="BM30" s="5">
        <f t="shared" si="34"/>
        <v>0.2480816</v>
      </c>
      <c r="BN30" s="36">
        <f t="shared" si="35"/>
        <v>0.8748558000000001</v>
      </c>
      <c r="BO30" s="36">
        <f t="shared" si="36"/>
        <v>0.4673916</v>
      </c>
      <c r="BP30" s="5"/>
      <c r="BQ30" s="36"/>
      <c r="BR30" s="36">
        <f t="shared" si="37"/>
        <v>8917.10228</v>
      </c>
      <c r="BS30" s="5">
        <f t="shared" si="38"/>
        <v>8917.10228</v>
      </c>
      <c r="BT30" s="36">
        <f t="shared" si="39"/>
        <v>31446.018764999997</v>
      </c>
      <c r="BU30" s="36">
        <f t="shared" si="40"/>
        <v>16800.03153</v>
      </c>
      <c r="BV30" s="5"/>
      <c r="BW30" s="36"/>
      <c r="BX30" s="36">
        <f t="shared" si="41"/>
        <v>21.039227999999998</v>
      </c>
      <c r="BY30" s="5">
        <f t="shared" si="42"/>
        <v>21.039227999999998</v>
      </c>
      <c r="BZ30" s="36">
        <f t="shared" si="43"/>
        <v>74.1945015</v>
      </c>
      <c r="CA30" s="36">
        <f t="shared" si="44"/>
        <v>39.638403</v>
      </c>
      <c r="CB30" s="5"/>
      <c r="CC30" s="36"/>
      <c r="CD30" s="36">
        <f t="shared" si="45"/>
        <v>3739.0000008</v>
      </c>
      <c r="CE30" s="5">
        <f t="shared" si="46"/>
        <v>3739.0000008</v>
      </c>
      <c r="CF30" s="36">
        <f t="shared" si="47"/>
        <v>13185.5237829</v>
      </c>
      <c r="CG30" s="36">
        <f t="shared" si="48"/>
        <v>7044.3644058</v>
      </c>
      <c r="CH30" s="5"/>
      <c r="CI30" s="5"/>
      <c r="CJ30" s="5">
        <f t="shared" si="49"/>
        <v>18.8732848</v>
      </c>
      <c r="CK30" s="5">
        <f t="shared" si="50"/>
        <v>18.8732848</v>
      </c>
      <c r="CL30" s="36">
        <f t="shared" si="51"/>
        <v>66.5563374</v>
      </c>
      <c r="CM30" s="36">
        <f t="shared" si="52"/>
        <v>35.5577148</v>
      </c>
      <c r="CN30" s="5"/>
      <c r="CO30" s="36"/>
      <c r="CP30" s="36">
        <f t="shared" si="53"/>
        <v>733.8062896</v>
      </c>
      <c r="CQ30" s="5">
        <f t="shared" si="54"/>
        <v>733.8062896</v>
      </c>
      <c r="CR30" s="36">
        <f t="shared" si="55"/>
        <v>2587.7561597999998</v>
      </c>
      <c r="CS30" s="36">
        <f t="shared" si="56"/>
        <v>1382.5083995999998</v>
      </c>
      <c r="CT30" s="5"/>
      <c r="CU30" s="36"/>
      <c r="CV30" s="36">
        <f t="shared" si="57"/>
        <v>390.66172880000005</v>
      </c>
      <c r="CW30" s="5">
        <f t="shared" si="58"/>
        <v>390.66172880000005</v>
      </c>
      <c r="CX30" s="36">
        <f t="shared" si="59"/>
        <v>1377.6623469</v>
      </c>
      <c r="CY30" s="36">
        <f t="shared" si="60"/>
        <v>736.0159338000001</v>
      </c>
      <c r="CZ30" s="5"/>
      <c r="DA30" s="5"/>
      <c r="DB30" s="36">
        <f t="shared" si="61"/>
        <v>1272.9830224</v>
      </c>
      <c r="DC30" s="36">
        <f t="shared" si="62"/>
        <v>1272.9830224</v>
      </c>
      <c r="DD30" s="36">
        <f t="shared" si="63"/>
        <v>4489.1542962</v>
      </c>
      <c r="DE30" s="36">
        <f t="shared" si="64"/>
        <v>2398.3301124</v>
      </c>
      <c r="DF30" s="5"/>
      <c r="DG30" s="5"/>
      <c r="DH30" s="36">
        <f t="shared" si="65"/>
        <v>11205.4355832</v>
      </c>
      <c r="DI30" s="36">
        <f t="shared" si="66"/>
        <v>11205.4355832</v>
      </c>
      <c r="DJ30" s="36">
        <f t="shared" si="67"/>
        <v>39515.7896091</v>
      </c>
      <c r="DK30" s="36">
        <f t="shared" si="68"/>
        <v>21111.3055782</v>
      </c>
      <c r="DL30" s="5"/>
      <c r="DM30" s="36"/>
      <c r="DN30" s="36">
        <f t="shared" si="69"/>
        <v>23199.0359512</v>
      </c>
      <c r="DO30" s="5">
        <f t="shared" si="70"/>
        <v>23199.0359512</v>
      </c>
      <c r="DP30" s="36">
        <f t="shared" si="71"/>
        <v>81811.0297431</v>
      </c>
      <c r="DQ30" s="36">
        <f t="shared" si="72"/>
        <v>43707.532246200004</v>
      </c>
      <c r="DR30" s="5"/>
      <c r="DS30" s="5"/>
      <c r="DT30" s="5">
        <f t="shared" si="73"/>
        <v>1029.6245144000002</v>
      </c>
      <c r="DU30" s="5">
        <f t="shared" si="74"/>
        <v>1029.6245144000002</v>
      </c>
      <c r="DV30" s="36">
        <f t="shared" si="75"/>
        <v>3630.9544047000004</v>
      </c>
      <c r="DW30" s="36">
        <f t="shared" si="76"/>
        <v>1939.8369294000001</v>
      </c>
      <c r="DX30" s="5"/>
      <c r="DY30" s="36"/>
      <c r="DZ30" s="36">
        <f t="shared" si="77"/>
        <v>1142.081812</v>
      </c>
      <c r="EA30" s="5">
        <f t="shared" si="78"/>
        <v>1142.081812</v>
      </c>
      <c r="EB30" s="36">
        <f t="shared" si="79"/>
        <v>4027.5332685</v>
      </c>
      <c r="EC30" s="36">
        <f t="shared" si="80"/>
        <v>2151.709137</v>
      </c>
      <c r="ED30" s="5"/>
      <c r="EE30" s="36"/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1:153" ht="12.75">
      <c r="A31" s="37">
        <v>11049</v>
      </c>
      <c r="C31" s="3">
        <v>8035000</v>
      </c>
      <c r="D31" s="3">
        <v>95416</v>
      </c>
      <c r="E31" s="35">
        <f t="shared" si="0"/>
        <v>8130416</v>
      </c>
      <c r="F31" s="35">
        <v>336483</v>
      </c>
      <c r="G31" s="35">
        <v>179766</v>
      </c>
      <c r="I31" s="36">
        <f>'2016B Academic'!I31</f>
        <v>1211051.27</v>
      </c>
      <c r="J31" s="36">
        <f>'2016B Academic'!J31</f>
        <v>14381.290351999998</v>
      </c>
      <c r="K31" s="36">
        <f t="shared" si="1"/>
        <v>1225432.560352</v>
      </c>
      <c r="L31" s="36">
        <f>'2016B Academic'!L31</f>
        <v>50715.390726000005</v>
      </c>
      <c r="M31" s="36">
        <f>'2016B Academic'!M31</f>
        <v>27094.691052000002</v>
      </c>
      <c r="O31" s="36">
        <f t="shared" si="81"/>
        <v>6823948.7299999995</v>
      </c>
      <c r="P31" s="35">
        <f t="shared" si="2"/>
        <v>81034.70964799999</v>
      </c>
      <c r="Q31" s="5">
        <f t="shared" si="3"/>
        <v>6904983.439648</v>
      </c>
      <c r="R31" s="35">
        <f t="shared" si="4"/>
        <v>285767.609274</v>
      </c>
      <c r="S31" s="35">
        <f t="shared" si="4"/>
        <v>152671.308948</v>
      </c>
      <c r="U31" s="36">
        <f t="shared" si="82"/>
        <v>307982.35349999997</v>
      </c>
      <c r="V31" s="36">
        <f t="shared" si="5"/>
        <v>3657.3048215999997</v>
      </c>
      <c r="W31" s="5">
        <f t="shared" si="6"/>
        <v>311639.65832159994</v>
      </c>
      <c r="X31" s="36">
        <f t="shared" si="7"/>
        <v>12897.4270383</v>
      </c>
      <c r="Y31" s="36">
        <f t="shared" si="8"/>
        <v>6890.4487566</v>
      </c>
      <c r="AA31" s="5">
        <f t="shared" si="83"/>
        <v>558076.5495</v>
      </c>
      <c r="AB31" s="36">
        <f t="shared" si="9"/>
        <v>6627.1850712</v>
      </c>
      <c r="AC31" s="36">
        <f t="shared" si="10"/>
        <v>564703.7345712</v>
      </c>
      <c r="AD31" s="36">
        <f t="shared" si="11"/>
        <v>23370.662303099998</v>
      </c>
      <c r="AE31" s="36">
        <f t="shared" si="12"/>
        <v>12485.7733662</v>
      </c>
      <c r="AG31" s="5">
        <f t="shared" si="84"/>
        <v>449679.5785</v>
      </c>
      <c r="AH31" s="5">
        <f t="shared" si="13"/>
        <v>5339.965981599999</v>
      </c>
      <c r="AI31" s="5">
        <f t="shared" si="14"/>
        <v>455019.5444816</v>
      </c>
      <c r="AJ31" s="36">
        <f t="shared" si="15"/>
        <v>18831.3047433</v>
      </c>
      <c r="AK31" s="36">
        <f t="shared" si="16"/>
        <v>10060.6221666</v>
      </c>
      <c r="AM31" s="5">
        <f t="shared" si="85"/>
        <v>534399.815</v>
      </c>
      <c r="AN31" s="5">
        <f t="shared" si="17"/>
        <v>6346.022744</v>
      </c>
      <c r="AO31" s="5">
        <f t="shared" si="18"/>
        <v>540745.8377439999</v>
      </c>
      <c r="AP31" s="36">
        <f t="shared" si="19"/>
        <v>22379.147847</v>
      </c>
      <c r="AQ31" s="36">
        <f t="shared" si="20"/>
        <v>11956.056894</v>
      </c>
      <c r="AS31" s="36">
        <f t="shared" si="86"/>
        <v>31919.840999999997</v>
      </c>
      <c r="AT31" s="36">
        <f t="shared" si="21"/>
        <v>379.04960159999996</v>
      </c>
      <c r="AU31" s="5">
        <f t="shared" si="22"/>
        <v>32298.890601599996</v>
      </c>
      <c r="AV31" s="36">
        <f t="shared" si="23"/>
        <v>1336.7123657999998</v>
      </c>
      <c r="AW31" s="36">
        <f t="shared" si="24"/>
        <v>714.1384115999999</v>
      </c>
      <c r="AY31" s="36">
        <f t="shared" si="87"/>
        <v>2873.3160000000003</v>
      </c>
      <c r="AZ31" s="36">
        <f t="shared" si="25"/>
        <v>34.1207616</v>
      </c>
      <c r="BA31" s="5">
        <f t="shared" si="26"/>
        <v>2907.4367616000004</v>
      </c>
      <c r="BB31" s="36">
        <f t="shared" si="27"/>
        <v>120.3263208</v>
      </c>
      <c r="BC31" s="36">
        <f t="shared" si="28"/>
        <v>64.2843216</v>
      </c>
      <c r="BD31" s="5"/>
      <c r="BE31" s="36">
        <f t="shared" si="88"/>
        <v>587885.596</v>
      </c>
      <c r="BF31" s="36">
        <f t="shared" si="29"/>
        <v>6981.1688896</v>
      </c>
      <c r="BG31" s="5">
        <f t="shared" si="30"/>
        <v>594866.7648896</v>
      </c>
      <c r="BH31" s="36">
        <f t="shared" si="31"/>
        <v>24618.9805848</v>
      </c>
      <c r="BI31" s="36">
        <f t="shared" si="32"/>
        <v>13152.6872496</v>
      </c>
      <c r="BJ31" s="5"/>
      <c r="BK31" s="36">
        <f t="shared" si="89"/>
        <v>20.891000000000002</v>
      </c>
      <c r="BL31" s="36">
        <f t="shared" si="33"/>
        <v>0.2480816</v>
      </c>
      <c r="BM31" s="5">
        <f t="shared" si="34"/>
        <v>21.1390816</v>
      </c>
      <c r="BN31" s="36">
        <f t="shared" si="35"/>
        <v>0.8748558000000001</v>
      </c>
      <c r="BO31" s="36">
        <f t="shared" si="36"/>
        <v>0.4673916</v>
      </c>
      <c r="BP31" s="5"/>
      <c r="BQ31" s="36">
        <f t="shared" si="90"/>
        <v>750910.9249999999</v>
      </c>
      <c r="BR31" s="36">
        <f t="shared" si="37"/>
        <v>8917.10228</v>
      </c>
      <c r="BS31" s="5">
        <f t="shared" si="38"/>
        <v>759828.0272799999</v>
      </c>
      <c r="BT31" s="36">
        <f t="shared" si="39"/>
        <v>31446.018764999997</v>
      </c>
      <c r="BU31" s="36">
        <f t="shared" si="40"/>
        <v>16800.03153</v>
      </c>
      <c r="BV31" s="5"/>
      <c r="BW31" s="36">
        <f t="shared" si="91"/>
        <v>1771.7175</v>
      </c>
      <c r="BX31" s="36">
        <f t="shared" si="41"/>
        <v>21.039227999999998</v>
      </c>
      <c r="BY31" s="5">
        <f t="shared" si="42"/>
        <v>1792.756728</v>
      </c>
      <c r="BZ31" s="36">
        <f t="shared" si="43"/>
        <v>74.1945015</v>
      </c>
      <c r="CA31" s="36">
        <f t="shared" si="44"/>
        <v>39.638403</v>
      </c>
      <c r="CB31" s="5"/>
      <c r="CC31" s="36">
        <f t="shared" si="92"/>
        <v>314861.9205</v>
      </c>
      <c r="CD31" s="36">
        <f t="shared" si="45"/>
        <v>3739.0000008</v>
      </c>
      <c r="CE31" s="5">
        <f t="shared" si="46"/>
        <v>318600.9205008</v>
      </c>
      <c r="CF31" s="36">
        <f t="shared" si="47"/>
        <v>13185.5237829</v>
      </c>
      <c r="CG31" s="36">
        <f t="shared" si="48"/>
        <v>7044.3644058</v>
      </c>
      <c r="CH31" s="5"/>
      <c r="CI31" s="5">
        <f t="shared" si="93"/>
        <v>1589.323</v>
      </c>
      <c r="CJ31" s="5">
        <f t="shared" si="49"/>
        <v>18.8732848</v>
      </c>
      <c r="CK31" s="5">
        <f t="shared" si="50"/>
        <v>1608.1962848</v>
      </c>
      <c r="CL31" s="36">
        <f t="shared" si="51"/>
        <v>66.5563374</v>
      </c>
      <c r="CM31" s="36">
        <f t="shared" si="52"/>
        <v>35.5577148</v>
      </c>
      <c r="CN31" s="5"/>
      <c r="CO31" s="36">
        <f t="shared" si="94"/>
        <v>61793.971</v>
      </c>
      <c r="CP31" s="36">
        <f t="shared" si="53"/>
        <v>733.8062896</v>
      </c>
      <c r="CQ31" s="5">
        <f t="shared" si="54"/>
        <v>62527.777289599995</v>
      </c>
      <c r="CR31" s="36">
        <f t="shared" si="55"/>
        <v>2587.7561597999998</v>
      </c>
      <c r="CS31" s="36">
        <f t="shared" si="56"/>
        <v>1382.5083995999998</v>
      </c>
      <c r="CT31" s="5"/>
      <c r="CU31" s="36">
        <f t="shared" si="95"/>
        <v>32897.700500000006</v>
      </c>
      <c r="CV31" s="36">
        <f t="shared" si="57"/>
        <v>390.66172880000005</v>
      </c>
      <c r="CW31" s="5">
        <f t="shared" si="58"/>
        <v>33288.362228800004</v>
      </c>
      <c r="CX31" s="36">
        <f t="shared" si="59"/>
        <v>1377.6623469</v>
      </c>
      <c r="CY31" s="36">
        <f t="shared" si="60"/>
        <v>736.0159338000001</v>
      </c>
      <c r="CZ31" s="5"/>
      <c r="DA31" s="5">
        <f t="shared" si="96"/>
        <v>107198.149</v>
      </c>
      <c r="DB31" s="36">
        <f t="shared" si="61"/>
        <v>1272.9830224</v>
      </c>
      <c r="DC31" s="36">
        <f t="shared" si="62"/>
        <v>108471.13202240001</v>
      </c>
      <c r="DD31" s="36">
        <f t="shared" si="63"/>
        <v>4489.1542962</v>
      </c>
      <c r="DE31" s="36">
        <f t="shared" si="64"/>
        <v>2398.3301124</v>
      </c>
      <c r="DF31" s="5"/>
      <c r="DG31" s="5">
        <f t="shared" si="97"/>
        <v>943611.9195000001</v>
      </c>
      <c r="DH31" s="36">
        <f t="shared" si="65"/>
        <v>11205.4355832</v>
      </c>
      <c r="DI31" s="36">
        <f t="shared" si="66"/>
        <v>954817.3550832</v>
      </c>
      <c r="DJ31" s="36">
        <f t="shared" si="67"/>
        <v>39515.7896091</v>
      </c>
      <c r="DK31" s="36">
        <f t="shared" si="68"/>
        <v>21111.3055782</v>
      </c>
      <c r="DL31" s="5"/>
      <c r="DM31" s="36">
        <f t="shared" si="98"/>
        <v>1953595.3495</v>
      </c>
      <c r="DN31" s="36">
        <f t="shared" si="69"/>
        <v>23199.0359512</v>
      </c>
      <c r="DO31" s="5">
        <f t="shared" si="70"/>
        <v>1976794.3854512</v>
      </c>
      <c r="DP31" s="36">
        <f t="shared" si="71"/>
        <v>81811.0297431</v>
      </c>
      <c r="DQ31" s="36">
        <f t="shared" si="72"/>
        <v>43707.532246200004</v>
      </c>
      <c r="DR31" s="5"/>
      <c r="DS31" s="5">
        <f t="shared" si="99"/>
        <v>86704.8815</v>
      </c>
      <c r="DT31" s="5">
        <f t="shared" si="73"/>
        <v>1029.6245144000002</v>
      </c>
      <c r="DU31" s="5">
        <f t="shared" si="74"/>
        <v>87734.5060144</v>
      </c>
      <c r="DV31" s="36">
        <f t="shared" si="75"/>
        <v>3630.9544047000004</v>
      </c>
      <c r="DW31" s="36">
        <f t="shared" si="76"/>
        <v>1939.8369294000001</v>
      </c>
      <c r="DX31" s="5"/>
      <c r="DY31" s="36">
        <f t="shared" si="100"/>
        <v>96174.9325</v>
      </c>
      <c r="DZ31" s="36">
        <f t="shared" si="77"/>
        <v>1142.081812</v>
      </c>
      <c r="EA31" s="5">
        <f t="shared" si="78"/>
        <v>97317.014312</v>
      </c>
      <c r="EB31" s="36">
        <f t="shared" si="79"/>
        <v>4027.5332685</v>
      </c>
      <c r="EC31" s="36">
        <f t="shared" si="80"/>
        <v>2151.709137</v>
      </c>
      <c r="ED31" s="5"/>
      <c r="EE31" s="36"/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1:153" ht="12.75">
      <c r="A32" s="37">
        <v>11232</v>
      </c>
      <c r="E32" s="35">
        <f t="shared" si="0"/>
        <v>0</v>
      </c>
      <c r="F32" s="35"/>
      <c r="G32" s="35"/>
      <c r="I32" s="36"/>
      <c r="J32" s="36">
        <f>'2016B Academic'!J32</f>
        <v>0</v>
      </c>
      <c r="K32" s="36">
        <f t="shared" si="1"/>
        <v>0</v>
      </c>
      <c r="L32" s="36">
        <f>'2016B Academic'!L32</f>
        <v>0</v>
      </c>
      <c r="M32" s="36">
        <f>'2016B Academic'!M32</f>
        <v>0</v>
      </c>
      <c r="O32" s="36"/>
      <c r="P32" s="35">
        <f t="shared" si="2"/>
        <v>0</v>
      </c>
      <c r="Q32" s="5">
        <f t="shared" si="3"/>
        <v>0</v>
      </c>
      <c r="R32" s="35">
        <f t="shared" si="4"/>
        <v>0</v>
      </c>
      <c r="S32" s="35"/>
      <c r="U32" s="36"/>
      <c r="V32" s="36">
        <f t="shared" si="5"/>
        <v>0</v>
      </c>
      <c r="W32" s="5">
        <f t="shared" si="6"/>
        <v>0</v>
      </c>
      <c r="X32" s="36">
        <f t="shared" si="7"/>
        <v>0</v>
      </c>
      <c r="Y32" s="36"/>
      <c r="AB32" s="36">
        <f t="shared" si="9"/>
        <v>0</v>
      </c>
      <c r="AC32" s="36">
        <f t="shared" si="10"/>
        <v>0</v>
      </c>
      <c r="AD32" s="36">
        <f t="shared" si="11"/>
        <v>0</v>
      </c>
      <c r="AE32" s="36"/>
      <c r="AH32" s="5">
        <f t="shared" si="13"/>
        <v>0</v>
      </c>
      <c r="AI32" s="5">
        <f t="shared" si="14"/>
        <v>0</v>
      </c>
      <c r="AJ32" s="36">
        <f t="shared" si="15"/>
        <v>0</v>
      </c>
      <c r="AK32" s="36"/>
      <c r="AN32" s="5">
        <f t="shared" si="17"/>
        <v>0</v>
      </c>
      <c r="AO32" s="5">
        <f t="shared" si="18"/>
        <v>0</v>
      </c>
      <c r="AP32" s="36">
        <f t="shared" si="19"/>
        <v>0</v>
      </c>
      <c r="AQ32" s="36"/>
      <c r="AS32" s="36"/>
      <c r="AT32" s="36">
        <f t="shared" si="21"/>
        <v>0</v>
      </c>
      <c r="AU32" s="5">
        <f t="shared" si="22"/>
        <v>0</v>
      </c>
      <c r="AV32" s="36">
        <f t="shared" si="23"/>
        <v>0</v>
      </c>
      <c r="AW32" s="36"/>
      <c r="AY32" s="36"/>
      <c r="AZ32" s="36">
        <f t="shared" si="25"/>
        <v>0</v>
      </c>
      <c r="BA32" s="5">
        <f t="shared" si="26"/>
        <v>0</v>
      </c>
      <c r="BB32" s="36">
        <f t="shared" si="27"/>
        <v>0</v>
      </c>
      <c r="BC32" s="36"/>
      <c r="BD32" s="5"/>
      <c r="BE32" s="36"/>
      <c r="BF32" s="36">
        <f t="shared" si="29"/>
        <v>0</v>
      </c>
      <c r="BG32" s="5">
        <f t="shared" si="30"/>
        <v>0</v>
      </c>
      <c r="BH32" s="36">
        <f t="shared" si="31"/>
        <v>0</v>
      </c>
      <c r="BI32" s="36"/>
      <c r="BJ32" s="5"/>
      <c r="BK32" s="36"/>
      <c r="BL32" s="36">
        <f t="shared" si="33"/>
        <v>0</v>
      </c>
      <c r="BM32" s="5">
        <f t="shared" si="34"/>
        <v>0</v>
      </c>
      <c r="BN32" s="36">
        <f t="shared" si="35"/>
        <v>0</v>
      </c>
      <c r="BO32" s="36"/>
      <c r="BP32" s="5"/>
      <c r="BQ32" s="36"/>
      <c r="BR32" s="36">
        <f t="shared" si="37"/>
        <v>0</v>
      </c>
      <c r="BS32" s="5">
        <f t="shared" si="38"/>
        <v>0</v>
      </c>
      <c r="BT32" s="36">
        <f t="shared" si="39"/>
        <v>0</v>
      </c>
      <c r="BU32" s="36"/>
      <c r="BV32" s="5"/>
      <c r="BW32" s="36"/>
      <c r="BX32" s="36">
        <f t="shared" si="41"/>
        <v>0</v>
      </c>
      <c r="BY32" s="5">
        <f t="shared" si="42"/>
        <v>0</v>
      </c>
      <c r="BZ32" s="36">
        <f t="shared" si="43"/>
        <v>0</v>
      </c>
      <c r="CA32" s="36"/>
      <c r="CB32" s="5"/>
      <c r="CC32" s="36"/>
      <c r="CD32" s="36">
        <f t="shared" si="45"/>
        <v>0</v>
      </c>
      <c r="CE32" s="5">
        <f t="shared" si="46"/>
        <v>0</v>
      </c>
      <c r="CF32" s="36">
        <f t="shared" si="47"/>
        <v>0</v>
      </c>
      <c r="CG32" s="36"/>
      <c r="CH32" s="5"/>
      <c r="CI32" s="5"/>
      <c r="CJ32" s="5">
        <f t="shared" si="49"/>
        <v>0</v>
      </c>
      <c r="CK32" s="5">
        <f t="shared" si="50"/>
        <v>0</v>
      </c>
      <c r="CL32" s="36">
        <f t="shared" si="51"/>
        <v>0</v>
      </c>
      <c r="CM32" s="36"/>
      <c r="CN32" s="5"/>
      <c r="CO32" s="36"/>
      <c r="CP32" s="36">
        <f t="shared" si="53"/>
        <v>0</v>
      </c>
      <c r="CQ32" s="5">
        <f t="shared" si="54"/>
        <v>0</v>
      </c>
      <c r="CR32" s="36">
        <f t="shared" si="55"/>
        <v>0</v>
      </c>
      <c r="CS32" s="36"/>
      <c r="CT32" s="5"/>
      <c r="CU32" s="36"/>
      <c r="CV32" s="36">
        <f t="shared" si="57"/>
        <v>0</v>
      </c>
      <c r="CW32" s="5">
        <f t="shared" si="58"/>
        <v>0</v>
      </c>
      <c r="CX32" s="36">
        <f t="shared" si="59"/>
        <v>0</v>
      </c>
      <c r="CY32" s="36"/>
      <c r="CZ32" s="5"/>
      <c r="DA32" s="5"/>
      <c r="DB32" s="36">
        <f t="shared" si="61"/>
        <v>0</v>
      </c>
      <c r="DC32" s="36">
        <f t="shared" si="62"/>
        <v>0</v>
      </c>
      <c r="DD32" s="36">
        <f t="shared" si="63"/>
        <v>0</v>
      </c>
      <c r="DE32" s="36"/>
      <c r="DF32" s="5"/>
      <c r="DG32" s="5"/>
      <c r="DH32" s="36">
        <f t="shared" si="65"/>
        <v>0</v>
      </c>
      <c r="DI32" s="36">
        <f t="shared" si="66"/>
        <v>0</v>
      </c>
      <c r="DJ32" s="36">
        <f t="shared" si="67"/>
        <v>0</v>
      </c>
      <c r="DK32" s="36"/>
      <c r="DL32" s="5"/>
      <c r="DM32" s="36"/>
      <c r="DN32" s="36">
        <f t="shared" si="69"/>
        <v>0</v>
      </c>
      <c r="DO32" s="5">
        <f t="shared" si="70"/>
        <v>0</v>
      </c>
      <c r="DP32" s="36">
        <f t="shared" si="71"/>
        <v>0</v>
      </c>
      <c r="DQ32" s="36"/>
      <c r="DR32" s="5"/>
      <c r="DS32" s="5"/>
      <c r="DT32" s="5">
        <f t="shared" si="73"/>
        <v>0</v>
      </c>
      <c r="DU32" s="5">
        <f t="shared" si="74"/>
        <v>0</v>
      </c>
      <c r="DV32" s="36">
        <f t="shared" si="75"/>
        <v>0</v>
      </c>
      <c r="DW32" s="36"/>
      <c r="DX32" s="5"/>
      <c r="DY32" s="36"/>
      <c r="DZ32" s="36">
        <f t="shared" si="77"/>
        <v>0</v>
      </c>
      <c r="EA32" s="5">
        <f t="shared" si="78"/>
        <v>0</v>
      </c>
      <c r="EB32" s="36">
        <f t="shared" si="79"/>
        <v>0</v>
      </c>
      <c r="EC32" s="36"/>
      <c r="ED32" s="5"/>
      <c r="EE32" s="36"/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1:153" ht="12.75">
      <c r="A33" s="37">
        <v>11414</v>
      </c>
      <c r="E33" s="35">
        <f t="shared" si="0"/>
        <v>0</v>
      </c>
      <c r="F33" s="35"/>
      <c r="G33" s="35"/>
      <c r="I33" s="36"/>
      <c r="J33" s="36">
        <f>'2016B Academic'!J33</f>
        <v>0</v>
      </c>
      <c r="K33" s="36">
        <f t="shared" si="1"/>
        <v>0</v>
      </c>
      <c r="L33" s="36">
        <f>'2016B Academic'!L33</f>
        <v>0</v>
      </c>
      <c r="M33" s="36">
        <f>'2016B Academic'!M33</f>
        <v>0</v>
      </c>
      <c r="O33" s="36">
        <f t="shared" si="81"/>
        <v>0</v>
      </c>
      <c r="P33" s="35">
        <f t="shared" si="2"/>
        <v>0</v>
      </c>
      <c r="Q33" s="5">
        <f t="shared" si="3"/>
        <v>0</v>
      </c>
      <c r="R33" s="35">
        <f t="shared" si="4"/>
        <v>0</v>
      </c>
      <c r="S33" s="35"/>
      <c r="U33" s="36">
        <f t="shared" si="82"/>
        <v>0</v>
      </c>
      <c r="V33" s="36">
        <f t="shared" si="5"/>
        <v>0</v>
      </c>
      <c r="W33" s="5">
        <f t="shared" si="6"/>
        <v>0</v>
      </c>
      <c r="X33" s="36">
        <f t="shared" si="7"/>
        <v>0</v>
      </c>
      <c r="Y33" s="36"/>
      <c r="AA33" s="5">
        <f t="shared" si="83"/>
        <v>0</v>
      </c>
      <c r="AB33" s="36">
        <f t="shared" si="9"/>
        <v>0</v>
      </c>
      <c r="AC33" s="36">
        <f t="shared" si="10"/>
        <v>0</v>
      </c>
      <c r="AD33" s="36">
        <f t="shared" si="11"/>
        <v>0</v>
      </c>
      <c r="AE33" s="36"/>
      <c r="AG33" s="5">
        <f t="shared" si="84"/>
        <v>0</v>
      </c>
      <c r="AH33" s="5">
        <f t="shared" si="13"/>
        <v>0</v>
      </c>
      <c r="AI33" s="5">
        <f t="shared" si="14"/>
        <v>0</v>
      </c>
      <c r="AJ33" s="36">
        <f t="shared" si="15"/>
        <v>0</v>
      </c>
      <c r="AK33" s="36"/>
      <c r="AM33" s="5">
        <f t="shared" si="85"/>
        <v>0</v>
      </c>
      <c r="AN33" s="5">
        <f t="shared" si="17"/>
        <v>0</v>
      </c>
      <c r="AO33" s="5">
        <f t="shared" si="18"/>
        <v>0</v>
      </c>
      <c r="AP33" s="36">
        <f t="shared" si="19"/>
        <v>0</v>
      </c>
      <c r="AQ33" s="36"/>
      <c r="AS33" s="36">
        <f t="shared" si="86"/>
        <v>0</v>
      </c>
      <c r="AT33" s="36">
        <f t="shared" si="21"/>
        <v>0</v>
      </c>
      <c r="AU33" s="5">
        <f t="shared" si="22"/>
        <v>0</v>
      </c>
      <c r="AV33" s="36">
        <f t="shared" si="23"/>
        <v>0</v>
      </c>
      <c r="AW33" s="36"/>
      <c r="AY33" s="36">
        <f t="shared" si="87"/>
        <v>0</v>
      </c>
      <c r="AZ33" s="36">
        <f t="shared" si="25"/>
        <v>0</v>
      </c>
      <c r="BA33" s="5">
        <f t="shared" si="26"/>
        <v>0</v>
      </c>
      <c r="BB33" s="36">
        <f t="shared" si="27"/>
        <v>0</v>
      </c>
      <c r="BC33" s="36"/>
      <c r="BD33" s="5"/>
      <c r="BE33" s="36">
        <f t="shared" si="88"/>
        <v>0</v>
      </c>
      <c r="BF33" s="36">
        <f t="shared" si="29"/>
        <v>0</v>
      </c>
      <c r="BG33" s="5">
        <f t="shared" si="30"/>
        <v>0</v>
      </c>
      <c r="BH33" s="36">
        <f t="shared" si="31"/>
        <v>0</v>
      </c>
      <c r="BI33" s="36"/>
      <c r="BJ33" s="5"/>
      <c r="BK33" s="36">
        <f t="shared" si="89"/>
        <v>0</v>
      </c>
      <c r="BL33" s="36">
        <f t="shared" si="33"/>
        <v>0</v>
      </c>
      <c r="BM33" s="5">
        <f t="shared" si="34"/>
        <v>0</v>
      </c>
      <c r="BN33" s="36">
        <f t="shared" si="35"/>
        <v>0</v>
      </c>
      <c r="BO33" s="36"/>
      <c r="BP33" s="5"/>
      <c r="BQ33" s="36">
        <f t="shared" si="90"/>
        <v>0</v>
      </c>
      <c r="BR33" s="36">
        <f t="shared" si="37"/>
        <v>0</v>
      </c>
      <c r="BS33" s="5">
        <f t="shared" si="38"/>
        <v>0</v>
      </c>
      <c r="BT33" s="36">
        <f t="shared" si="39"/>
        <v>0</v>
      </c>
      <c r="BU33" s="36"/>
      <c r="BV33" s="5"/>
      <c r="BW33" s="36">
        <f t="shared" si="91"/>
        <v>0</v>
      </c>
      <c r="BX33" s="36">
        <f t="shared" si="41"/>
        <v>0</v>
      </c>
      <c r="BY33" s="5">
        <f t="shared" si="42"/>
        <v>0</v>
      </c>
      <c r="BZ33" s="36">
        <f t="shared" si="43"/>
        <v>0</v>
      </c>
      <c r="CA33" s="36"/>
      <c r="CB33" s="5"/>
      <c r="CC33" s="36">
        <f t="shared" si="92"/>
        <v>0</v>
      </c>
      <c r="CD33" s="36">
        <f t="shared" si="45"/>
        <v>0</v>
      </c>
      <c r="CE33" s="5">
        <f t="shared" si="46"/>
        <v>0</v>
      </c>
      <c r="CF33" s="36">
        <f t="shared" si="47"/>
        <v>0</v>
      </c>
      <c r="CG33" s="36"/>
      <c r="CH33" s="5"/>
      <c r="CI33" s="5">
        <f t="shared" si="93"/>
        <v>0</v>
      </c>
      <c r="CJ33" s="5">
        <f t="shared" si="49"/>
        <v>0</v>
      </c>
      <c r="CK33" s="5">
        <f t="shared" si="50"/>
        <v>0</v>
      </c>
      <c r="CL33" s="36">
        <f t="shared" si="51"/>
        <v>0</v>
      </c>
      <c r="CM33" s="36"/>
      <c r="CN33" s="5"/>
      <c r="CO33" s="36">
        <f t="shared" si="94"/>
        <v>0</v>
      </c>
      <c r="CP33" s="36">
        <f t="shared" si="53"/>
        <v>0</v>
      </c>
      <c r="CQ33" s="5">
        <f t="shared" si="54"/>
        <v>0</v>
      </c>
      <c r="CR33" s="36">
        <f t="shared" si="55"/>
        <v>0</v>
      </c>
      <c r="CS33" s="36"/>
      <c r="CT33" s="5"/>
      <c r="CU33" s="36">
        <f t="shared" si="95"/>
        <v>0</v>
      </c>
      <c r="CV33" s="36">
        <f t="shared" si="57"/>
        <v>0</v>
      </c>
      <c r="CW33" s="5">
        <f t="shared" si="58"/>
        <v>0</v>
      </c>
      <c r="CX33" s="36">
        <f t="shared" si="59"/>
        <v>0</v>
      </c>
      <c r="CY33" s="36"/>
      <c r="CZ33" s="5"/>
      <c r="DA33" s="5">
        <f t="shared" si="96"/>
        <v>0</v>
      </c>
      <c r="DB33" s="36">
        <f t="shared" si="61"/>
        <v>0</v>
      </c>
      <c r="DC33" s="36">
        <f t="shared" si="62"/>
        <v>0</v>
      </c>
      <c r="DD33" s="36">
        <f t="shared" si="63"/>
        <v>0</v>
      </c>
      <c r="DE33" s="36"/>
      <c r="DF33" s="5"/>
      <c r="DG33" s="5">
        <f t="shared" si="97"/>
        <v>0</v>
      </c>
      <c r="DH33" s="36">
        <f t="shared" si="65"/>
        <v>0</v>
      </c>
      <c r="DI33" s="36">
        <f t="shared" si="66"/>
        <v>0</v>
      </c>
      <c r="DJ33" s="36">
        <f t="shared" si="67"/>
        <v>0</v>
      </c>
      <c r="DK33" s="36"/>
      <c r="DL33" s="5"/>
      <c r="DM33" s="36">
        <f t="shared" si="98"/>
        <v>0</v>
      </c>
      <c r="DN33" s="36">
        <f t="shared" si="69"/>
        <v>0</v>
      </c>
      <c r="DO33" s="5">
        <f t="shared" si="70"/>
        <v>0</v>
      </c>
      <c r="DP33" s="36">
        <f t="shared" si="71"/>
        <v>0</v>
      </c>
      <c r="DQ33" s="36"/>
      <c r="DR33" s="5"/>
      <c r="DS33" s="5">
        <f t="shared" si="99"/>
        <v>0</v>
      </c>
      <c r="DT33" s="5">
        <f t="shared" si="73"/>
        <v>0</v>
      </c>
      <c r="DU33" s="5">
        <f t="shared" si="74"/>
        <v>0</v>
      </c>
      <c r="DV33" s="36">
        <f t="shared" si="75"/>
        <v>0</v>
      </c>
      <c r="DW33" s="36"/>
      <c r="DX33" s="5"/>
      <c r="DY33" s="36">
        <f t="shared" si="100"/>
        <v>0</v>
      </c>
      <c r="DZ33" s="36">
        <f t="shared" si="77"/>
        <v>0</v>
      </c>
      <c r="EA33" s="5">
        <f t="shared" si="78"/>
        <v>0</v>
      </c>
      <c r="EB33" s="36">
        <f t="shared" si="79"/>
        <v>0</v>
      </c>
      <c r="EC33" s="36"/>
      <c r="ED33" s="5"/>
      <c r="EE33" s="36"/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2:153" ht="12.75">
      <c r="B34" s="34"/>
      <c r="C34" s="35"/>
      <c r="D34" s="35"/>
      <c r="E34" s="35"/>
      <c r="F34" s="35"/>
      <c r="G34" s="35"/>
      <c r="I34" s="36"/>
      <c r="J34" s="36"/>
      <c r="K34" s="36"/>
      <c r="L34" s="35"/>
      <c r="M34" s="35"/>
      <c r="O34" s="36"/>
      <c r="P34" s="35"/>
      <c r="Q34" s="5"/>
      <c r="R34" s="35"/>
      <c r="S34" s="35"/>
      <c r="U34" s="36"/>
      <c r="V34" s="36"/>
      <c r="W34" s="5"/>
      <c r="X34" s="35"/>
      <c r="Y34" s="35"/>
      <c r="AB34" s="36"/>
      <c r="AC34" s="36"/>
      <c r="AD34" s="35"/>
      <c r="AE34" s="35"/>
      <c r="AJ34" s="35"/>
      <c r="AK34" s="35"/>
      <c r="AP34" s="35"/>
      <c r="AQ34" s="35"/>
      <c r="AS34" s="36"/>
      <c r="AT34" s="36"/>
      <c r="AU34" s="5"/>
      <c r="AV34" s="35"/>
      <c r="AW34" s="35"/>
      <c r="AY34" s="36"/>
      <c r="AZ34" s="36"/>
      <c r="BA34" s="5"/>
      <c r="BB34" s="35"/>
      <c r="BC34" s="35"/>
      <c r="BD34" s="5"/>
      <c r="BE34" s="36"/>
      <c r="BF34" s="36"/>
      <c r="BG34" s="5"/>
      <c r="BH34" s="35"/>
      <c r="BI34" s="35"/>
      <c r="BJ34" s="5"/>
      <c r="BK34" s="36"/>
      <c r="BL34" s="36"/>
      <c r="BM34" s="5"/>
      <c r="BN34" s="35"/>
      <c r="BO34" s="35"/>
      <c r="BP34" s="5"/>
      <c r="BQ34" s="36"/>
      <c r="BR34" s="36"/>
      <c r="BS34" s="5"/>
      <c r="BT34" s="35"/>
      <c r="BU34" s="35"/>
      <c r="BV34" s="5"/>
      <c r="BW34" s="36"/>
      <c r="BX34" s="36"/>
      <c r="BY34" s="5"/>
      <c r="BZ34" s="35"/>
      <c r="CA34" s="35"/>
      <c r="CB34" s="5"/>
      <c r="CC34" s="36"/>
      <c r="CD34" s="36"/>
      <c r="CE34" s="5"/>
      <c r="CF34" s="35"/>
      <c r="CG34" s="35"/>
      <c r="CH34" s="5"/>
      <c r="CI34" s="5"/>
      <c r="CJ34" s="5"/>
      <c r="CK34" s="5"/>
      <c r="CL34" s="35"/>
      <c r="CM34" s="35"/>
      <c r="CN34" s="5"/>
      <c r="CO34" s="36"/>
      <c r="CP34" s="36"/>
      <c r="CQ34" s="5"/>
      <c r="CR34" s="35"/>
      <c r="CS34" s="35"/>
      <c r="CT34" s="5"/>
      <c r="CU34" s="36"/>
      <c r="CV34" s="36"/>
      <c r="CW34" s="5"/>
      <c r="CX34" s="35"/>
      <c r="CY34" s="35"/>
      <c r="CZ34" s="5"/>
      <c r="DA34" s="5"/>
      <c r="DB34" s="36"/>
      <c r="DC34" s="36"/>
      <c r="DD34" s="35"/>
      <c r="DE34" s="35"/>
      <c r="DF34" s="5"/>
      <c r="DG34" s="5"/>
      <c r="DH34" s="36"/>
      <c r="DI34" s="36"/>
      <c r="DJ34" s="35"/>
      <c r="DK34" s="35"/>
      <c r="DL34" s="5"/>
      <c r="DM34" s="36"/>
      <c r="DN34" s="36"/>
      <c r="DO34" s="5"/>
      <c r="DP34" s="35"/>
      <c r="DQ34" s="35"/>
      <c r="DR34" s="5"/>
      <c r="DS34" s="5"/>
      <c r="DT34" s="5"/>
      <c r="DU34" s="5"/>
      <c r="DV34" s="35"/>
      <c r="DW34" s="35"/>
      <c r="DX34" s="5"/>
      <c r="DY34" s="36"/>
      <c r="DZ34" s="36"/>
      <c r="EA34" s="5"/>
      <c r="EB34" s="35"/>
      <c r="EC34" s="35"/>
      <c r="ED34" s="5"/>
      <c r="EE34" s="36"/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ht="13.5" thickBot="1">
      <c r="A35" s="38" t="s">
        <v>16</v>
      </c>
      <c r="C35" s="39">
        <f>SUM(C8:C34)</f>
        <v>47275000</v>
      </c>
      <c r="D35" s="39">
        <f>SUM(D8:D34)</f>
        <v>15993784</v>
      </c>
      <c r="E35" s="39">
        <f>SUM(E8:E34)</f>
        <v>63268784</v>
      </c>
      <c r="F35" s="39">
        <f>SUM(F8:F34)</f>
        <v>8075592</v>
      </c>
      <c r="G35" s="39">
        <f>SUM(G8:G34)</f>
        <v>4314384</v>
      </c>
      <c r="I35" s="39">
        <f>SUM(I8:I34)</f>
        <v>7125382.550000001</v>
      </c>
      <c r="J35" s="39">
        <f>SUM(J8:J34)</f>
        <v>2410615.1120479996</v>
      </c>
      <c r="K35" s="39">
        <f>SUM(K8:K34)</f>
        <v>9535997.662048003</v>
      </c>
      <c r="L35" s="39">
        <f>SUM(L8:L34)</f>
        <v>1217169.3774239998</v>
      </c>
      <c r="M35" s="39">
        <f>SUM(M8:M34)</f>
        <v>650272.585248</v>
      </c>
      <c r="O35" s="39">
        <f>SUM(O8:O34)</f>
        <v>40149617.449999996</v>
      </c>
      <c r="P35" s="39">
        <f>SUM(P8:P34)</f>
        <v>13583168.887952</v>
      </c>
      <c r="Q35" s="39">
        <f>SUM(Q8:Q34)</f>
        <v>53732786.33795199</v>
      </c>
      <c r="R35" s="39">
        <f>SUM(R8:R34)</f>
        <v>6858422.622575999</v>
      </c>
      <c r="S35" s="39">
        <f>SUM(S8:S34)</f>
        <v>3664111.4147519995</v>
      </c>
      <c r="U35" s="39">
        <f>SUM(U8:U34)</f>
        <v>1812055.4774999998</v>
      </c>
      <c r="V35" s="39">
        <f>SUM(V8:V34)</f>
        <v>613043.3400984</v>
      </c>
      <c r="W35" s="39">
        <f>SUM(W8:W34)</f>
        <v>2425098.8175983997</v>
      </c>
      <c r="X35" s="39">
        <f>SUM(X8:X34)</f>
        <v>309538.24891920004</v>
      </c>
      <c r="Y35" s="39">
        <f>SUM(Y8:Y34)</f>
        <v>165370.77015840003</v>
      </c>
      <c r="AA35" s="39">
        <f>SUM(AA8:AA34)</f>
        <v>3283518.2174999993</v>
      </c>
      <c r="AB35" s="39">
        <f>SUM(AB8:AB34)</f>
        <v>1110859.4633687995</v>
      </c>
      <c r="AC35" s="39">
        <f>SUM(AC8:AC34)</f>
        <v>4394377.680868801</v>
      </c>
      <c r="AD35" s="39">
        <f>SUM(AD8:AD34)</f>
        <v>560895.8952743999</v>
      </c>
      <c r="AE35" s="39">
        <f>SUM(AE8:AE34)</f>
        <v>299658.5607888</v>
      </c>
      <c r="AG35" s="39">
        <f>SUM(AG8:AG34)</f>
        <v>2645750.1025</v>
      </c>
      <c r="AH35" s="39">
        <f>SUM(AH8:AH34)</f>
        <v>895093.7209384001</v>
      </c>
      <c r="AI35" s="39">
        <f>SUM(AI8:AI34)</f>
        <v>3540843.823438399</v>
      </c>
      <c r="AJ35" s="39">
        <f>SUM(AJ8:AJ34)</f>
        <v>451951.3138392001</v>
      </c>
      <c r="AK35" s="39">
        <f>SUM(AK8:AK34)</f>
        <v>241454.93199839993</v>
      </c>
      <c r="AM35" s="39">
        <f>SUM(AM8:AM34)</f>
        <v>3144212.9749999996</v>
      </c>
      <c r="AN35" s="39">
        <f>SUM(AN8:AN34)</f>
        <v>1063730.580056</v>
      </c>
      <c r="AO35" s="39">
        <f>SUM(AO8:AO34)</f>
        <v>4207943.555056</v>
      </c>
      <c r="AP35" s="39">
        <f>SUM(AP8:AP34)</f>
        <v>537099.5483279998</v>
      </c>
      <c r="AQ35" s="39">
        <f>SUM(AQ8:AQ34)</f>
        <v>286945.365456</v>
      </c>
      <c r="AS35" s="39">
        <f>SUM(AS8:AS34)</f>
        <v>187804.66499999998</v>
      </c>
      <c r="AT35" s="39">
        <f>SUM(AT8:AT34)</f>
        <v>63536.90631839999</v>
      </c>
      <c r="AU35" s="39">
        <f>SUM(AU8:AU34)</f>
        <v>251341.5713184</v>
      </c>
      <c r="AV35" s="39">
        <f>SUM(AV8:AV34)</f>
        <v>32081.09677919998</v>
      </c>
      <c r="AW35" s="39">
        <f>SUM(AW8:AW34)</f>
        <v>17139.32187840001</v>
      </c>
      <c r="AY35" s="39">
        <f>SUM(AY8:AY34)</f>
        <v>16905.539999999997</v>
      </c>
      <c r="AZ35" s="39">
        <f>SUM(AZ8:AZ34)</f>
        <v>5719.3771584</v>
      </c>
      <c r="BA35" s="39">
        <f>SUM(BA8:BA34)</f>
        <v>22624.917158400003</v>
      </c>
      <c r="BB35" s="39">
        <f>SUM(BB8:BB34)</f>
        <v>2887.8316991999995</v>
      </c>
      <c r="BC35" s="39">
        <f>SUM(BC8:BC34)</f>
        <v>1542.8237184000009</v>
      </c>
      <c r="BD35" s="5"/>
      <c r="BE35" s="39">
        <f>SUM(BE8:BE34)</f>
        <v>3458903.7399999998</v>
      </c>
      <c r="BF35" s="39">
        <f>SUM(BF8:BF34)</f>
        <v>1170194.8026304</v>
      </c>
      <c r="BG35" s="39">
        <f>SUM(BG8:BG34)</f>
        <v>4629098.5426304005</v>
      </c>
      <c r="BH35" s="39">
        <f>SUM(BH8:BH34)</f>
        <v>590855.5340352001</v>
      </c>
      <c r="BI35" s="39">
        <f>SUM(BI8:BI34)</f>
        <v>315664.49399040017</v>
      </c>
      <c r="BJ35" s="5"/>
      <c r="BK35" s="39">
        <f>SUM(BK8:BK34)</f>
        <v>122.915</v>
      </c>
      <c r="BL35" s="39">
        <f>SUM(BL8:BL34)</f>
        <v>41.58383839999999</v>
      </c>
      <c r="BM35" s="39">
        <f>SUM(BM8:BM34)</f>
        <v>164.49883839999998</v>
      </c>
      <c r="BN35" s="39">
        <f>SUM(BN8:BN34)</f>
        <v>20.996539199999997</v>
      </c>
      <c r="BO35" s="39">
        <f>SUM(BO8:BO34)</f>
        <v>11.217398399999997</v>
      </c>
      <c r="BP35" s="5"/>
      <c r="BQ35" s="39">
        <f>SUM(BQ8:BQ34)</f>
        <v>4418085.125</v>
      </c>
      <c r="BR35" s="39">
        <f>SUM(BR8:BR34)</f>
        <v>1494699.0837199995</v>
      </c>
      <c r="BS35" s="39">
        <f>SUM(BS8:BS34)</f>
        <v>5912784.2087199995</v>
      </c>
      <c r="BT35" s="39">
        <f>SUM(BT8:BT34)</f>
        <v>754704.4503600001</v>
      </c>
      <c r="BU35" s="39">
        <f>SUM(BU8:BU34)</f>
        <v>403200.7567199999</v>
      </c>
      <c r="BV35" s="5"/>
      <c r="BW35" s="39">
        <f>SUM(BW8:BW34)</f>
        <v>10424.1375</v>
      </c>
      <c r="BX35" s="39">
        <f>SUM(BX8:BX34)</f>
        <v>3526.6293719999994</v>
      </c>
      <c r="BY35" s="39">
        <f>SUM(BY8:BY34)</f>
        <v>13950.766872</v>
      </c>
      <c r="BZ35" s="39">
        <f>SUM(BZ8:BZ34)</f>
        <v>1780.668036000001</v>
      </c>
      <c r="CA35" s="39">
        <f>SUM(CA8:CA34)</f>
        <v>951.3216720000003</v>
      </c>
      <c r="CB35" s="5"/>
      <c r="CC35" s="39">
        <f>SUM(CC8:CC34)</f>
        <v>1852532.3325</v>
      </c>
      <c r="CD35" s="39">
        <f>SUM(CD8:CD34)</f>
        <v>626737.2179592003</v>
      </c>
      <c r="CE35" s="39">
        <f>SUM(CE8:CE34)</f>
        <v>2479269.5504592</v>
      </c>
      <c r="CF35" s="39">
        <f>SUM(CF8:CF34)</f>
        <v>316452.57078960014</v>
      </c>
      <c r="CG35" s="39">
        <f>SUM(CG8:CG34)</f>
        <v>169064.7457392001</v>
      </c>
      <c r="CH35" s="5"/>
      <c r="CI35" s="39">
        <f>SUM(CI8:CI34)</f>
        <v>9350.995</v>
      </c>
      <c r="CJ35" s="39">
        <f>SUM(CJ8:CJ34)</f>
        <v>3163.5704752</v>
      </c>
      <c r="CK35" s="39">
        <f>SUM(CK8:CK34)</f>
        <v>12514.565475200001</v>
      </c>
      <c r="CL35" s="39">
        <f>SUM(CL8:CL34)</f>
        <v>1597.3520976000004</v>
      </c>
      <c r="CM35" s="39">
        <f>SUM(CM8:CM34)</f>
        <v>853.3851551999998</v>
      </c>
      <c r="CN35" s="5"/>
      <c r="CO35" s="39">
        <f>SUM(CO8:CO34)</f>
        <v>363573.115</v>
      </c>
      <c r="CP35" s="39">
        <f>SUM(CP8:CP34)</f>
        <v>123001.79523039999</v>
      </c>
      <c r="CQ35" s="39">
        <f>SUM(CQ8:CQ34)</f>
        <v>486574.9102303999</v>
      </c>
      <c r="CR35" s="39">
        <f>SUM(CR8:CR34)</f>
        <v>62106.14783520003</v>
      </c>
      <c r="CS35" s="39">
        <f>SUM(CS8:CS34)</f>
        <v>33180.20159039999</v>
      </c>
      <c r="CT35" s="5"/>
      <c r="CU35" s="39">
        <f>SUM(CU8:CU34)</f>
        <v>193558.03250000003</v>
      </c>
      <c r="CV35" s="39">
        <f>SUM(CV8:CV34)</f>
        <v>65483.3498312</v>
      </c>
      <c r="CW35" s="39">
        <f>SUM(CW8:CW34)</f>
        <v>259041.38233120006</v>
      </c>
      <c r="CX35" s="39">
        <f>SUM(CX8:CX34)</f>
        <v>33063.896325600006</v>
      </c>
      <c r="CY35" s="39">
        <f>SUM(CY8:CY34)</f>
        <v>17664.382411199997</v>
      </c>
      <c r="CZ35" s="5"/>
      <c r="DA35" s="39">
        <f>SUM(DA8:DA34)</f>
        <v>630714.6849999999</v>
      </c>
      <c r="DB35" s="39">
        <f>SUM(DB8:DB34)</f>
        <v>213379.46985759996</v>
      </c>
      <c r="DC35" s="39">
        <f>SUM(DC8:DC34)</f>
        <v>844094.1548576</v>
      </c>
      <c r="DD35" s="39">
        <f>SUM(DD8:DD34)</f>
        <v>107739.70310879998</v>
      </c>
      <c r="DE35" s="39">
        <f>SUM(DE8:DE34)</f>
        <v>57559.922697599985</v>
      </c>
      <c r="DF35" s="5"/>
      <c r="DG35" s="39">
        <f>SUM(DG8:DG34)</f>
        <v>5551867.2675</v>
      </c>
      <c r="DH35" s="39">
        <f>SUM(DH8:DH34)</f>
        <v>1878273.2072568</v>
      </c>
      <c r="DI35" s="39">
        <f>SUM(DI8:DI34)</f>
        <v>7430140.474756801</v>
      </c>
      <c r="DJ35" s="39">
        <f>SUM(DJ8:DJ34)</f>
        <v>948378.9506183995</v>
      </c>
      <c r="DK35" s="39">
        <f>SUM(DK8:DK34)</f>
        <v>506671.3338768004</v>
      </c>
      <c r="DL35" s="5"/>
      <c r="DM35" s="39">
        <f>SUM(DM8:DM34)</f>
        <v>11494240.217500001</v>
      </c>
      <c r="DN35" s="39">
        <f>SUM(DN8:DN34)</f>
        <v>3888659.868488799</v>
      </c>
      <c r="DO35" s="39">
        <f>SUM(DO8:DO34)</f>
        <v>15382900.085988803</v>
      </c>
      <c r="DP35" s="39">
        <f>SUM(DP8:DP34)</f>
        <v>1963464.7138344008</v>
      </c>
      <c r="DQ35" s="39">
        <f>SUM(DQ8:DQ34)</f>
        <v>1048980.7739088002</v>
      </c>
      <c r="DR35" s="5"/>
      <c r="DS35" s="39">
        <f>SUM(DS8:DS34)</f>
        <v>510139.79750000004</v>
      </c>
      <c r="DT35" s="39">
        <f>SUM(DT8:DT34)</f>
        <v>172587.32376560004</v>
      </c>
      <c r="DU35" s="39">
        <f>SUM(DU8:DU34)</f>
        <v>682727.1212656001</v>
      </c>
      <c r="DV35" s="39">
        <f>SUM(DV8:DV34)</f>
        <v>87142.9057128</v>
      </c>
      <c r="DW35" s="39">
        <f>SUM(DW8:DW34)</f>
        <v>46556.0863056</v>
      </c>
      <c r="DX35" s="5"/>
      <c r="DY35" s="39">
        <f>SUM(DY8:DY34)</f>
        <v>565858.1125</v>
      </c>
      <c r="DZ35" s="39">
        <f>SUM(DZ8:DZ34)</f>
        <v>191437.59758799995</v>
      </c>
      <c r="EA35" s="39">
        <f>SUM(EA8:EA34)</f>
        <v>757295.710088</v>
      </c>
      <c r="EB35" s="39">
        <f>SUM(EB8:EB34)</f>
        <v>96660.79844400004</v>
      </c>
      <c r="EC35" s="39">
        <f>SUM(EC8:EC34)</f>
        <v>51641.01928799997</v>
      </c>
      <c r="ED35" s="5"/>
      <c r="EE35" s="39">
        <f>SUM(EE8:EE34)</f>
        <v>0</v>
      </c>
      <c r="EF35" s="39">
        <f>SUM(EF8:EF34)</f>
        <v>0</v>
      </c>
      <c r="EG35" s="39">
        <f>SUM(EG8:EG34)</f>
        <v>0</v>
      </c>
      <c r="EH35" s="3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21:153" ht="13.5" thickTop="1">
      <c r="U36" s="5"/>
      <c r="V36" s="5"/>
      <c r="W36" s="5"/>
      <c r="X36" s="5"/>
      <c r="Y36" s="5"/>
      <c r="AS36" s="5"/>
      <c r="AT36" s="5"/>
      <c r="AU36" s="5"/>
      <c r="AV36" s="5"/>
      <c r="AW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3:153" ht="12.75">
      <c r="C37" s="3">
        <f>I35+O35</f>
        <v>47275000</v>
      </c>
      <c r="D37" s="3">
        <f>J35+P35</f>
        <v>15993784</v>
      </c>
      <c r="E37" s="3">
        <f>K35+Q35</f>
        <v>63268783.99999999</v>
      </c>
      <c r="F37" s="3">
        <f>L35+R35</f>
        <v>8075591.999999999</v>
      </c>
      <c r="G37" s="3">
        <f>M35+S35</f>
        <v>4314384</v>
      </c>
      <c r="P37" s="5"/>
      <c r="U37" s="5"/>
      <c r="V37" s="5"/>
      <c r="W37" s="5"/>
      <c r="X37" s="5"/>
      <c r="Y37" s="5"/>
      <c r="AS37" s="5"/>
      <c r="AT37" s="5"/>
      <c r="AU37" s="5"/>
      <c r="AV37" s="5"/>
      <c r="AW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21:153" ht="12.75">
      <c r="U38" s="5"/>
      <c r="V38" s="5"/>
      <c r="W38" s="5"/>
      <c r="X38" s="5"/>
      <c r="Y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21:153" ht="12.75">
      <c r="U39" s="5"/>
      <c r="V39" s="5"/>
      <c r="W39" s="5"/>
      <c r="X39" s="5"/>
      <c r="Y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21:153" ht="12.75">
      <c r="U40" s="5"/>
      <c r="V40" s="5"/>
      <c r="W40" s="5"/>
      <c r="X40" s="5"/>
      <c r="Y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21:153" ht="12.75">
      <c r="U41" s="5"/>
      <c r="V41" s="5"/>
      <c r="W41" s="5"/>
      <c r="X41" s="5"/>
      <c r="Y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1:153" ht="12.75">
      <c r="A42"/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1:153" ht="12.75">
      <c r="A43"/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C48"/>
      <c r="D48"/>
      <c r="E48"/>
      <c r="F48"/>
      <c r="G48"/>
      <c r="I48"/>
      <c r="J48"/>
      <c r="K48"/>
      <c r="L48"/>
      <c r="M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1:15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1:15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1:15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1:15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1:153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1:153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3:153" ht="12.75">
      <c r="C69"/>
      <c r="D69"/>
      <c r="E69"/>
      <c r="F69"/>
      <c r="G69"/>
      <c r="H69"/>
      <c r="I69"/>
      <c r="J69"/>
      <c r="K69"/>
      <c r="L69"/>
      <c r="M69"/>
      <c r="N69"/>
      <c r="T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3:153" ht="12.75">
      <c r="C70"/>
      <c r="D70"/>
      <c r="E70"/>
      <c r="F70"/>
      <c r="G70"/>
      <c r="H70"/>
      <c r="I70"/>
      <c r="J70"/>
      <c r="K70"/>
      <c r="L70"/>
      <c r="M70"/>
      <c r="N70"/>
      <c r="T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3:153" ht="12.75">
      <c r="C71"/>
      <c r="D71"/>
      <c r="E71"/>
      <c r="F71"/>
      <c r="G71"/>
      <c r="H71"/>
      <c r="I71"/>
      <c r="J71"/>
      <c r="K71"/>
      <c r="L71"/>
      <c r="M71"/>
      <c r="N71"/>
      <c r="T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3:153" ht="12.75">
      <c r="C72"/>
      <c r="D72"/>
      <c r="E72"/>
      <c r="F72"/>
      <c r="G72"/>
      <c r="H72"/>
      <c r="I72"/>
      <c r="J72"/>
      <c r="K72"/>
      <c r="L72"/>
      <c r="M72"/>
      <c r="N72"/>
      <c r="T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3:153" ht="12.75">
      <c r="C73"/>
      <c r="D73"/>
      <c r="E73"/>
      <c r="F73"/>
      <c r="G73"/>
      <c r="H73"/>
      <c r="I73"/>
      <c r="J73"/>
      <c r="K73"/>
      <c r="L73"/>
      <c r="M73"/>
      <c r="N73"/>
      <c r="T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3:153" ht="12.75">
      <c r="C74"/>
      <c r="D74"/>
      <c r="E74"/>
      <c r="F74"/>
      <c r="G74"/>
      <c r="H74"/>
      <c r="I74"/>
      <c r="J74"/>
      <c r="K74"/>
      <c r="L74"/>
      <c r="M74"/>
      <c r="N74"/>
      <c r="T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1:153" ht="12.75">
      <c r="A75"/>
      <c r="C75"/>
      <c r="D75"/>
      <c r="E75"/>
      <c r="F75"/>
      <c r="G75"/>
      <c r="H75"/>
      <c r="N75"/>
      <c r="T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1:153" ht="12.75">
      <c r="A76"/>
      <c r="C76"/>
      <c r="D76"/>
      <c r="E76"/>
      <c r="F76"/>
      <c r="G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/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/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/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/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/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/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/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/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/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/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/>
      <c r="H91"/>
      <c r="I91"/>
      <c r="J91"/>
      <c r="K91"/>
      <c r="L91"/>
      <c r="M91"/>
      <c r="N91"/>
      <c r="T91"/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/>
      <c r="H92"/>
      <c r="I92"/>
      <c r="J92"/>
      <c r="K92"/>
      <c r="L92"/>
      <c r="M92"/>
      <c r="N92"/>
      <c r="T92"/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/>
      <c r="H93"/>
      <c r="I93"/>
      <c r="J93"/>
      <c r="K93"/>
      <c r="L93"/>
      <c r="M93"/>
      <c r="N93"/>
      <c r="T93"/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/>
      <c r="H94"/>
      <c r="I94"/>
      <c r="J94"/>
      <c r="K94"/>
      <c r="L94"/>
      <c r="M94"/>
      <c r="N94"/>
      <c r="T94"/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/>
      <c r="H95"/>
      <c r="I95"/>
      <c r="J95"/>
      <c r="K95"/>
      <c r="L95"/>
      <c r="M95"/>
      <c r="N95"/>
      <c r="T95"/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/>
      <c r="H96"/>
      <c r="I96"/>
      <c r="J96"/>
      <c r="K96"/>
      <c r="L96"/>
      <c r="M96"/>
      <c r="N96"/>
      <c r="T96"/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/>
      <c r="H97"/>
      <c r="I97"/>
      <c r="J97"/>
      <c r="K97"/>
      <c r="L97"/>
      <c r="M97"/>
      <c r="N97"/>
      <c r="T97"/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/>
      <c r="H98"/>
      <c r="I98"/>
      <c r="J98"/>
      <c r="K98"/>
      <c r="L98"/>
      <c r="M98"/>
      <c r="N98"/>
      <c r="T98"/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/>
      <c r="H99"/>
      <c r="I99"/>
      <c r="J99"/>
      <c r="K99"/>
      <c r="L99"/>
      <c r="M99"/>
      <c r="N99"/>
      <c r="T99"/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T100"/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T101"/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T102"/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T103"/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T104"/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T105"/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T106"/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T107"/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T108"/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T109"/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T110"/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T111"/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T112"/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T113"/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T114"/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T115"/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T116"/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T117"/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T118"/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T119"/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T120"/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T121"/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T122"/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T123"/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T124"/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T125"/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T126"/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T127"/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T128"/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T129"/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T130"/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T131"/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T132"/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T133"/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T134"/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T135"/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T136"/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T137"/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T138"/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T139"/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T140"/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T141"/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T142"/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T143"/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T144"/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T145"/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T146"/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T147"/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T148"/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T149"/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T150"/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T151"/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T152"/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T153"/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T154"/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T155"/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T156"/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T157"/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T158"/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T159"/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T160"/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T161"/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T162"/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T163"/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T164"/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T165"/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T166"/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T167"/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T168"/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T169"/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T170"/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T171"/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T172"/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T173"/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T174"/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T175"/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T176"/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T177"/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T178"/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T179"/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T180"/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T181"/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T182"/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T183"/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T184"/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T185"/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T186"/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T187"/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T188"/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T189"/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T190"/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T191"/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T192"/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T193"/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T194"/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T195"/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T196"/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T197"/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T198"/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T199"/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T200"/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T201"/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T202"/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T203"/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T204"/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T205"/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T206"/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T207"/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T208"/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T209"/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T210"/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T211"/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T212"/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T213"/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T214"/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T215"/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T216"/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T217"/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T218"/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T219"/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T220"/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T221"/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T222"/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T223"/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T224"/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T225"/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T226"/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T227"/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T228"/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T229"/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T230"/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T231"/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T232"/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T233"/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T234"/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T235"/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T236"/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T237"/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T238"/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T239"/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T240"/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T241"/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T242"/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T243"/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T244"/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T245"/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T246"/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T247"/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T248"/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T249"/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T250"/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T251"/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T252"/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T253"/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T254"/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T255"/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T256"/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T257"/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T258"/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T259"/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T260"/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T261"/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T262"/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T263"/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T264"/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T265"/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T266"/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T267"/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T268"/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T269"/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T270"/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T271"/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T272"/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T273"/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T274"/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T275"/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T276"/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T277"/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T278"/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T279"/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T280"/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T281"/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T282"/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T283"/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T284"/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T285"/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T286"/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T287"/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T288"/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T289"/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T290"/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T291"/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T292"/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T293"/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T294"/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T295"/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T296"/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T297"/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T298"/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T299"/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T300"/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T301"/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T302"/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T303"/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T304"/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T305"/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T306"/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T307"/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T308"/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T309"/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T310"/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T311"/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T312"/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T313"/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T314"/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T315"/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T316"/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T317"/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T318"/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T319"/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T320"/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T321"/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T322"/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T323"/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T324"/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T325"/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T326"/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T327"/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T328"/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T329"/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T330"/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T331"/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T332"/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T333"/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T334"/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T335"/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T336"/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T337"/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T338"/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T339"/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T340"/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T341"/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T342"/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T343"/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T344"/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T345"/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T346"/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T347"/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T348"/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T349"/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T350"/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T351"/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T352"/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T353"/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T354"/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T355"/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T356"/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T357"/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T358"/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T359"/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T360"/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T361"/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T362"/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T363"/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T364"/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T365"/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T366"/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T367"/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T368"/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T369"/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T370"/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T371"/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T372"/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T373"/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T374"/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T375"/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T376"/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T377"/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T378"/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T379"/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T380"/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T381"/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T382"/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T383"/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T384"/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T385"/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T386"/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T387"/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T388"/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T389"/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T390"/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T391"/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T392"/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T393"/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T394"/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T395"/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T396"/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T397"/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T398"/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T399"/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T400"/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T401"/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T402"/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T403"/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T404"/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T405"/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T406"/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T407"/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T408"/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T409"/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T410"/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T411"/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T412"/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T413"/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T414"/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T415"/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T416"/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T417"/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T418"/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T419"/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T420"/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T421"/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T422"/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T423"/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T424"/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T425"/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T426"/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T427"/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T428"/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T429"/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T430"/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T431"/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T432"/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T433"/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T434"/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T435"/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T436"/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T437"/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T438"/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T439"/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T440"/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T441"/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T442"/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T443"/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T444"/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T445"/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T446"/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T447"/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T448"/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T449"/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T450"/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T451"/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T452"/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T453"/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T454"/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T455"/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T456"/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T457"/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T458"/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T459"/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T460"/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T461"/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T462"/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T463"/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T464"/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T465"/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T466"/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T467"/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T468"/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T469"/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T470"/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T471"/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T472"/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T473"/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T474"/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T475"/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T476"/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T477"/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T478"/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T479"/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T480"/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T481"/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T482"/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T483"/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T484"/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T485"/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T486"/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T487"/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T488"/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T489"/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T490"/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T491"/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T492"/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T493"/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T494"/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T495"/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T496"/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T497"/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T498"/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T499"/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T500"/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T501"/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T502"/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T503"/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T504"/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T505"/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T506"/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T507"/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T508"/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T509"/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T510"/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T511"/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T512"/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T513"/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T514"/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T515"/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T516"/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T517"/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T518"/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T519"/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T520"/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T521"/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T522"/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T523"/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T524"/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T525"/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T526"/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T527"/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T528"/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T529"/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T530"/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T531"/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T532"/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T533"/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T534"/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T535"/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T536"/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T537"/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T538"/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T539"/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T540"/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T541"/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T542"/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T543"/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T544"/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T545"/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T546"/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T547"/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T548"/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T549"/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T550"/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T551"/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T552"/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T553"/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T554"/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T555"/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T556"/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T557"/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1:153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T558"/>
      <c r="U558" s="5"/>
      <c r="V558" s="5"/>
      <c r="W558" s="5"/>
      <c r="X558" s="5"/>
      <c r="Y558" s="5"/>
      <c r="AS558" s="5"/>
      <c r="AT558" s="5"/>
      <c r="AU558" s="5"/>
      <c r="AV558" s="5"/>
      <c r="AW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1:153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T559"/>
      <c r="U559" s="5"/>
      <c r="V559" s="5"/>
      <c r="W559" s="5"/>
      <c r="X559" s="5"/>
      <c r="Y559" s="5"/>
      <c r="AS559" s="5"/>
      <c r="AT559" s="5"/>
      <c r="AU559" s="5"/>
      <c r="AV559" s="5"/>
      <c r="AW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  <row r="560" spans="1:153" ht="12.75">
      <c r="A560"/>
      <c r="C560"/>
      <c r="D560"/>
      <c r="E560"/>
      <c r="F560"/>
      <c r="G560"/>
      <c r="H560"/>
      <c r="I560"/>
      <c r="J560"/>
      <c r="K560"/>
      <c r="L560"/>
      <c r="M560"/>
      <c r="N560"/>
      <c r="T560"/>
      <c r="U560" s="5"/>
      <c r="V560" s="5"/>
      <c r="W560" s="5"/>
      <c r="X560" s="5"/>
      <c r="Y560" s="5"/>
      <c r="AS560" s="5"/>
      <c r="AT560" s="5"/>
      <c r="AU560" s="5"/>
      <c r="AV560" s="5"/>
      <c r="AW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</row>
    <row r="561" spans="1:153" ht="12.75">
      <c r="A561"/>
      <c r="C561"/>
      <c r="D561"/>
      <c r="E561"/>
      <c r="F561"/>
      <c r="G561"/>
      <c r="H561"/>
      <c r="I561"/>
      <c r="J561"/>
      <c r="K561"/>
      <c r="L561"/>
      <c r="M561"/>
      <c r="N561"/>
      <c r="T561"/>
      <c r="U561" s="5"/>
      <c r="V561" s="5"/>
      <c r="W561" s="5"/>
      <c r="X561" s="5"/>
      <c r="Y561" s="5"/>
      <c r="AS561" s="5"/>
      <c r="AT561" s="5"/>
      <c r="AU561" s="5"/>
      <c r="AV561" s="5"/>
      <c r="AW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</row>
    <row r="562" spans="1:153" ht="12.75">
      <c r="A562"/>
      <c r="C562"/>
      <c r="D562"/>
      <c r="E562"/>
      <c r="F562"/>
      <c r="G562"/>
      <c r="H562"/>
      <c r="I562"/>
      <c r="J562"/>
      <c r="K562"/>
      <c r="L562"/>
      <c r="M562"/>
      <c r="N562"/>
      <c r="T562"/>
      <c r="U562" s="5"/>
      <c r="V562" s="5"/>
      <c r="W562" s="5"/>
      <c r="X562" s="5"/>
      <c r="Y562" s="5"/>
      <c r="AS562" s="5"/>
      <c r="AT562" s="5"/>
      <c r="AU562" s="5"/>
      <c r="AV562" s="5"/>
      <c r="AW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</row>
    <row r="563" spans="1:153" ht="12.75">
      <c r="A563"/>
      <c r="C563"/>
      <c r="D563"/>
      <c r="E563"/>
      <c r="F563"/>
      <c r="G563"/>
      <c r="H563"/>
      <c r="I563"/>
      <c r="J563"/>
      <c r="K563"/>
      <c r="L563"/>
      <c r="M563"/>
      <c r="N563"/>
      <c r="T563"/>
      <c r="U563" s="5"/>
      <c r="V563" s="5"/>
      <c r="W563" s="5"/>
      <c r="X563" s="5"/>
      <c r="Y563" s="5"/>
      <c r="AS563" s="5"/>
      <c r="AT563" s="5"/>
      <c r="AU563" s="5"/>
      <c r="AV563" s="5"/>
      <c r="AW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</row>
    <row r="564" spans="1:153" ht="12.75">
      <c r="A564"/>
      <c r="C564"/>
      <c r="D564"/>
      <c r="E564"/>
      <c r="F564"/>
      <c r="G564"/>
      <c r="H564"/>
      <c r="I564"/>
      <c r="J564"/>
      <c r="K564"/>
      <c r="L564"/>
      <c r="M564"/>
      <c r="N564"/>
      <c r="T564"/>
      <c r="U564" s="5"/>
      <c r="V564" s="5"/>
      <c r="W564" s="5"/>
      <c r="X564" s="5"/>
      <c r="Y564" s="5"/>
      <c r="AS564" s="5"/>
      <c r="AT564" s="5"/>
      <c r="AU564" s="5"/>
      <c r="AV564" s="5"/>
      <c r="AW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</row>
    <row r="565" spans="1:153" ht="12.75">
      <c r="A565"/>
      <c r="C565"/>
      <c r="D565"/>
      <c r="E565"/>
      <c r="F565"/>
      <c r="G565"/>
      <c r="H565"/>
      <c r="I565"/>
      <c r="J565"/>
      <c r="K565"/>
      <c r="L565"/>
      <c r="M565"/>
      <c r="N565"/>
      <c r="T565"/>
      <c r="U565" s="5"/>
      <c r="V565" s="5"/>
      <c r="W565" s="5"/>
      <c r="X565" s="5"/>
      <c r="Y565" s="5"/>
      <c r="AS565" s="5"/>
      <c r="AT565" s="5"/>
      <c r="AU565" s="5"/>
      <c r="AV565" s="5"/>
      <c r="AW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</row>
  </sheetData>
  <sheetProtection/>
  <printOptions/>
  <pageMargins left="0.75" right="0.75" top="1" bottom="1" header="0.3" footer="0.3"/>
  <pageSetup orientation="landscape" scale="89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75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5" sqref="I15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3"/>
      <c r="M5" s="31"/>
      <c r="O5" s="41" t="s">
        <v>17</v>
      </c>
      <c r="P5" s="14"/>
      <c r="Q5" s="15"/>
      <c r="R5" s="73"/>
      <c r="S5" s="31"/>
      <c r="U5" s="41" t="s">
        <v>18</v>
      </c>
      <c r="V5" s="14"/>
      <c r="W5" s="15"/>
      <c r="X5" s="73"/>
      <c r="Y5" s="31"/>
      <c r="AA5" s="74" t="s">
        <v>161</v>
      </c>
      <c r="AB5" s="14"/>
      <c r="AC5" s="15"/>
      <c r="AD5" s="73"/>
      <c r="AE5" s="31"/>
      <c r="AG5" s="74" t="s">
        <v>162</v>
      </c>
      <c r="AH5" s="14"/>
      <c r="AI5" s="15"/>
      <c r="AJ5" s="73"/>
      <c r="AK5" s="31"/>
      <c r="AM5" s="41" t="s">
        <v>19</v>
      </c>
      <c r="AN5" s="14"/>
      <c r="AO5" s="15"/>
      <c r="AP5" s="73"/>
      <c r="AQ5" s="31"/>
      <c r="AS5" s="41" t="s">
        <v>20</v>
      </c>
      <c r="AT5" s="14"/>
      <c r="AU5" s="15"/>
      <c r="AV5" s="73"/>
      <c r="AW5" s="31"/>
      <c r="AY5" s="41" t="s">
        <v>21</v>
      </c>
      <c r="AZ5" s="14"/>
      <c r="BA5" s="15"/>
      <c r="BB5" s="73"/>
      <c r="BC5" s="31"/>
      <c r="BE5" s="41" t="s">
        <v>22</v>
      </c>
      <c r="BF5" s="14"/>
      <c r="BG5" s="15"/>
      <c r="BH5" s="73"/>
      <c r="BI5" s="31"/>
      <c r="BK5" s="13" t="s">
        <v>23</v>
      </c>
      <c r="BL5" s="14"/>
      <c r="BM5" s="15"/>
      <c r="BN5" s="73"/>
      <c r="BO5" s="31"/>
      <c r="BQ5" s="41" t="s">
        <v>126</v>
      </c>
      <c r="BR5" s="14"/>
      <c r="BS5" s="15"/>
      <c r="BT5" s="73"/>
      <c r="BU5" s="31"/>
      <c r="BW5" s="13" t="s">
        <v>96</v>
      </c>
      <c r="BX5" s="14"/>
      <c r="BY5" s="15"/>
      <c r="BZ5" s="73"/>
      <c r="CA5" s="31"/>
      <c r="CC5" s="13" t="s">
        <v>158</v>
      </c>
      <c r="CD5" s="14"/>
      <c r="CE5" s="15"/>
      <c r="CF5" s="73"/>
      <c r="CG5" s="31"/>
      <c r="CI5" s="13" t="s">
        <v>24</v>
      </c>
      <c r="CJ5" s="14"/>
      <c r="CK5" s="15"/>
      <c r="CL5" s="73"/>
      <c r="CM5" s="31"/>
      <c r="CO5" s="41" t="s">
        <v>127</v>
      </c>
      <c r="CP5" s="14"/>
      <c r="CQ5" s="15"/>
      <c r="CR5" s="73"/>
      <c r="CS5" s="31"/>
      <c r="CU5" s="41" t="s">
        <v>25</v>
      </c>
      <c r="CV5" s="14"/>
      <c r="CW5" s="15"/>
      <c r="CX5" s="73"/>
      <c r="CY5" s="31"/>
      <c r="DA5" s="41" t="s">
        <v>128</v>
      </c>
      <c r="DB5" s="14"/>
      <c r="DC5" s="15"/>
      <c r="DD5" s="73"/>
      <c r="DE5" s="31"/>
      <c r="DG5" s="41" t="s">
        <v>146</v>
      </c>
      <c r="DH5" s="16"/>
      <c r="DI5" s="15"/>
      <c r="DJ5" s="73"/>
      <c r="DK5" s="31"/>
      <c r="DM5" s="41" t="s">
        <v>26</v>
      </c>
      <c r="DN5" s="16"/>
      <c r="DO5" s="15"/>
      <c r="DP5" s="73"/>
      <c r="DQ5" s="31"/>
      <c r="DS5" s="13" t="s">
        <v>27</v>
      </c>
      <c r="DT5" s="16"/>
      <c r="DU5" s="15"/>
      <c r="DV5" s="73"/>
      <c r="DW5" s="31"/>
      <c r="DY5" s="13" t="s">
        <v>28</v>
      </c>
      <c r="DZ5" s="16"/>
      <c r="EA5" s="15"/>
      <c r="EB5" s="73"/>
      <c r="EC5" s="31"/>
      <c r="EE5" s="13" t="s">
        <v>97</v>
      </c>
      <c r="EF5" s="16"/>
      <c r="EG5" s="15"/>
      <c r="EH5" s="73"/>
      <c r="EI5" s="31"/>
      <c r="EK5" s="41" t="s">
        <v>129</v>
      </c>
      <c r="EL5" s="16"/>
      <c r="EM5" s="15"/>
      <c r="EN5" s="73"/>
      <c r="EO5" s="31"/>
      <c r="EP5" s="42"/>
      <c r="EQ5" s="13" t="s">
        <v>29</v>
      </c>
      <c r="ER5" s="16"/>
      <c r="ES5" s="15"/>
      <c r="ET5" s="73"/>
      <c r="EU5" s="31"/>
      <c r="EV5" s="43"/>
    </row>
    <row r="6" spans="1:152" ht="12.75">
      <c r="A6" s="22" t="s">
        <v>13</v>
      </c>
      <c r="B6" s="8"/>
      <c r="C6" s="41" t="s">
        <v>135</v>
      </c>
      <c r="D6" s="14"/>
      <c r="E6" s="40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4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4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4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4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4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4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4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4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4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4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4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4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4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4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4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4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4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4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4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4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4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4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2"/>
      <c r="EQ6" s="44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3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165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165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165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165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165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165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165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165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165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165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165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165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165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165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165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165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165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165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165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165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165</v>
      </c>
      <c r="EP7" s="45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165</v>
      </c>
      <c r="EV7" s="72"/>
      <c r="EW7" s="34"/>
    </row>
    <row r="8" spans="1:151" ht="12.75">
      <c r="A8" s="37">
        <v>43374</v>
      </c>
      <c r="D8" s="3">
        <v>1038966</v>
      </c>
      <c r="E8" s="35">
        <f aca="true" t="shared" si="0" ref="E8:E33">C8+D8</f>
        <v>1038966</v>
      </c>
      <c r="F8" s="35">
        <v>336483</v>
      </c>
      <c r="G8" s="35">
        <v>179766</v>
      </c>
      <c r="I8" s="46"/>
      <c r="J8" s="36">
        <f aca="true" t="shared" si="1" ref="J8:J33">P8+V8+AN8+AT8+BL8+BR8+BX8+CJ8+CP8+CV8+DN8+DT8+EL8+AB8+AZ8+BF8+DZ8+EF8+ER8+DB8+DH8+AH8+CD8</f>
        <v>156595.03345200003</v>
      </c>
      <c r="K8" s="36">
        <f aca="true" t="shared" si="2" ref="K8:K33">I8+J8</f>
        <v>156595.03345200003</v>
      </c>
      <c r="L8" s="36">
        <f aca="true" t="shared" si="3" ref="L8:M33">R8+X8+AP8+AV8+BN8+BT8+BZ8+CL8+CR8+CX8+DP8+DV8+EN8+AD8+BB8+BH8+EB8+EH8+ET8+DD8+DJ8+AJ8+CF8</f>
        <v>50715.390726000005</v>
      </c>
      <c r="M8" s="36">
        <f t="shared" si="3"/>
        <v>27094.691052000002</v>
      </c>
      <c r="P8" s="5">
        <f aca="true" t="shared" si="4" ref="P8:P33">D8*$Q$6</f>
        <v>65095.7913504</v>
      </c>
      <c r="Q8" s="5">
        <f aca="true" t="shared" si="5" ref="Q8:Q33">O8+P8</f>
        <v>65095.7913504</v>
      </c>
      <c r="R8" s="35">
        <f aca="true" t="shared" si="6" ref="R8:R33">Q$6*$F8</f>
        <v>21082.140475199998</v>
      </c>
      <c r="S8" s="35">
        <f aca="true" t="shared" si="7" ref="S8:S31">Q$6*$G8</f>
        <v>11263.1308704</v>
      </c>
      <c r="V8" s="36">
        <f aca="true" t="shared" si="8" ref="V8:V33">D8*$W$6</f>
        <v>28.7793582</v>
      </c>
      <c r="W8" s="36">
        <f aca="true" t="shared" si="9" ref="W8:W33">U8+V8</f>
        <v>28.7793582</v>
      </c>
      <c r="X8" s="35">
        <f aca="true" t="shared" si="10" ref="X8:X33">W$6*$F8</f>
        <v>9.3205791</v>
      </c>
      <c r="Y8" s="35">
        <f aca="true" t="shared" si="11" ref="Y8:Y31">W$6*$G8</f>
        <v>4.9795182</v>
      </c>
      <c r="AB8" s="5">
        <f aca="true" t="shared" si="12" ref="AB8:AB33">D8*$AC$6</f>
        <v>1288.6295298</v>
      </c>
      <c r="AC8" s="5">
        <f aca="true" t="shared" si="13" ref="AC8:AC33">AA8+AB8</f>
        <v>1288.6295298</v>
      </c>
      <c r="AD8" s="35">
        <f aca="true" t="shared" si="14" ref="AD8:AD33">AC$6*$F8</f>
        <v>417.3398649</v>
      </c>
      <c r="AE8" s="35">
        <f aca="true" t="shared" si="15" ref="AE8:AE31">AC$6*$G8</f>
        <v>222.9637698</v>
      </c>
      <c r="AH8" s="5">
        <f aca="true" t="shared" si="16" ref="AH8:AH33">D8*$AI$6</f>
        <v>776.0037054</v>
      </c>
      <c r="AI8" s="5">
        <f aca="true" t="shared" si="17" ref="AI8:AI33">AG8+AH8</f>
        <v>776.0037054</v>
      </c>
      <c r="AJ8" s="35">
        <f aca="true" t="shared" si="18" ref="AJ8:AJ33">AI$6*$F8</f>
        <v>251.3191527</v>
      </c>
      <c r="AK8" s="35">
        <f aca="true" t="shared" si="19" ref="AK8:AK31">AI$6*$G8</f>
        <v>134.2672254</v>
      </c>
      <c r="AN8" s="5">
        <f aca="true" t="shared" si="20" ref="AN8:AN33">D8*$AO$6</f>
        <v>5767.300266</v>
      </c>
      <c r="AO8" s="5">
        <f aca="true" t="shared" si="21" ref="AO8:AO33">AM8+AN8</f>
        <v>5767.300266</v>
      </c>
      <c r="AP8" s="35">
        <f aca="true" t="shared" si="22" ref="AP8:AP33">AO$6*$F8</f>
        <v>1867.8171330000002</v>
      </c>
      <c r="AQ8" s="35">
        <f aca="true" t="shared" si="23" ref="AQ8:AQ31">AO$6*$G8</f>
        <v>997.881066</v>
      </c>
      <c r="AT8" s="5">
        <f aca="true" t="shared" si="24" ref="AT8:AT33">D8*$AU$6</f>
        <v>1787.2293132</v>
      </c>
      <c r="AU8" s="5">
        <f aca="true" t="shared" si="25" ref="AU8:AU33">AS8+AT8</f>
        <v>1787.2293132</v>
      </c>
      <c r="AV8" s="35">
        <f aca="true" t="shared" si="26" ref="AV8:AV33">AU$6*$F8</f>
        <v>578.8180566</v>
      </c>
      <c r="AW8" s="35">
        <f aca="true" t="shared" si="27" ref="AW8:AW31">AU$6*$G8</f>
        <v>309.2334732</v>
      </c>
      <c r="AZ8" s="5">
        <f aca="true" t="shared" si="28" ref="AZ8:AZ33">D8*$BA$6</f>
        <v>3364.7952876</v>
      </c>
      <c r="BA8" s="5">
        <f aca="true" t="shared" si="29" ref="BA8:BA33">AY8+AZ8</f>
        <v>3364.7952876</v>
      </c>
      <c r="BB8" s="35">
        <f aca="true" t="shared" si="30" ref="BB8:BB33">BA$6*$F8</f>
        <v>1089.7338438</v>
      </c>
      <c r="BC8" s="35">
        <f aca="true" t="shared" si="31" ref="BC8:BC31">BA$6*$G8</f>
        <v>582.1901676</v>
      </c>
      <c r="BF8" s="5">
        <f aca="true" t="shared" si="32" ref="BF8:BF33">D8*$BG$6</f>
        <v>712.5228827999999</v>
      </c>
      <c r="BG8" s="5">
        <f aca="true" t="shared" si="33" ref="BG8:BG33">BE8+BF8</f>
        <v>712.5228827999999</v>
      </c>
      <c r="BH8" s="35">
        <f aca="true" t="shared" si="34" ref="BH8:BH33">BG$6*$F8</f>
        <v>230.76004139999998</v>
      </c>
      <c r="BI8" s="35">
        <f aca="true" t="shared" si="35" ref="BI8:BI31">BG$6*$G8</f>
        <v>123.2835228</v>
      </c>
      <c r="BL8" s="5">
        <f aca="true" t="shared" si="36" ref="BL8:BL33">D8*$BM$6</f>
        <v>12704.7879378</v>
      </c>
      <c r="BM8" s="5">
        <f aca="true" t="shared" si="37" ref="BM8:BM33">BK8+BL8</f>
        <v>12704.7879378</v>
      </c>
      <c r="BN8" s="35">
        <f aca="true" t="shared" si="38" ref="BN8:BN33">BM$6*$F8</f>
        <v>4114.6150689</v>
      </c>
      <c r="BO8" s="35">
        <f aca="true" t="shared" si="39" ref="BO8:BO31">BM$6*$G8</f>
        <v>2198.2325778</v>
      </c>
      <c r="BQ8" s="36"/>
      <c r="BR8" s="5">
        <f aca="true" t="shared" si="40" ref="BR8:BR33">D8*$BS$6</f>
        <v>5882.4176988</v>
      </c>
      <c r="BS8" s="36">
        <f aca="true" t="shared" si="41" ref="BS8:BS33">BQ8+BR8</f>
        <v>5882.4176988</v>
      </c>
      <c r="BT8" s="35">
        <f aca="true" t="shared" si="42" ref="BT8:BT33">BS$6*$F8</f>
        <v>1905.0994494</v>
      </c>
      <c r="BU8" s="35">
        <f aca="true" t="shared" si="43" ref="BU8:BU31">BS$6*$G8</f>
        <v>1017.7991387999999</v>
      </c>
      <c r="BX8" s="5">
        <f aca="true" t="shared" si="44" ref="BX8:BX33">D8*$BY$6</f>
        <v>2817.2602056</v>
      </c>
      <c r="BY8" s="5">
        <f aca="true" t="shared" si="45" ref="BY8:BY33">BW8+BX8</f>
        <v>2817.2602056</v>
      </c>
      <c r="BZ8" s="35">
        <f aca="true" t="shared" si="46" ref="BZ8:BZ33">BY$6*$F8</f>
        <v>912.4073028</v>
      </c>
      <c r="CA8" s="35">
        <f aca="true" t="shared" si="47" ref="CA8:CA31">BY$6*$G8</f>
        <v>487.4534856</v>
      </c>
      <c r="CC8" s="5">
        <f aca="true" t="shared" si="48" ref="CC8:CC33">C8*$CE$6</f>
        <v>0</v>
      </c>
      <c r="CD8" s="5">
        <f aca="true" t="shared" si="49" ref="CD8:CD33">D8*$CE$6</f>
        <v>415.6902966</v>
      </c>
      <c r="CE8" s="5">
        <f aca="true" t="shared" si="50" ref="CE8:CE33">CC8+CD8</f>
        <v>415.6902966</v>
      </c>
      <c r="CF8" s="35">
        <f aca="true" t="shared" si="51" ref="CF8:CF33">CE$6*$F8</f>
        <v>134.6268483</v>
      </c>
      <c r="CG8" s="35">
        <f aca="true" t="shared" si="52" ref="CG8:CG31">CE$6*$G8</f>
        <v>71.9243766</v>
      </c>
      <c r="CJ8" s="5">
        <f aca="true" t="shared" si="53" ref="CJ8:CJ33">D8*$CK$6</f>
        <v>1843.0217874</v>
      </c>
      <c r="CK8" s="5">
        <f aca="true" t="shared" si="54" ref="CK8:CK33">CI8+CJ8</f>
        <v>1843.0217874</v>
      </c>
      <c r="CL8" s="35">
        <f aca="true" t="shared" si="55" ref="CL8:CL33">CK$6*$F8</f>
        <v>596.8871937</v>
      </c>
      <c r="CM8" s="35">
        <f aca="true" t="shared" si="56" ref="CM8:CM31">CK$6*$G8</f>
        <v>318.8869074</v>
      </c>
      <c r="CP8" s="5">
        <f aca="true" t="shared" si="57" ref="CP8:CP33">D8*$CQ$6</f>
        <v>253.81939379999997</v>
      </c>
      <c r="CQ8" s="5">
        <f aca="true" t="shared" si="58" ref="CQ8:CQ33">CO8+CP8</f>
        <v>253.81939379999997</v>
      </c>
      <c r="CR8" s="35">
        <f aca="true" t="shared" si="59" ref="CR8:CR33">CQ$6*$F8</f>
        <v>82.2027969</v>
      </c>
      <c r="CS8" s="35">
        <f aca="true" t="shared" si="60" ref="CS8:CS31">CQ$6*$G8</f>
        <v>43.91683379999999</v>
      </c>
      <c r="CV8" s="5">
        <f aca="true" t="shared" si="61" ref="CV8:CV33">D8*$CW$6</f>
        <v>5294.9863224</v>
      </c>
      <c r="CW8" s="5">
        <f aca="true" t="shared" si="62" ref="CW8:CW33">CU8+CV8</f>
        <v>5294.9863224</v>
      </c>
      <c r="CX8" s="35">
        <f aca="true" t="shared" si="63" ref="CX8:CX33">CW$6*$F8</f>
        <v>1714.8519612</v>
      </c>
      <c r="CY8" s="35">
        <f aca="true" t="shared" si="64" ref="CY8:CY31">CW$6*$G8</f>
        <v>916.1594424</v>
      </c>
      <c r="DB8" s="5">
        <f aca="true" t="shared" si="65" ref="DB8:DB33">D8*$DC$6</f>
        <v>1025.6672351999998</v>
      </c>
      <c r="DC8" s="5">
        <f aca="true" t="shared" si="66" ref="DC8:DC33">DA8+DB8</f>
        <v>1025.6672351999998</v>
      </c>
      <c r="DD8" s="35">
        <f aca="true" t="shared" si="67" ref="DD8:DD33">DC$6*$F8</f>
        <v>332.17601759999997</v>
      </c>
      <c r="DE8" s="35">
        <f aca="true" t="shared" si="68" ref="DE8:DE31">DC$6*$G8</f>
        <v>177.46499519999998</v>
      </c>
      <c r="DH8" s="5">
        <f aca="true" t="shared" si="69" ref="DH8:DH33">D8*$DI$6</f>
        <v>1356.9934925999999</v>
      </c>
      <c r="DI8" s="36">
        <f aca="true" t="shared" si="70" ref="DI8:DI33">DG8+DH8</f>
        <v>1356.9934925999999</v>
      </c>
      <c r="DJ8" s="35">
        <f aca="true" t="shared" si="71" ref="DJ8:DJ33">DI$6*$F8</f>
        <v>439.4804463</v>
      </c>
      <c r="DK8" s="35">
        <f aca="true" t="shared" si="72" ref="DK8:DK31">DI$6*$G8</f>
        <v>234.7923726</v>
      </c>
      <c r="DN8" s="5">
        <f aca="true" t="shared" si="73" ref="DN8:DN33">D8*$DO$6</f>
        <v>4411.2418428</v>
      </c>
      <c r="DO8" s="36">
        <f aca="true" t="shared" si="74" ref="DO8:DO33">DM8+DN8</f>
        <v>4411.2418428</v>
      </c>
      <c r="DP8" s="35">
        <f aca="true" t="shared" si="75" ref="DP8:DP33">DO$6*$F8</f>
        <v>1428.6395214</v>
      </c>
      <c r="DQ8" s="35">
        <f aca="true" t="shared" si="76" ref="DQ8:DQ31">DO$6*$G8</f>
        <v>763.2504828</v>
      </c>
      <c r="DT8" s="5">
        <f aca="true" t="shared" si="77" ref="DT8:DT33">D8*$DU$6</f>
        <v>2593.3630325999998</v>
      </c>
      <c r="DU8" s="5">
        <f aca="true" t="shared" si="78" ref="DU8:DU33">DS8+DT8</f>
        <v>2593.3630325999998</v>
      </c>
      <c r="DV8" s="35">
        <f aca="true" t="shared" si="79" ref="DV8:DV33">DU$6*$F8</f>
        <v>839.8952162999999</v>
      </c>
      <c r="DW8" s="35">
        <f aca="true" t="shared" si="80" ref="DW8:DW31">DU$6*$G8</f>
        <v>448.71391259999996</v>
      </c>
      <c r="DZ8" s="5">
        <f aca="true" t="shared" si="81" ref="DZ8:DZ33">D8*$EA$6</f>
        <v>2927.4944981999997</v>
      </c>
      <c r="EA8" s="5">
        <f aca="true" t="shared" si="82" ref="EA8:EA33">DY8+DZ8</f>
        <v>2927.4944981999997</v>
      </c>
      <c r="EB8" s="35">
        <f aca="true" t="shared" si="83" ref="EB8:EB33">EA$6*$F8</f>
        <v>948.1081490999999</v>
      </c>
      <c r="EC8" s="35">
        <f aca="true" t="shared" si="84" ref="EC8:EC31">EA$6*$G8</f>
        <v>506.5266582</v>
      </c>
      <c r="EF8" s="5">
        <f aca="true" t="shared" si="85" ref="EF8:EF33">D8*$EG$6</f>
        <v>33894.4995078</v>
      </c>
      <c r="EG8" s="5">
        <f aca="true" t="shared" si="86" ref="EG8:EG33">EE8+EF8</f>
        <v>33894.4995078</v>
      </c>
      <c r="EH8" s="35">
        <f aca="true" t="shared" si="87" ref="EH8:EH33">EG$6*$F8</f>
        <v>10977.1858539</v>
      </c>
      <c r="EI8" s="35">
        <f aca="true" t="shared" si="88" ref="EI8:EI31">EG$6*$G8</f>
        <v>5864.5601478</v>
      </c>
      <c r="EL8" s="5">
        <f aca="true" t="shared" si="89" ref="EL8:EL33">D8*$EM$6</f>
        <v>1248.0059592</v>
      </c>
      <c r="EM8" s="36">
        <f aca="true" t="shared" si="90" ref="EM8:EM33">EK8+EL8</f>
        <v>1248.0059592</v>
      </c>
      <c r="EN8" s="35">
        <f aca="true" t="shared" si="91" ref="EN8:EN33">EM$6*$F8</f>
        <v>404.18337959999997</v>
      </c>
      <c r="EO8" s="35">
        <f aca="true" t="shared" si="92" ref="EO8:EO31">EM$6*$G8</f>
        <v>215.9349192</v>
      </c>
      <c r="ER8" s="36">
        <f aca="true" t="shared" si="93" ref="ER8:ER33">D8*$ES$6</f>
        <v>1104.7325478</v>
      </c>
      <c r="ES8" s="36">
        <f aca="true" t="shared" si="94" ref="ES8:ES33">EQ8+ER8</f>
        <v>1104.7325478</v>
      </c>
      <c r="ET8" s="35">
        <f aca="true" t="shared" si="95" ref="ET8:ET33">ES$6*$F8</f>
        <v>357.78237390000004</v>
      </c>
      <c r="EU8" s="35">
        <f aca="true" t="shared" si="96" ref="EU8:EU31">ES$6*$G8</f>
        <v>191.14518780000003</v>
      </c>
    </row>
    <row r="9" spans="1:151" ht="12.75">
      <c r="A9" s="37">
        <v>43556</v>
      </c>
      <c r="C9" s="3">
        <v>10000</v>
      </c>
      <c r="D9" s="3">
        <v>1038966</v>
      </c>
      <c r="E9" s="35">
        <f t="shared" si="0"/>
        <v>1048966</v>
      </c>
      <c r="F9" s="35">
        <v>336483</v>
      </c>
      <c r="G9" s="35">
        <v>179766</v>
      </c>
      <c r="I9" s="46">
        <f aca="true" t="shared" si="97" ref="I9:I33">O9+U9+AA9+AM9+AS9+BK9+BQ9+BW9+CI9+CO9+DM9+EK9+AY9+BE9+CU9+DS9+DY9+EE9+EQ9+DA9+DG9+AG9+CC9</f>
        <v>1507.2199999999998</v>
      </c>
      <c r="J9" s="36">
        <f t="shared" si="1"/>
        <v>156595.03345200003</v>
      </c>
      <c r="K9" s="36">
        <f t="shared" si="2"/>
        <v>158102.25345200003</v>
      </c>
      <c r="L9" s="36">
        <f t="shared" si="3"/>
        <v>50715.390726000005</v>
      </c>
      <c r="M9" s="36">
        <f t="shared" si="3"/>
        <v>27094.691052000002</v>
      </c>
      <c r="O9" s="5">
        <f aca="true" t="shared" si="98" ref="O9:O33">C9*$Q$6</f>
        <v>626.544</v>
      </c>
      <c r="P9" s="5">
        <f t="shared" si="4"/>
        <v>65095.7913504</v>
      </c>
      <c r="Q9" s="5">
        <f t="shared" si="5"/>
        <v>65722.3353504</v>
      </c>
      <c r="R9" s="35">
        <f t="shared" si="6"/>
        <v>21082.140475199998</v>
      </c>
      <c r="S9" s="35">
        <f t="shared" si="7"/>
        <v>11263.1308704</v>
      </c>
      <c r="U9" s="5">
        <f aca="true" t="shared" si="99" ref="U9:U33">C9*$W$6</f>
        <v>0.27699999999999997</v>
      </c>
      <c r="V9" s="36">
        <f t="shared" si="8"/>
        <v>28.7793582</v>
      </c>
      <c r="W9" s="36">
        <f t="shared" si="9"/>
        <v>29.056358200000002</v>
      </c>
      <c r="X9" s="35">
        <f t="shared" si="10"/>
        <v>9.3205791</v>
      </c>
      <c r="Y9" s="35">
        <f t="shared" si="11"/>
        <v>4.9795182</v>
      </c>
      <c r="AA9" s="5">
        <f aca="true" t="shared" si="100" ref="AA9:AA33">C9*$AC$6</f>
        <v>12.402999999999999</v>
      </c>
      <c r="AB9" s="5">
        <f t="shared" si="12"/>
        <v>1288.6295298</v>
      </c>
      <c r="AC9" s="5">
        <f t="shared" si="13"/>
        <v>1301.0325298</v>
      </c>
      <c r="AD9" s="35">
        <f t="shared" si="14"/>
        <v>417.3398649</v>
      </c>
      <c r="AE9" s="35">
        <f t="shared" si="15"/>
        <v>222.9637698</v>
      </c>
      <c r="AG9" s="5">
        <f aca="true" t="shared" si="101" ref="AG9:AG33">C9*$AI$6</f>
        <v>7.469</v>
      </c>
      <c r="AH9" s="5">
        <f t="shared" si="16"/>
        <v>776.0037054</v>
      </c>
      <c r="AI9" s="5">
        <f t="shared" si="17"/>
        <v>783.4727054</v>
      </c>
      <c r="AJ9" s="35">
        <f t="shared" si="18"/>
        <v>251.3191527</v>
      </c>
      <c r="AK9" s="35">
        <f t="shared" si="19"/>
        <v>134.2672254</v>
      </c>
      <c r="AM9" s="5">
        <f aca="true" t="shared" si="102" ref="AM9:AM33">C9*$AO$6</f>
        <v>55.510000000000005</v>
      </c>
      <c r="AN9" s="5">
        <f t="shared" si="20"/>
        <v>5767.300266</v>
      </c>
      <c r="AO9" s="5">
        <f t="shared" si="21"/>
        <v>5822.810266</v>
      </c>
      <c r="AP9" s="35">
        <f t="shared" si="22"/>
        <v>1867.8171330000002</v>
      </c>
      <c r="AQ9" s="35">
        <f t="shared" si="23"/>
        <v>997.881066</v>
      </c>
      <c r="AS9" s="5">
        <f aca="true" t="shared" si="103" ref="AS9:AS33">C9*$AU$6</f>
        <v>17.202</v>
      </c>
      <c r="AT9" s="5">
        <f t="shared" si="24"/>
        <v>1787.2293132</v>
      </c>
      <c r="AU9" s="5">
        <f t="shared" si="25"/>
        <v>1804.4313132</v>
      </c>
      <c r="AV9" s="35">
        <f t="shared" si="26"/>
        <v>578.8180566</v>
      </c>
      <c r="AW9" s="35">
        <f t="shared" si="27"/>
        <v>309.2334732</v>
      </c>
      <c r="AY9" s="5">
        <f aca="true" t="shared" si="104" ref="AY9:AY33">C9*$BA$6</f>
        <v>32.385999999999996</v>
      </c>
      <c r="AZ9" s="5">
        <f t="shared" si="28"/>
        <v>3364.7952876</v>
      </c>
      <c r="BA9" s="5">
        <f t="shared" si="29"/>
        <v>3397.1812876</v>
      </c>
      <c r="BB9" s="35">
        <f t="shared" si="30"/>
        <v>1089.7338438</v>
      </c>
      <c r="BC9" s="35">
        <f t="shared" si="31"/>
        <v>582.1901676</v>
      </c>
      <c r="BE9" s="5">
        <f aca="true" t="shared" si="105" ref="BE9:BE33">C9*$BG$6</f>
        <v>6.858</v>
      </c>
      <c r="BF9" s="5">
        <f t="shared" si="32"/>
        <v>712.5228827999999</v>
      </c>
      <c r="BG9" s="5">
        <f t="shared" si="33"/>
        <v>719.3808827999999</v>
      </c>
      <c r="BH9" s="35">
        <f t="shared" si="34"/>
        <v>230.76004139999998</v>
      </c>
      <c r="BI9" s="35">
        <f t="shared" si="35"/>
        <v>123.2835228</v>
      </c>
      <c r="BK9" s="5">
        <f aca="true" t="shared" si="106" ref="BK9:BK33">C9*$BM$6</f>
        <v>122.28299999999999</v>
      </c>
      <c r="BL9" s="5">
        <f t="shared" si="36"/>
        <v>12704.7879378</v>
      </c>
      <c r="BM9" s="5">
        <f t="shared" si="37"/>
        <v>12827.0709378</v>
      </c>
      <c r="BN9" s="35">
        <f t="shared" si="38"/>
        <v>4114.6150689</v>
      </c>
      <c r="BO9" s="35">
        <f t="shared" si="39"/>
        <v>2198.2325778</v>
      </c>
      <c r="BQ9" s="36">
        <f aca="true" t="shared" si="107" ref="BQ9:BQ33">C9*$BS$6</f>
        <v>56.617999999999995</v>
      </c>
      <c r="BR9" s="5">
        <f t="shared" si="40"/>
        <v>5882.4176988</v>
      </c>
      <c r="BS9" s="36">
        <f t="shared" si="41"/>
        <v>5939.0356988</v>
      </c>
      <c r="BT9" s="35">
        <f t="shared" si="42"/>
        <v>1905.0994494</v>
      </c>
      <c r="BU9" s="35">
        <f t="shared" si="43"/>
        <v>1017.7991387999999</v>
      </c>
      <c r="BW9" s="5">
        <f aca="true" t="shared" si="108" ref="BW9:BW33">C9*$BY$6</f>
        <v>27.116000000000003</v>
      </c>
      <c r="BX9" s="5">
        <f t="shared" si="44"/>
        <v>2817.2602056</v>
      </c>
      <c r="BY9" s="5">
        <f t="shared" si="45"/>
        <v>2844.3762056</v>
      </c>
      <c r="BZ9" s="35">
        <f t="shared" si="46"/>
        <v>912.4073028</v>
      </c>
      <c r="CA9" s="35">
        <f t="shared" si="47"/>
        <v>487.4534856</v>
      </c>
      <c r="CC9" s="5">
        <f t="shared" si="48"/>
        <v>4.001</v>
      </c>
      <c r="CD9" s="5">
        <f t="shared" si="49"/>
        <v>415.6902966</v>
      </c>
      <c r="CE9" s="5">
        <f t="shared" si="50"/>
        <v>419.6912966</v>
      </c>
      <c r="CF9" s="35">
        <f t="shared" si="51"/>
        <v>134.6268483</v>
      </c>
      <c r="CG9" s="35">
        <f t="shared" si="52"/>
        <v>71.9243766</v>
      </c>
      <c r="CI9" s="5">
        <f aca="true" t="shared" si="109" ref="CI9:CI33">C9*$CK$6</f>
        <v>17.739</v>
      </c>
      <c r="CJ9" s="5">
        <f t="shared" si="53"/>
        <v>1843.0217874</v>
      </c>
      <c r="CK9" s="5">
        <f t="shared" si="54"/>
        <v>1860.7607874</v>
      </c>
      <c r="CL9" s="35">
        <f t="shared" si="55"/>
        <v>596.8871937</v>
      </c>
      <c r="CM9" s="35">
        <f t="shared" si="56"/>
        <v>318.8869074</v>
      </c>
      <c r="CO9" s="5">
        <f aca="true" t="shared" si="110" ref="CO9:CO33">C9*$CQ$6</f>
        <v>2.4429999999999996</v>
      </c>
      <c r="CP9" s="5">
        <f t="shared" si="57"/>
        <v>253.81939379999997</v>
      </c>
      <c r="CQ9" s="5">
        <f t="shared" si="58"/>
        <v>256.2623938</v>
      </c>
      <c r="CR9" s="35">
        <f t="shared" si="59"/>
        <v>82.2027969</v>
      </c>
      <c r="CS9" s="35">
        <f t="shared" si="60"/>
        <v>43.91683379999999</v>
      </c>
      <c r="CU9" s="5">
        <f aca="true" t="shared" si="111" ref="CU9:CU33">C9*$CW$6</f>
        <v>50.964</v>
      </c>
      <c r="CV9" s="5">
        <f t="shared" si="61"/>
        <v>5294.9863224</v>
      </c>
      <c r="CW9" s="5">
        <f t="shared" si="62"/>
        <v>5345.9503224</v>
      </c>
      <c r="CX9" s="35">
        <f t="shared" si="63"/>
        <v>1714.8519612</v>
      </c>
      <c r="CY9" s="35">
        <f t="shared" si="64"/>
        <v>916.1594424</v>
      </c>
      <c r="DA9" s="5">
        <f aca="true" t="shared" si="112" ref="DA9:DA33">C9*$DC$6</f>
        <v>9.872</v>
      </c>
      <c r="DB9" s="5">
        <f t="shared" si="65"/>
        <v>1025.6672351999998</v>
      </c>
      <c r="DC9" s="5">
        <f t="shared" si="66"/>
        <v>1035.5392352</v>
      </c>
      <c r="DD9" s="35">
        <f t="shared" si="67"/>
        <v>332.17601759999997</v>
      </c>
      <c r="DE9" s="35">
        <f t="shared" si="68"/>
        <v>177.46499519999998</v>
      </c>
      <c r="DG9" s="5">
        <f aca="true" t="shared" si="113" ref="DG9:DG33">C9*$DI$6</f>
        <v>13.061</v>
      </c>
      <c r="DH9" s="5">
        <f t="shared" si="69"/>
        <v>1356.9934925999999</v>
      </c>
      <c r="DI9" s="36">
        <f t="shared" si="70"/>
        <v>1370.0544925999998</v>
      </c>
      <c r="DJ9" s="35">
        <f t="shared" si="71"/>
        <v>439.4804463</v>
      </c>
      <c r="DK9" s="35">
        <f t="shared" si="72"/>
        <v>234.7923726</v>
      </c>
      <c r="DM9" s="5">
        <f aca="true" t="shared" si="114" ref="DM9:DM33">C9*$DO$6</f>
        <v>42.458</v>
      </c>
      <c r="DN9" s="5">
        <f t="shared" si="73"/>
        <v>4411.2418428</v>
      </c>
      <c r="DO9" s="36">
        <f t="shared" si="74"/>
        <v>4453.6998428</v>
      </c>
      <c r="DP9" s="35">
        <f t="shared" si="75"/>
        <v>1428.6395214</v>
      </c>
      <c r="DQ9" s="35">
        <f t="shared" si="76"/>
        <v>763.2504828</v>
      </c>
      <c r="DS9" s="5">
        <f aca="true" t="shared" si="115" ref="DS9:DS33">C9*$DU$6</f>
        <v>24.961</v>
      </c>
      <c r="DT9" s="5">
        <f t="shared" si="77"/>
        <v>2593.3630325999998</v>
      </c>
      <c r="DU9" s="5">
        <f t="shared" si="78"/>
        <v>2618.3240325999996</v>
      </c>
      <c r="DV9" s="35">
        <f t="shared" si="79"/>
        <v>839.8952162999999</v>
      </c>
      <c r="DW9" s="35">
        <f t="shared" si="80"/>
        <v>448.71391259999996</v>
      </c>
      <c r="DY9" s="5">
        <f aca="true" t="shared" si="116" ref="DY9:DY33">C9*$EA$6</f>
        <v>28.177</v>
      </c>
      <c r="DZ9" s="5">
        <f t="shared" si="81"/>
        <v>2927.4944981999997</v>
      </c>
      <c r="EA9" s="5">
        <f t="shared" si="82"/>
        <v>2955.6714982</v>
      </c>
      <c r="EB9" s="35">
        <f t="shared" si="83"/>
        <v>948.1081490999999</v>
      </c>
      <c r="EC9" s="35">
        <f t="shared" si="84"/>
        <v>506.5266582</v>
      </c>
      <c r="EE9" s="5">
        <f aca="true" t="shared" si="117" ref="EE9:EE33">C9*$EG$6</f>
        <v>326.233</v>
      </c>
      <c r="EF9" s="5">
        <f t="shared" si="85"/>
        <v>33894.4995078</v>
      </c>
      <c r="EG9" s="5">
        <f t="shared" si="86"/>
        <v>34220.7325078</v>
      </c>
      <c r="EH9" s="35">
        <f t="shared" si="87"/>
        <v>10977.1858539</v>
      </c>
      <c r="EI9" s="35">
        <f t="shared" si="88"/>
        <v>5864.5601478</v>
      </c>
      <c r="EK9" s="5">
        <f aca="true" t="shared" si="118" ref="EK9:EK33">C9*$EM$6</f>
        <v>12.011999999999999</v>
      </c>
      <c r="EL9" s="5">
        <f t="shared" si="89"/>
        <v>1248.0059592</v>
      </c>
      <c r="EM9" s="36">
        <f t="shared" si="90"/>
        <v>1260.0179592</v>
      </c>
      <c r="EN9" s="35">
        <f t="shared" si="91"/>
        <v>404.18337959999997</v>
      </c>
      <c r="EO9" s="35">
        <f t="shared" si="92"/>
        <v>215.9349192</v>
      </c>
      <c r="EQ9" s="5">
        <f aca="true" t="shared" si="119" ref="EQ9:EQ33">C9*$ES$6</f>
        <v>10.633000000000001</v>
      </c>
      <c r="ER9" s="36">
        <f t="shared" si="93"/>
        <v>1104.7325478</v>
      </c>
      <c r="ES9" s="36">
        <f t="shared" si="94"/>
        <v>1115.3655478</v>
      </c>
      <c r="ET9" s="35">
        <f t="shared" si="95"/>
        <v>357.78237390000004</v>
      </c>
      <c r="EU9" s="35">
        <f t="shared" si="96"/>
        <v>191.14518780000003</v>
      </c>
    </row>
    <row r="10" spans="1:151" ht="12.75">
      <c r="A10" s="37">
        <v>43739</v>
      </c>
      <c r="D10" s="3">
        <v>1038866</v>
      </c>
      <c r="E10" s="35">
        <f t="shared" si="0"/>
        <v>1038866</v>
      </c>
      <c r="F10" s="35">
        <v>336483</v>
      </c>
      <c r="G10" s="35">
        <v>179766</v>
      </c>
      <c r="I10" s="46"/>
      <c r="J10" s="36">
        <f t="shared" si="1"/>
        <v>156579.96125199998</v>
      </c>
      <c r="K10" s="36">
        <f t="shared" si="2"/>
        <v>156579.96125199998</v>
      </c>
      <c r="L10" s="36">
        <f t="shared" si="3"/>
        <v>50715.390726000005</v>
      </c>
      <c r="M10" s="36">
        <f t="shared" si="3"/>
        <v>27094.691052000002</v>
      </c>
      <c r="P10" s="5">
        <f t="shared" si="4"/>
        <v>65089.5259104</v>
      </c>
      <c r="Q10" s="5">
        <f t="shared" si="5"/>
        <v>65089.5259104</v>
      </c>
      <c r="R10" s="35">
        <f t="shared" si="6"/>
        <v>21082.140475199998</v>
      </c>
      <c r="S10" s="35">
        <f t="shared" si="7"/>
        <v>11263.1308704</v>
      </c>
      <c r="V10" s="36">
        <f t="shared" si="8"/>
        <v>28.7765882</v>
      </c>
      <c r="W10" s="36">
        <f t="shared" si="9"/>
        <v>28.7765882</v>
      </c>
      <c r="X10" s="35">
        <f t="shared" si="10"/>
        <v>9.3205791</v>
      </c>
      <c r="Y10" s="35">
        <f t="shared" si="11"/>
        <v>4.9795182</v>
      </c>
      <c r="AB10" s="5">
        <f t="shared" si="12"/>
        <v>1288.5054998</v>
      </c>
      <c r="AC10" s="5">
        <f t="shared" si="13"/>
        <v>1288.5054998</v>
      </c>
      <c r="AD10" s="35">
        <f t="shared" si="14"/>
        <v>417.3398649</v>
      </c>
      <c r="AE10" s="35">
        <f t="shared" si="15"/>
        <v>222.9637698</v>
      </c>
      <c r="AH10" s="5">
        <f t="shared" si="16"/>
        <v>775.9290154</v>
      </c>
      <c r="AI10" s="5">
        <f t="shared" si="17"/>
        <v>775.9290154</v>
      </c>
      <c r="AJ10" s="35">
        <f t="shared" si="18"/>
        <v>251.3191527</v>
      </c>
      <c r="AK10" s="35">
        <f t="shared" si="19"/>
        <v>134.2672254</v>
      </c>
      <c r="AN10" s="5">
        <f t="shared" si="20"/>
        <v>5766.745166000001</v>
      </c>
      <c r="AO10" s="5">
        <f t="shared" si="21"/>
        <v>5766.745166000001</v>
      </c>
      <c r="AP10" s="35">
        <f t="shared" si="22"/>
        <v>1867.8171330000002</v>
      </c>
      <c r="AQ10" s="35">
        <f t="shared" si="23"/>
        <v>997.881066</v>
      </c>
      <c r="AT10" s="5">
        <f t="shared" si="24"/>
        <v>1787.0572932</v>
      </c>
      <c r="AU10" s="5">
        <f t="shared" si="25"/>
        <v>1787.0572932</v>
      </c>
      <c r="AV10" s="35">
        <f t="shared" si="26"/>
        <v>578.8180566</v>
      </c>
      <c r="AW10" s="35">
        <f t="shared" si="27"/>
        <v>309.2334732</v>
      </c>
      <c r="AZ10" s="5">
        <f t="shared" si="28"/>
        <v>3364.4714276</v>
      </c>
      <c r="BA10" s="5">
        <f t="shared" si="29"/>
        <v>3364.4714276</v>
      </c>
      <c r="BB10" s="35">
        <f t="shared" si="30"/>
        <v>1089.7338438</v>
      </c>
      <c r="BC10" s="35">
        <f t="shared" si="31"/>
        <v>582.1901676</v>
      </c>
      <c r="BF10" s="5">
        <f t="shared" si="32"/>
        <v>712.4543027999999</v>
      </c>
      <c r="BG10" s="5">
        <f t="shared" si="33"/>
        <v>712.4543027999999</v>
      </c>
      <c r="BH10" s="35">
        <f t="shared" si="34"/>
        <v>230.76004139999998</v>
      </c>
      <c r="BI10" s="35">
        <f t="shared" si="35"/>
        <v>123.2835228</v>
      </c>
      <c r="BL10" s="5">
        <f t="shared" si="36"/>
        <v>12703.5651078</v>
      </c>
      <c r="BM10" s="5">
        <f t="shared" si="37"/>
        <v>12703.5651078</v>
      </c>
      <c r="BN10" s="35">
        <f t="shared" si="38"/>
        <v>4114.6150689</v>
      </c>
      <c r="BO10" s="35">
        <f t="shared" si="39"/>
        <v>2198.2325778</v>
      </c>
      <c r="BQ10" s="36"/>
      <c r="BR10" s="5">
        <f t="shared" si="40"/>
        <v>5881.8515188</v>
      </c>
      <c r="BS10" s="36">
        <f t="shared" si="41"/>
        <v>5881.8515188</v>
      </c>
      <c r="BT10" s="35">
        <f t="shared" si="42"/>
        <v>1905.0994494</v>
      </c>
      <c r="BU10" s="35">
        <f t="shared" si="43"/>
        <v>1017.7991387999999</v>
      </c>
      <c r="BX10" s="5">
        <f t="shared" si="44"/>
        <v>2816.9890456000003</v>
      </c>
      <c r="BY10" s="5">
        <f t="shared" si="45"/>
        <v>2816.9890456000003</v>
      </c>
      <c r="BZ10" s="35">
        <f t="shared" si="46"/>
        <v>912.4073028</v>
      </c>
      <c r="CA10" s="35">
        <f t="shared" si="47"/>
        <v>487.4534856</v>
      </c>
      <c r="CC10" s="5">
        <f t="shared" si="48"/>
        <v>0</v>
      </c>
      <c r="CD10" s="5">
        <f t="shared" si="49"/>
        <v>415.6502866</v>
      </c>
      <c r="CE10" s="5">
        <f t="shared" si="50"/>
        <v>415.6502866</v>
      </c>
      <c r="CF10" s="35">
        <f t="shared" si="51"/>
        <v>134.6268483</v>
      </c>
      <c r="CG10" s="35">
        <f t="shared" si="52"/>
        <v>71.9243766</v>
      </c>
      <c r="CJ10" s="5">
        <f t="shared" si="53"/>
        <v>1842.8443974</v>
      </c>
      <c r="CK10" s="5">
        <f t="shared" si="54"/>
        <v>1842.8443974</v>
      </c>
      <c r="CL10" s="35">
        <f t="shared" si="55"/>
        <v>596.8871937</v>
      </c>
      <c r="CM10" s="35">
        <f t="shared" si="56"/>
        <v>318.8869074</v>
      </c>
      <c r="CP10" s="5">
        <f t="shared" si="57"/>
        <v>253.79496379999998</v>
      </c>
      <c r="CQ10" s="5">
        <f t="shared" si="58"/>
        <v>253.79496379999998</v>
      </c>
      <c r="CR10" s="35">
        <f t="shared" si="59"/>
        <v>82.2027969</v>
      </c>
      <c r="CS10" s="35">
        <f t="shared" si="60"/>
        <v>43.91683379999999</v>
      </c>
      <c r="CV10" s="5">
        <f t="shared" si="61"/>
        <v>5294.4766824</v>
      </c>
      <c r="CW10" s="5">
        <f t="shared" si="62"/>
        <v>5294.4766824</v>
      </c>
      <c r="CX10" s="35">
        <f t="shared" si="63"/>
        <v>1714.8519612</v>
      </c>
      <c r="CY10" s="35">
        <f t="shared" si="64"/>
        <v>916.1594424</v>
      </c>
      <c r="DB10" s="5">
        <f t="shared" si="65"/>
        <v>1025.5685151999999</v>
      </c>
      <c r="DC10" s="5">
        <f t="shared" si="66"/>
        <v>1025.5685151999999</v>
      </c>
      <c r="DD10" s="35">
        <f t="shared" si="67"/>
        <v>332.17601759999997</v>
      </c>
      <c r="DE10" s="35">
        <f t="shared" si="68"/>
        <v>177.46499519999998</v>
      </c>
      <c r="DH10" s="5">
        <f t="shared" si="69"/>
        <v>1356.8628826</v>
      </c>
      <c r="DI10" s="36">
        <f t="shared" si="70"/>
        <v>1356.8628826</v>
      </c>
      <c r="DJ10" s="35">
        <f t="shared" si="71"/>
        <v>439.4804463</v>
      </c>
      <c r="DK10" s="35">
        <f t="shared" si="72"/>
        <v>234.7923726</v>
      </c>
      <c r="DN10" s="5">
        <f t="shared" si="73"/>
        <v>4410.8172628</v>
      </c>
      <c r="DO10" s="36">
        <f t="shared" si="74"/>
        <v>4410.8172628</v>
      </c>
      <c r="DP10" s="35">
        <f t="shared" si="75"/>
        <v>1428.6395214</v>
      </c>
      <c r="DQ10" s="35">
        <f t="shared" si="76"/>
        <v>763.2504828</v>
      </c>
      <c r="DT10" s="5">
        <f t="shared" si="77"/>
        <v>2593.1134226</v>
      </c>
      <c r="DU10" s="5">
        <f t="shared" si="78"/>
        <v>2593.1134226</v>
      </c>
      <c r="DV10" s="35">
        <f t="shared" si="79"/>
        <v>839.8952162999999</v>
      </c>
      <c r="DW10" s="35">
        <f t="shared" si="80"/>
        <v>448.71391259999996</v>
      </c>
      <c r="DZ10" s="5">
        <f t="shared" si="81"/>
        <v>2927.2127281999997</v>
      </c>
      <c r="EA10" s="5">
        <f t="shared" si="82"/>
        <v>2927.2127281999997</v>
      </c>
      <c r="EB10" s="35">
        <f t="shared" si="83"/>
        <v>948.1081490999999</v>
      </c>
      <c r="EC10" s="35">
        <f t="shared" si="84"/>
        <v>506.5266582</v>
      </c>
      <c r="EF10" s="5">
        <f t="shared" si="85"/>
        <v>33891.2371778</v>
      </c>
      <c r="EG10" s="5">
        <f t="shared" si="86"/>
        <v>33891.2371778</v>
      </c>
      <c r="EH10" s="35">
        <f t="shared" si="87"/>
        <v>10977.1858539</v>
      </c>
      <c r="EI10" s="35">
        <f t="shared" si="88"/>
        <v>5864.5601478</v>
      </c>
      <c r="EL10" s="5">
        <f t="shared" si="89"/>
        <v>1247.8858392</v>
      </c>
      <c r="EM10" s="36">
        <f t="shared" si="90"/>
        <v>1247.8858392</v>
      </c>
      <c r="EN10" s="35">
        <f t="shared" si="91"/>
        <v>404.18337959999997</v>
      </c>
      <c r="EO10" s="35">
        <f t="shared" si="92"/>
        <v>215.9349192</v>
      </c>
      <c r="ER10" s="36">
        <f t="shared" si="93"/>
        <v>1104.6262178000002</v>
      </c>
      <c r="ES10" s="36">
        <f t="shared" si="94"/>
        <v>1104.6262178000002</v>
      </c>
      <c r="ET10" s="35">
        <f t="shared" si="95"/>
        <v>357.78237390000004</v>
      </c>
      <c r="EU10" s="35">
        <f t="shared" si="96"/>
        <v>191.14518780000003</v>
      </c>
    </row>
    <row r="11" spans="1:152" ht="12.75">
      <c r="A11" s="37">
        <v>43922</v>
      </c>
      <c r="C11" s="3">
        <v>0</v>
      </c>
      <c r="D11" s="3">
        <v>1038866</v>
      </c>
      <c r="E11" s="35">
        <f t="shared" si="0"/>
        <v>1038866</v>
      </c>
      <c r="F11" s="35">
        <v>336483</v>
      </c>
      <c r="G11" s="35">
        <v>179766</v>
      </c>
      <c r="I11" s="46">
        <f t="shared" si="97"/>
        <v>0</v>
      </c>
      <c r="J11" s="36">
        <f t="shared" si="1"/>
        <v>156579.96125199998</v>
      </c>
      <c r="K11" s="36">
        <f t="shared" si="2"/>
        <v>156579.96125199998</v>
      </c>
      <c r="L11" s="36">
        <f t="shared" si="3"/>
        <v>50715.390726000005</v>
      </c>
      <c r="M11" s="36">
        <f t="shared" si="3"/>
        <v>27094.691052000002</v>
      </c>
      <c r="O11" s="5">
        <f t="shared" si="98"/>
        <v>0</v>
      </c>
      <c r="P11" s="5">
        <f t="shared" si="4"/>
        <v>65089.5259104</v>
      </c>
      <c r="Q11" s="5">
        <f t="shared" si="5"/>
        <v>65089.5259104</v>
      </c>
      <c r="R11" s="35">
        <f t="shared" si="6"/>
        <v>21082.140475199998</v>
      </c>
      <c r="S11" s="35">
        <f t="shared" si="7"/>
        <v>11263.1308704</v>
      </c>
      <c r="U11" s="5">
        <f t="shared" si="99"/>
        <v>0</v>
      </c>
      <c r="V11" s="36">
        <f t="shared" si="8"/>
        <v>28.7765882</v>
      </c>
      <c r="W11" s="36">
        <f t="shared" si="9"/>
        <v>28.7765882</v>
      </c>
      <c r="X11" s="35">
        <f t="shared" si="10"/>
        <v>9.3205791</v>
      </c>
      <c r="Y11" s="35">
        <f t="shared" si="11"/>
        <v>4.9795182</v>
      </c>
      <c r="AA11" s="5">
        <f t="shared" si="100"/>
        <v>0</v>
      </c>
      <c r="AB11" s="5">
        <f t="shared" si="12"/>
        <v>1288.5054998</v>
      </c>
      <c r="AC11" s="5">
        <f t="shared" si="13"/>
        <v>1288.5054998</v>
      </c>
      <c r="AD11" s="35">
        <f t="shared" si="14"/>
        <v>417.3398649</v>
      </c>
      <c r="AE11" s="35">
        <f t="shared" si="15"/>
        <v>222.9637698</v>
      </c>
      <c r="AG11" s="5">
        <f t="shared" si="101"/>
        <v>0</v>
      </c>
      <c r="AH11" s="5">
        <f t="shared" si="16"/>
        <v>775.9290154</v>
      </c>
      <c r="AI11" s="5">
        <f t="shared" si="17"/>
        <v>775.9290154</v>
      </c>
      <c r="AJ11" s="35">
        <f t="shared" si="18"/>
        <v>251.3191527</v>
      </c>
      <c r="AK11" s="35">
        <f t="shared" si="19"/>
        <v>134.2672254</v>
      </c>
      <c r="AM11" s="5">
        <f t="shared" si="102"/>
        <v>0</v>
      </c>
      <c r="AN11" s="5">
        <f t="shared" si="20"/>
        <v>5766.745166000001</v>
      </c>
      <c r="AO11" s="5">
        <f t="shared" si="21"/>
        <v>5766.745166000001</v>
      </c>
      <c r="AP11" s="35">
        <f t="shared" si="22"/>
        <v>1867.8171330000002</v>
      </c>
      <c r="AQ11" s="35">
        <f t="shared" si="23"/>
        <v>997.881066</v>
      </c>
      <c r="AS11" s="5">
        <f t="shared" si="103"/>
        <v>0</v>
      </c>
      <c r="AT11" s="5">
        <f t="shared" si="24"/>
        <v>1787.0572932</v>
      </c>
      <c r="AU11" s="5">
        <f t="shared" si="25"/>
        <v>1787.0572932</v>
      </c>
      <c r="AV11" s="35">
        <f t="shared" si="26"/>
        <v>578.8180566</v>
      </c>
      <c r="AW11" s="35">
        <f t="shared" si="27"/>
        <v>309.2334732</v>
      </c>
      <c r="AY11" s="5">
        <f t="shared" si="104"/>
        <v>0</v>
      </c>
      <c r="AZ11" s="5">
        <f t="shared" si="28"/>
        <v>3364.4714276</v>
      </c>
      <c r="BA11" s="5">
        <f t="shared" si="29"/>
        <v>3364.4714276</v>
      </c>
      <c r="BB11" s="35">
        <f t="shared" si="30"/>
        <v>1089.7338438</v>
      </c>
      <c r="BC11" s="35">
        <f t="shared" si="31"/>
        <v>582.1901676</v>
      </c>
      <c r="BE11" s="5">
        <f t="shared" si="105"/>
        <v>0</v>
      </c>
      <c r="BF11" s="5">
        <f t="shared" si="32"/>
        <v>712.4543027999999</v>
      </c>
      <c r="BG11" s="5">
        <f t="shared" si="33"/>
        <v>712.4543027999999</v>
      </c>
      <c r="BH11" s="35">
        <f t="shared" si="34"/>
        <v>230.76004139999998</v>
      </c>
      <c r="BI11" s="35">
        <f t="shared" si="35"/>
        <v>123.2835228</v>
      </c>
      <c r="BK11" s="5">
        <f t="shared" si="106"/>
        <v>0</v>
      </c>
      <c r="BL11" s="5">
        <f t="shared" si="36"/>
        <v>12703.5651078</v>
      </c>
      <c r="BM11" s="5">
        <f t="shared" si="37"/>
        <v>12703.5651078</v>
      </c>
      <c r="BN11" s="35">
        <f t="shared" si="38"/>
        <v>4114.6150689</v>
      </c>
      <c r="BO11" s="35">
        <f t="shared" si="39"/>
        <v>2198.2325778</v>
      </c>
      <c r="BQ11" s="36">
        <f t="shared" si="107"/>
        <v>0</v>
      </c>
      <c r="BR11" s="5">
        <f t="shared" si="40"/>
        <v>5881.8515188</v>
      </c>
      <c r="BS11" s="36">
        <f t="shared" si="41"/>
        <v>5881.8515188</v>
      </c>
      <c r="BT11" s="35">
        <f t="shared" si="42"/>
        <v>1905.0994494</v>
      </c>
      <c r="BU11" s="35">
        <f t="shared" si="43"/>
        <v>1017.7991387999999</v>
      </c>
      <c r="BW11" s="5">
        <f t="shared" si="108"/>
        <v>0</v>
      </c>
      <c r="BX11" s="5">
        <f t="shared" si="44"/>
        <v>2816.9890456000003</v>
      </c>
      <c r="BY11" s="5">
        <f t="shared" si="45"/>
        <v>2816.9890456000003</v>
      </c>
      <c r="BZ11" s="35">
        <f t="shared" si="46"/>
        <v>912.4073028</v>
      </c>
      <c r="CA11" s="35">
        <f t="shared" si="47"/>
        <v>487.4534856</v>
      </c>
      <c r="CC11" s="5">
        <f t="shared" si="48"/>
        <v>0</v>
      </c>
      <c r="CD11" s="5">
        <f t="shared" si="49"/>
        <v>415.6502866</v>
      </c>
      <c r="CE11" s="5">
        <f t="shared" si="50"/>
        <v>415.6502866</v>
      </c>
      <c r="CF11" s="35">
        <f t="shared" si="51"/>
        <v>134.6268483</v>
      </c>
      <c r="CG11" s="35">
        <f t="shared" si="52"/>
        <v>71.9243766</v>
      </c>
      <c r="CI11" s="5">
        <f t="shared" si="109"/>
        <v>0</v>
      </c>
      <c r="CJ11" s="5">
        <f t="shared" si="53"/>
        <v>1842.8443974</v>
      </c>
      <c r="CK11" s="5">
        <f t="shared" si="54"/>
        <v>1842.8443974</v>
      </c>
      <c r="CL11" s="35">
        <f t="shared" si="55"/>
        <v>596.8871937</v>
      </c>
      <c r="CM11" s="35">
        <f t="shared" si="56"/>
        <v>318.8869074</v>
      </c>
      <c r="CO11" s="5">
        <f t="shared" si="110"/>
        <v>0</v>
      </c>
      <c r="CP11" s="5">
        <f t="shared" si="57"/>
        <v>253.79496379999998</v>
      </c>
      <c r="CQ11" s="5">
        <f t="shared" si="58"/>
        <v>253.79496379999998</v>
      </c>
      <c r="CR11" s="35">
        <f t="shared" si="59"/>
        <v>82.2027969</v>
      </c>
      <c r="CS11" s="35">
        <f t="shared" si="60"/>
        <v>43.91683379999999</v>
      </c>
      <c r="CU11" s="5">
        <f t="shared" si="111"/>
        <v>0</v>
      </c>
      <c r="CV11" s="5">
        <f t="shared" si="61"/>
        <v>5294.4766824</v>
      </c>
      <c r="CW11" s="5">
        <f t="shared" si="62"/>
        <v>5294.4766824</v>
      </c>
      <c r="CX11" s="35">
        <f t="shared" si="63"/>
        <v>1714.8519612</v>
      </c>
      <c r="CY11" s="35">
        <f t="shared" si="64"/>
        <v>916.1594424</v>
      </c>
      <c r="DA11" s="5">
        <f t="shared" si="112"/>
        <v>0</v>
      </c>
      <c r="DB11" s="5">
        <f t="shared" si="65"/>
        <v>1025.5685151999999</v>
      </c>
      <c r="DC11" s="5">
        <f t="shared" si="66"/>
        <v>1025.5685151999999</v>
      </c>
      <c r="DD11" s="35">
        <f t="shared" si="67"/>
        <v>332.17601759999997</v>
      </c>
      <c r="DE11" s="35">
        <f t="shared" si="68"/>
        <v>177.46499519999998</v>
      </c>
      <c r="DG11" s="5">
        <f t="shared" si="113"/>
        <v>0</v>
      </c>
      <c r="DH11" s="5">
        <f t="shared" si="69"/>
        <v>1356.8628826</v>
      </c>
      <c r="DI11" s="36">
        <f t="shared" si="70"/>
        <v>1356.8628826</v>
      </c>
      <c r="DJ11" s="35">
        <f t="shared" si="71"/>
        <v>439.4804463</v>
      </c>
      <c r="DK11" s="35">
        <f t="shared" si="72"/>
        <v>234.7923726</v>
      </c>
      <c r="DM11" s="5">
        <f t="shared" si="114"/>
        <v>0</v>
      </c>
      <c r="DN11" s="5">
        <f t="shared" si="73"/>
        <v>4410.8172628</v>
      </c>
      <c r="DO11" s="36">
        <f t="shared" si="74"/>
        <v>4410.8172628</v>
      </c>
      <c r="DP11" s="35">
        <f t="shared" si="75"/>
        <v>1428.6395214</v>
      </c>
      <c r="DQ11" s="35">
        <f t="shared" si="76"/>
        <v>763.2504828</v>
      </c>
      <c r="DS11" s="5">
        <f t="shared" si="115"/>
        <v>0</v>
      </c>
      <c r="DT11" s="5">
        <f t="shared" si="77"/>
        <v>2593.1134226</v>
      </c>
      <c r="DU11" s="5">
        <f t="shared" si="78"/>
        <v>2593.1134226</v>
      </c>
      <c r="DV11" s="35">
        <f t="shared" si="79"/>
        <v>839.8952162999999</v>
      </c>
      <c r="DW11" s="35">
        <f t="shared" si="80"/>
        <v>448.71391259999996</v>
      </c>
      <c r="DY11" s="5">
        <f t="shared" si="116"/>
        <v>0</v>
      </c>
      <c r="DZ11" s="5">
        <f t="shared" si="81"/>
        <v>2927.2127281999997</v>
      </c>
      <c r="EA11" s="5">
        <f t="shared" si="82"/>
        <v>2927.2127281999997</v>
      </c>
      <c r="EB11" s="35">
        <f t="shared" si="83"/>
        <v>948.1081490999999</v>
      </c>
      <c r="EC11" s="35">
        <f t="shared" si="84"/>
        <v>506.5266582</v>
      </c>
      <c r="EE11" s="5">
        <f t="shared" si="117"/>
        <v>0</v>
      </c>
      <c r="EF11" s="5">
        <f t="shared" si="85"/>
        <v>33891.2371778</v>
      </c>
      <c r="EG11" s="5">
        <f t="shared" si="86"/>
        <v>33891.2371778</v>
      </c>
      <c r="EH11" s="35">
        <f t="shared" si="87"/>
        <v>10977.1858539</v>
      </c>
      <c r="EI11" s="35">
        <f t="shared" si="88"/>
        <v>5864.5601478</v>
      </c>
      <c r="EK11" s="5">
        <f t="shared" si="118"/>
        <v>0</v>
      </c>
      <c r="EL11" s="5">
        <f t="shared" si="89"/>
        <v>1247.8858392</v>
      </c>
      <c r="EM11" s="36">
        <f t="shared" si="90"/>
        <v>1247.8858392</v>
      </c>
      <c r="EN11" s="35">
        <f t="shared" si="91"/>
        <v>404.18337959999997</v>
      </c>
      <c r="EO11" s="35">
        <f t="shared" si="92"/>
        <v>215.9349192</v>
      </c>
      <c r="EQ11" s="5">
        <f t="shared" si="119"/>
        <v>0</v>
      </c>
      <c r="ER11" s="36">
        <f t="shared" si="93"/>
        <v>1104.6262178000002</v>
      </c>
      <c r="ES11" s="36">
        <f t="shared" si="94"/>
        <v>1104.6262178000002</v>
      </c>
      <c r="ET11" s="35">
        <f t="shared" si="95"/>
        <v>357.78237390000004</v>
      </c>
      <c r="EU11" s="35">
        <f t="shared" si="96"/>
        <v>191.14518780000003</v>
      </c>
      <c r="EV11"/>
    </row>
    <row r="12" spans="1:152" ht="12.75">
      <c r="A12" s="37">
        <v>44105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46"/>
      <c r="J12" s="36">
        <f t="shared" si="1"/>
        <v>156579.96125199998</v>
      </c>
      <c r="K12" s="36">
        <f t="shared" si="2"/>
        <v>156579.96125199998</v>
      </c>
      <c r="L12" s="36">
        <f t="shared" si="3"/>
        <v>50715.390726000005</v>
      </c>
      <c r="M12" s="36">
        <f t="shared" si="3"/>
        <v>27094.691052000002</v>
      </c>
      <c r="P12" s="5">
        <f t="shared" si="4"/>
        <v>65089.5259104</v>
      </c>
      <c r="Q12" s="5">
        <f t="shared" si="5"/>
        <v>65089.5259104</v>
      </c>
      <c r="R12" s="35">
        <f t="shared" si="6"/>
        <v>21082.140475199998</v>
      </c>
      <c r="S12" s="35">
        <f t="shared" si="7"/>
        <v>11263.1308704</v>
      </c>
      <c r="V12" s="36">
        <f t="shared" si="8"/>
        <v>28.7765882</v>
      </c>
      <c r="W12" s="36">
        <f t="shared" si="9"/>
        <v>28.7765882</v>
      </c>
      <c r="X12" s="35">
        <f t="shared" si="10"/>
        <v>9.3205791</v>
      </c>
      <c r="Y12" s="35">
        <f t="shared" si="11"/>
        <v>4.9795182</v>
      </c>
      <c r="AB12" s="5">
        <f t="shared" si="12"/>
        <v>1288.5054998</v>
      </c>
      <c r="AC12" s="5">
        <f t="shared" si="13"/>
        <v>1288.5054998</v>
      </c>
      <c r="AD12" s="35">
        <f t="shared" si="14"/>
        <v>417.3398649</v>
      </c>
      <c r="AE12" s="35">
        <f t="shared" si="15"/>
        <v>222.9637698</v>
      </c>
      <c r="AH12" s="5">
        <f t="shared" si="16"/>
        <v>775.9290154</v>
      </c>
      <c r="AI12" s="5">
        <f t="shared" si="17"/>
        <v>775.9290154</v>
      </c>
      <c r="AJ12" s="35">
        <f t="shared" si="18"/>
        <v>251.3191527</v>
      </c>
      <c r="AK12" s="35">
        <f t="shared" si="19"/>
        <v>134.2672254</v>
      </c>
      <c r="AN12" s="5">
        <f t="shared" si="20"/>
        <v>5766.745166000001</v>
      </c>
      <c r="AO12" s="5">
        <f t="shared" si="21"/>
        <v>5766.745166000001</v>
      </c>
      <c r="AP12" s="35">
        <f t="shared" si="22"/>
        <v>1867.8171330000002</v>
      </c>
      <c r="AQ12" s="35">
        <f t="shared" si="23"/>
        <v>997.881066</v>
      </c>
      <c r="AT12" s="5">
        <f t="shared" si="24"/>
        <v>1787.0572932</v>
      </c>
      <c r="AU12" s="5">
        <f t="shared" si="25"/>
        <v>1787.0572932</v>
      </c>
      <c r="AV12" s="35">
        <f t="shared" si="26"/>
        <v>578.8180566</v>
      </c>
      <c r="AW12" s="35">
        <f t="shared" si="27"/>
        <v>309.2334732</v>
      </c>
      <c r="AZ12" s="5">
        <f t="shared" si="28"/>
        <v>3364.4714276</v>
      </c>
      <c r="BA12" s="5">
        <f t="shared" si="29"/>
        <v>3364.4714276</v>
      </c>
      <c r="BB12" s="35">
        <f t="shared" si="30"/>
        <v>1089.7338438</v>
      </c>
      <c r="BC12" s="35">
        <f t="shared" si="31"/>
        <v>582.1901676</v>
      </c>
      <c r="BF12" s="5">
        <f t="shared" si="32"/>
        <v>712.4543027999999</v>
      </c>
      <c r="BG12" s="5">
        <f t="shared" si="33"/>
        <v>712.4543027999999</v>
      </c>
      <c r="BH12" s="35">
        <f t="shared" si="34"/>
        <v>230.76004139999998</v>
      </c>
      <c r="BI12" s="35">
        <f t="shared" si="35"/>
        <v>123.2835228</v>
      </c>
      <c r="BL12" s="5">
        <f t="shared" si="36"/>
        <v>12703.5651078</v>
      </c>
      <c r="BM12" s="5">
        <f t="shared" si="37"/>
        <v>12703.5651078</v>
      </c>
      <c r="BN12" s="35">
        <f t="shared" si="38"/>
        <v>4114.6150689</v>
      </c>
      <c r="BO12" s="35">
        <f t="shared" si="39"/>
        <v>2198.2325778</v>
      </c>
      <c r="BQ12" s="36"/>
      <c r="BR12" s="5">
        <f t="shared" si="40"/>
        <v>5881.8515188</v>
      </c>
      <c r="BS12" s="36">
        <f t="shared" si="41"/>
        <v>5881.8515188</v>
      </c>
      <c r="BT12" s="35">
        <f t="shared" si="42"/>
        <v>1905.0994494</v>
      </c>
      <c r="BU12" s="35">
        <f t="shared" si="43"/>
        <v>1017.7991387999999</v>
      </c>
      <c r="BX12" s="5">
        <f t="shared" si="44"/>
        <v>2816.9890456000003</v>
      </c>
      <c r="BY12" s="5">
        <f t="shared" si="45"/>
        <v>2816.9890456000003</v>
      </c>
      <c r="BZ12" s="35">
        <f t="shared" si="46"/>
        <v>912.4073028</v>
      </c>
      <c r="CA12" s="35">
        <f t="shared" si="47"/>
        <v>487.4534856</v>
      </c>
      <c r="CC12" s="5">
        <f t="shared" si="48"/>
        <v>0</v>
      </c>
      <c r="CD12" s="5">
        <f t="shared" si="49"/>
        <v>415.6502866</v>
      </c>
      <c r="CE12" s="5">
        <f t="shared" si="50"/>
        <v>415.6502866</v>
      </c>
      <c r="CF12" s="35">
        <f t="shared" si="51"/>
        <v>134.6268483</v>
      </c>
      <c r="CG12" s="35">
        <f t="shared" si="52"/>
        <v>71.9243766</v>
      </c>
      <c r="CJ12" s="5">
        <f t="shared" si="53"/>
        <v>1842.8443974</v>
      </c>
      <c r="CK12" s="5">
        <f t="shared" si="54"/>
        <v>1842.8443974</v>
      </c>
      <c r="CL12" s="35">
        <f t="shared" si="55"/>
        <v>596.8871937</v>
      </c>
      <c r="CM12" s="35">
        <f t="shared" si="56"/>
        <v>318.8869074</v>
      </c>
      <c r="CP12" s="5">
        <f t="shared" si="57"/>
        <v>253.79496379999998</v>
      </c>
      <c r="CQ12" s="5">
        <f t="shared" si="58"/>
        <v>253.79496379999998</v>
      </c>
      <c r="CR12" s="35">
        <f t="shared" si="59"/>
        <v>82.2027969</v>
      </c>
      <c r="CS12" s="35">
        <f t="shared" si="60"/>
        <v>43.91683379999999</v>
      </c>
      <c r="CV12" s="5">
        <f t="shared" si="61"/>
        <v>5294.4766824</v>
      </c>
      <c r="CW12" s="5">
        <f t="shared" si="62"/>
        <v>5294.4766824</v>
      </c>
      <c r="CX12" s="35">
        <f t="shared" si="63"/>
        <v>1714.8519612</v>
      </c>
      <c r="CY12" s="35">
        <f t="shared" si="64"/>
        <v>916.1594424</v>
      </c>
      <c r="DB12" s="5">
        <f t="shared" si="65"/>
        <v>1025.5685151999999</v>
      </c>
      <c r="DC12" s="5">
        <f t="shared" si="66"/>
        <v>1025.5685151999999</v>
      </c>
      <c r="DD12" s="35">
        <f t="shared" si="67"/>
        <v>332.17601759999997</v>
      </c>
      <c r="DE12" s="35">
        <f t="shared" si="68"/>
        <v>177.46499519999998</v>
      </c>
      <c r="DH12" s="5">
        <f t="shared" si="69"/>
        <v>1356.8628826</v>
      </c>
      <c r="DI12" s="36">
        <f t="shared" si="70"/>
        <v>1356.8628826</v>
      </c>
      <c r="DJ12" s="35">
        <f t="shared" si="71"/>
        <v>439.4804463</v>
      </c>
      <c r="DK12" s="35">
        <f t="shared" si="72"/>
        <v>234.7923726</v>
      </c>
      <c r="DN12" s="5">
        <f t="shared" si="73"/>
        <v>4410.8172628</v>
      </c>
      <c r="DO12" s="36">
        <f t="shared" si="74"/>
        <v>4410.8172628</v>
      </c>
      <c r="DP12" s="35">
        <f t="shared" si="75"/>
        <v>1428.6395214</v>
      </c>
      <c r="DQ12" s="35">
        <f t="shared" si="76"/>
        <v>763.2504828</v>
      </c>
      <c r="DT12" s="5">
        <f t="shared" si="77"/>
        <v>2593.1134226</v>
      </c>
      <c r="DU12" s="5">
        <f t="shared" si="78"/>
        <v>2593.1134226</v>
      </c>
      <c r="DV12" s="35">
        <f t="shared" si="79"/>
        <v>839.8952162999999</v>
      </c>
      <c r="DW12" s="35">
        <f t="shared" si="80"/>
        <v>448.71391259999996</v>
      </c>
      <c r="DZ12" s="5">
        <f t="shared" si="81"/>
        <v>2927.2127281999997</v>
      </c>
      <c r="EA12" s="5">
        <f t="shared" si="82"/>
        <v>2927.2127281999997</v>
      </c>
      <c r="EB12" s="35">
        <f t="shared" si="83"/>
        <v>948.1081490999999</v>
      </c>
      <c r="EC12" s="35">
        <f t="shared" si="84"/>
        <v>506.5266582</v>
      </c>
      <c r="EF12" s="5">
        <f t="shared" si="85"/>
        <v>33891.2371778</v>
      </c>
      <c r="EG12" s="5">
        <f t="shared" si="86"/>
        <v>33891.2371778</v>
      </c>
      <c r="EH12" s="35">
        <f t="shared" si="87"/>
        <v>10977.1858539</v>
      </c>
      <c r="EI12" s="35">
        <f t="shared" si="88"/>
        <v>5864.5601478</v>
      </c>
      <c r="EL12" s="5">
        <f t="shared" si="89"/>
        <v>1247.8858392</v>
      </c>
      <c r="EM12" s="36">
        <f t="shared" si="90"/>
        <v>1247.8858392</v>
      </c>
      <c r="EN12" s="35">
        <f t="shared" si="91"/>
        <v>404.18337959999997</v>
      </c>
      <c r="EO12" s="35">
        <f t="shared" si="92"/>
        <v>215.9349192</v>
      </c>
      <c r="ER12" s="36">
        <f t="shared" si="93"/>
        <v>1104.6262178000002</v>
      </c>
      <c r="ES12" s="36">
        <f t="shared" si="94"/>
        <v>1104.6262178000002</v>
      </c>
      <c r="ET12" s="35">
        <f t="shared" si="95"/>
        <v>357.78237390000004</v>
      </c>
      <c r="EU12" s="35">
        <f t="shared" si="96"/>
        <v>191.14518780000003</v>
      </c>
      <c r="EV12"/>
    </row>
    <row r="13" spans="1:152" ht="12.75">
      <c r="A13" s="37">
        <v>44287</v>
      </c>
      <c r="C13" s="3">
        <v>0</v>
      </c>
      <c r="D13" s="3">
        <v>1038866</v>
      </c>
      <c r="E13" s="35">
        <f t="shared" si="0"/>
        <v>1038866</v>
      </c>
      <c r="F13" s="35">
        <v>336483</v>
      </c>
      <c r="G13" s="35">
        <v>179766</v>
      </c>
      <c r="I13" s="46">
        <f t="shared" si="97"/>
        <v>0</v>
      </c>
      <c r="J13" s="36">
        <f t="shared" si="1"/>
        <v>156579.96125199998</v>
      </c>
      <c r="K13" s="36">
        <f t="shared" si="2"/>
        <v>156579.96125199998</v>
      </c>
      <c r="L13" s="36">
        <f t="shared" si="3"/>
        <v>50715.390726000005</v>
      </c>
      <c r="M13" s="36">
        <f t="shared" si="3"/>
        <v>27094.691052000002</v>
      </c>
      <c r="O13" s="5">
        <f t="shared" si="98"/>
        <v>0</v>
      </c>
      <c r="P13" s="5">
        <f t="shared" si="4"/>
        <v>65089.5259104</v>
      </c>
      <c r="Q13" s="5">
        <f t="shared" si="5"/>
        <v>65089.5259104</v>
      </c>
      <c r="R13" s="35">
        <f t="shared" si="6"/>
        <v>21082.140475199998</v>
      </c>
      <c r="S13" s="35">
        <f t="shared" si="7"/>
        <v>11263.1308704</v>
      </c>
      <c r="U13" s="5">
        <f t="shared" si="99"/>
        <v>0</v>
      </c>
      <c r="V13" s="36">
        <f t="shared" si="8"/>
        <v>28.7765882</v>
      </c>
      <c r="W13" s="36">
        <f t="shared" si="9"/>
        <v>28.7765882</v>
      </c>
      <c r="X13" s="35">
        <f t="shared" si="10"/>
        <v>9.3205791</v>
      </c>
      <c r="Y13" s="35">
        <f t="shared" si="11"/>
        <v>4.9795182</v>
      </c>
      <c r="AA13" s="5">
        <f t="shared" si="100"/>
        <v>0</v>
      </c>
      <c r="AB13" s="5">
        <f t="shared" si="12"/>
        <v>1288.5054998</v>
      </c>
      <c r="AC13" s="5">
        <f t="shared" si="13"/>
        <v>1288.5054998</v>
      </c>
      <c r="AD13" s="35">
        <f t="shared" si="14"/>
        <v>417.3398649</v>
      </c>
      <c r="AE13" s="35">
        <f t="shared" si="15"/>
        <v>222.9637698</v>
      </c>
      <c r="AG13" s="5">
        <f t="shared" si="101"/>
        <v>0</v>
      </c>
      <c r="AH13" s="5">
        <f t="shared" si="16"/>
        <v>775.9290154</v>
      </c>
      <c r="AI13" s="5">
        <f t="shared" si="17"/>
        <v>775.9290154</v>
      </c>
      <c r="AJ13" s="35">
        <f t="shared" si="18"/>
        <v>251.3191527</v>
      </c>
      <c r="AK13" s="35">
        <f t="shared" si="19"/>
        <v>134.2672254</v>
      </c>
      <c r="AM13" s="5">
        <f t="shared" si="102"/>
        <v>0</v>
      </c>
      <c r="AN13" s="5">
        <f t="shared" si="20"/>
        <v>5766.745166000001</v>
      </c>
      <c r="AO13" s="5">
        <f t="shared" si="21"/>
        <v>5766.745166000001</v>
      </c>
      <c r="AP13" s="35">
        <f t="shared" si="22"/>
        <v>1867.8171330000002</v>
      </c>
      <c r="AQ13" s="35">
        <f t="shared" si="23"/>
        <v>997.881066</v>
      </c>
      <c r="AS13" s="5">
        <f t="shared" si="103"/>
        <v>0</v>
      </c>
      <c r="AT13" s="5">
        <f t="shared" si="24"/>
        <v>1787.0572932</v>
      </c>
      <c r="AU13" s="5">
        <f t="shared" si="25"/>
        <v>1787.0572932</v>
      </c>
      <c r="AV13" s="35">
        <f t="shared" si="26"/>
        <v>578.8180566</v>
      </c>
      <c r="AW13" s="35">
        <f t="shared" si="27"/>
        <v>309.2334732</v>
      </c>
      <c r="AY13" s="5">
        <f t="shared" si="104"/>
        <v>0</v>
      </c>
      <c r="AZ13" s="5">
        <f t="shared" si="28"/>
        <v>3364.4714276</v>
      </c>
      <c r="BA13" s="5">
        <f t="shared" si="29"/>
        <v>3364.4714276</v>
      </c>
      <c r="BB13" s="35">
        <f t="shared" si="30"/>
        <v>1089.7338438</v>
      </c>
      <c r="BC13" s="35">
        <f t="shared" si="31"/>
        <v>582.1901676</v>
      </c>
      <c r="BE13" s="5">
        <f t="shared" si="105"/>
        <v>0</v>
      </c>
      <c r="BF13" s="5">
        <f t="shared" si="32"/>
        <v>712.4543027999999</v>
      </c>
      <c r="BG13" s="5">
        <f t="shared" si="33"/>
        <v>712.4543027999999</v>
      </c>
      <c r="BH13" s="35">
        <f t="shared" si="34"/>
        <v>230.76004139999998</v>
      </c>
      <c r="BI13" s="35">
        <f t="shared" si="35"/>
        <v>123.2835228</v>
      </c>
      <c r="BK13" s="5">
        <f t="shared" si="106"/>
        <v>0</v>
      </c>
      <c r="BL13" s="5">
        <f t="shared" si="36"/>
        <v>12703.5651078</v>
      </c>
      <c r="BM13" s="5">
        <f t="shared" si="37"/>
        <v>12703.5651078</v>
      </c>
      <c r="BN13" s="35">
        <f t="shared" si="38"/>
        <v>4114.6150689</v>
      </c>
      <c r="BO13" s="35">
        <f t="shared" si="39"/>
        <v>2198.2325778</v>
      </c>
      <c r="BQ13" s="36">
        <f t="shared" si="107"/>
        <v>0</v>
      </c>
      <c r="BR13" s="5">
        <f t="shared" si="40"/>
        <v>5881.8515188</v>
      </c>
      <c r="BS13" s="36">
        <f t="shared" si="41"/>
        <v>5881.8515188</v>
      </c>
      <c r="BT13" s="35">
        <f t="shared" si="42"/>
        <v>1905.0994494</v>
      </c>
      <c r="BU13" s="35">
        <f t="shared" si="43"/>
        <v>1017.7991387999999</v>
      </c>
      <c r="BW13" s="5">
        <f t="shared" si="108"/>
        <v>0</v>
      </c>
      <c r="BX13" s="5">
        <f t="shared" si="44"/>
        <v>2816.9890456000003</v>
      </c>
      <c r="BY13" s="5">
        <f t="shared" si="45"/>
        <v>2816.9890456000003</v>
      </c>
      <c r="BZ13" s="35">
        <f t="shared" si="46"/>
        <v>912.4073028</v>
      </c>
      <c r="CA13" s="35">
        <f t="shared" si="47"/>
        <v>487.4534856</v>
      </c>
      <c r="CC13" s="5">
        <f t="shared" si="48"/>
        <v>0</v>
      </c>
      <c r="CD13" s="5">
        <f t="shared" si="49"/>
        <v>415.6502866</v>
      </c>
      <c r="CE13" s="5">
        <f t="shared" si="50"/>
        <v>415.6502866</v>
      </c>
      <c r="CF13" s="35">
        <f t="shared" si="51"/>
        <v>134.6268483</v>
      </c>
      <c r="CG13" s="35">
        <f t="shared" si="52"/>
        <v>71.9243766</v>
      </c>
      <c r="CI13" s="5">
        <f t="shared" si="109"/>
        <v>0</v>
      </c>
      <c r="CJ13" s="5">
        <f t="shared" si="53"/>
        <v>1842.8443974</v>
      </c>
      <c r="CK13" s="5">
        <f t="shared" si="54"/>
        <v>1842.8443974</v>
      </c>
      <c r="CL13" s="35">
        <f t="shared" si="55"/>
        <v>596.8871937</v>
      </c>
      <c r="CM13" s="35">
        <f t="shared" si="56"/>
        <v>318.8869074</v>
      </c>
      <c r="CO13" s="5">
        <f t="shared" si="110"/>
        <v>0</v>
      </c>
      <c r="CP13" s="5">
        <f t="shared" si="57"/>
        <v>253.79496379999998</v>
      </c>
      <c r="CQ13" s="5">
        <f t="shared" si="58"/>
        <v>253.79496379999998</v>
      </c>
      <c r="CR13" s="35">
        <f t="shared" si="59"/>
        <v>82.2027969</v>
      </c>
      <c r="CS13" s="35">
        <f t="shared" si="60"/>
        <v>43.91683379999999</v>
      </c>
      <c r="CU13" s="5">
        <f t="shared" si="111"/>
        <v>0</v>
      </c>
      <c r="CV13" s="5">
        <f t="shared" si="61"/>
        <v>5294.4766824</v>
      </c>
      <c r="CW13" s="5">
        <f t="shared" si="62"/>
        <v>5294.4766824</v>
      </c>
      <c r="CX13" s="35">
        <f t="shared" si="63"/>
        <v>1714.8519612</v>
      </c>
      <c r="CY13" s="35">
        <f t="shared" si="64"/>
        <v>916.1594424</v>
      </c>
      <c r="DA13" s="5">
        <f t="shared" si="112"/>
        <v>0</v>
      </c>
      <c r="DB13" s="5">
        <f t="shared" si="65"/>
        <v>1025.5685151999999</v>
      </c>
      <c r="DC13" s="5">
        <f t="shared" si="66"/>
        <v>1025.5685151999999</v>
      </c>
      <c r="DD13" s="35">
        <f t="shared" si="67"/>
        <v>332.17601759999997</v>
      </c>
      <c r="DE13" s="35">
        <f t="shared" si="68"/>
        <v>177.46499519999998</v>
      </c>
      <c r="DG13" s="5">
        <f t="shared" si="113"/>
        <v>0</v>
      </c>
      <c r="DH13" s="5">
        <f t="shared" si="69"/>
        <v>1356.8628826</v>
      </c>
      <c r="DI13" s="36">
        <f t="shared" si="70"/>
        <v>1356.8628826</v>
      </c>
      <c r="DJ13" s="35">
        <f t="shared" si="71"/>
        <v>439.4804463</v>
      </c>
      <c r="DK13" s="35">
        <f t="shared" si="72"/>
        <v>234.7923726</v>
      </c>
      <c r="DM13" s="5">
        <f t="shared" si="114"/>
        <v>0</v>
      </c>
      <c r="DN13" s="5">
        <f t="shared" si="73"/>
        <v>4410.8172628</v>
      </c>
      <c r="DO13" s="36">
        <f t="shared" si="74"/>
        <v>4410.8172628</v>
      </c>
      <c r="DP13" s="35">
        <f t="shared" si="75"/>
        <v>1428.6395214</v>
      </c>
      <c r="DQ13" s="35">
        <f t="shared" si="76"/>
        <v>763.2504828</v>
      </c>
      <c r="DS13" s="5">
        <f t="shared" si="115"/>
        <v>0</v>
      </c>
      <c r="DT13" s="5">
        <f t="shared" si="77"/>
        <v>2593.1134226</v>
      </c>
      <c r="DU13" s="5">
        <f t="shared" si="78"/>
        <v>2593.1134226</v>
      </c>
      <c r="DV13" s="35">
        <f t="shared" si="79"/>
        <v>839.8952162999999</v>
      </c>
      <c r="DW13" s="35">
        <f t="shared" si="80"/>
        <v>448.71391259999996</v>
      </c>
      <c r="DY13" s="5">
        <f t="shared" si="116"/>
        <v>0</v>
      </c>
      <c r="DZ13" s="5">
        <f t="shared" si="81"/>
        <v>2927.2127281999997</v>
      </c>
      <c r="EA13" s="5">
        <f t="shared" si="82"/>
        <v>2927.2127281999997</v>
      </c>
      <c r="EB13" s="35">
        <f t="shared" si="83"/>
        <v>948.1081490999999</v>
      </c>
      <c r="EC13" s="35">
        <f t="shared" si="84"/>
        <v>506.5266582</v>
      </c>
      <c r="EE13" s="5">
        <f t="shared" si="117"/>
        <v>0</v>
      </c>
      <c r="EF13" s="5">
        <f t="shared" si="85"/>
        <v>33891.2371778</v>
      </c>
      <c r="EG13" s="5">
        <f t="shared" si="86"/>
        <v>33891.2371778</v>
      </c>
      <c r="EH13" s="35">
        <f t="shared" si="87"/>
        <v>10977.1858539</v>
      </c>
      <c r="EI13" s="35">
        <f t="shared" si="88"/>
        <v>5864.5601478</v>
      </c>
      <c r="EK13" s="5">
        <f t="shared" si="118"/>
        <v>0</v>
      </c>
      <c r="EL13" s="5">
        <f t="shared" si="89"/>
        <v>1247.8858392</v>
      </c>
      <c r="EM13" s="36">
        <f t="shared" si="90"/>
        <v>1247.8858392</v>
      </c>
      <c r="EN13" s="35">
        <f t="shared" si="91"/>
        <v>404.18337959999997</v>
      </c>
      <c r="EO13" s="35">
        <f t="shared" si="92"/>
        <v>215.9349192</v>
      </c>
      <c r="EQ13" s="5">
        <f t="shared" si="119"/>
        <v>0</v>
      </c>
      <c r="ER13" s="36">
        <f t="shared" si="93"/>
        <v>1104.6262178000002</v>
      </c>
      <c r="ES13" s="36">
        <f t="shared" si="94"/>
        <v>1104.6262178000002</v>
      </c>
      <c r="ET13" s="35">
        <f t="shared" si="95"/>
        <v>357.78237390000004</v>
      </c>
      <c r="EU13" s="35">
        <f t="shared" si="96"/>
        <v>191.14518780000003</v>
      </c>
      <c r="EV13"/>
    </row>
    <row r="14" spans="1:152" ht="12.75">
      <c r="A14" s="37">
        <v>44470</v>
      </c>
      <c r="D14" s="3">
        <v>1038866</v>
      </c>
      <c r="E14" s="35">
        <f t="shared" si="0"/>
        <v>1038866</v>
      </c>
      <c r="F14" s="35">
        <v>336483</v>
      </c>
      <c r="G14" s="35">
        <v>179766</v>
      </c>
      <c r="I14" s="46"/>
      <c r="J14" s="36">
        <f t="shared" si="1"/>
        <v>156579.96125199998</v>
      </c>
      <c r="K14" s="36">
        <f t="shared" si="2"/>
        <v>156579.96125199998</v>
      </c>
      <c r="L14" s="36">
        <f t="shared" si="3"/>
        <v>50715.390726000005</v>
      </c>
      <c r="M14" s="36">
        <f t="shared" si="3"/>
        <v>27094.691052000002</v>
      </c>
      <c r="P14" s="5">
        <f t="shared" si="4"/>
        <v>65089.5259104</v>
      </c>
      <c r="Q14" s="5">
        <f t="shared" si="5"/>
        <v>65089.5259104</v>
      </c>
      <c r="R14" s="35">
        <f t="shared" si="6"/>
        <v>21082.140475199998</v>
      </c>
      <c r="S14" s="35">
        <f t="shared" si="7"/>
        <v>11263.1308704</v>
      </c>
      <c r="V14" s="36">
        <f t="shared" si="8"/>
        <v>28.7765882</v>
      </c>
      <c r="W14" s="36">
        <f t="shared" si="9"/>
        <v>28.7765882</v>
      </c>
      <c r="X14" s="35">
        <f t="shared" si="10"/>
        <v>9.3205791</v>
      </c>
      <c r="Y14" s="35">
        <f t="shared" si="11"/>
        <v>4.9795182</v>
      </c>
      <c r="AB14" s="5">
        <f t="shared" si="12"/>
        <v>1288.5054998</v>
      </c>
      <c r="AC14" s="5">
        <f t="shared" si="13"/>
        <v>1288.5054998</v>
      </c>
      <c r="AD14" s="35">
        <f t="shared" si="14"/>
        <v>417.3398649</v>
      </c>
      <c r="AE14" s="35">
        <f t="shared" si="15"/>
        <v>222.9637698</v>
      </c>
      <c r="AH14" s="5">
        <f t="shared" si="16"/>
        <v>775.9290154</v>
      </c>
      <c r="AI14" s="5">
        <f t="shared" si="17"/>
        <v>775.9290154</v>
      </c>
      <c r="AJ14" s="35">
        <f t="shared" si="18"/>
        <v>251.3191527</v>
      </c>
      <c r="AK14" s="35">
        <f t="shared" si="19"/>
        <v>134.2672254</v>
      </c>
      <c r="AN14" s="5">
        <f t="shared" si="20"/>
        <v>5766.745166000001</v>
      </c>
      <c r="AO14" s="5">
        <f t="shared" si="21"/>
        <v>5766.745166000001</v>
      </c>
      <c r="AP14" s="35">
        <f t="shared" si="22"/>
        <v>1867.8171330000002</v>
      </c>
      <c r="AQ14" s="35">
        <f t="shared" si="23"/>
        <v>997.881066</v>
      </c>
      <c r="AT14" s="5">
        <f t="shared" si="24"/>
        <v>1787.0572932</v>
      </c>
      <c r="AU14" s="5">
        <f t="shared" si="25"/>
        <v>1787.0572932</v>
      </c>
      <c r="AV14" s="35">
        <f t="shared" si="26"/>
        <v>578.8180566</v>
      </c>
      <c r="AW14" s="35">
        <f t="shared" si="27"/>
        <v>309.2334732</v>
      </c>
      <c r="AZ14" s="5">
        <f t="shared" si="28"/>
        <v>3364.4714276</v>
      </c>
      <c r="BA14" s="5">
        <f t="shared" si="29"/>
        <v>3364.4714276</v>
      </c>
      <c r="BB14" s="35">
        <f t="shared" si="30"/>
        <v>1089.7338438</v>
      </c>
      <c r="BC14" s="35">
        <f t="shared" si="31"/>
        <v>582.1901676</v>
      </c>
      <c r="BF14" s="5">
        <f t="shared" si="32"/>
        <v>712.4543027999999</v>
      </c>
      <c r="BG14" s="5">
        <f t="shared" si="33"/>
        <v>712.4543027999999</v>
      </c>
      <c r="BH14" s="35">
        <f t="shared" si="34"/>
        <v>230.76004139999998</v>
      </c>
      <c r="BI14" s="35">
        <f t="shared" si="35"/>
        <v>123.2835228</v>
      </c>
      <c r="BL14" s="5">
        <f t="shared" si="36"/>
        <v>12703.5651078</v>
      </c>
      <c r="BM14" s="5">
        <f t="shared" si="37"/>
        <v>12703.5651078</v>
      </c>
      <c r="BN14" s="35">
        <f t="shared" si="38"/>
        <v>4114.6150689</v>
      </c>
      <c r="BO14" s="35">
        <f t="shared" si="39"/>
        <v>2198.2325778</v>
      </c>
      <c r="BQ14" s="36"/>
      <c r="BR14" s="5">
        <f t="shared" si="40"/>
        <v>5881.8515188</v>
      </c>
      <c r="BS14" s="36">
        <f t="shared" si="41"/>
        <v>5881.8515188</v>
      </c>
      <c r="BT14" s="35">
        <f t="shared" si="42"/>
        <v>1905.0994494</v>
      </c>
      <c r="BU14" s="35">
        <f t="shared" si="43"/>
        <v>1017.7991387999999</v>
      </c>
      <c r="BX14" s="5">
        <f t="shared" si="44"/>
        <v>2816.9890456000003</v>
      </c>
      <c r="BY14" s="5">
        <f t="shared" si="45"/>
        <v>2816.9890456000003</v>
      </c>
      <c r="BZ14" s="35">
        <f t="shared" si="46"/>
        <v>912.4073028</v>
      </c>
      <c r="CA14" s="35">
        <f t="shared" si="47"/>
        <v>487.4534856</v>
      </c>
      <c r="CC14" s="5">
        <f t="shared" si="48"/>
        <v>0</v>
      </c>
      <c r="CD14" s="5">
        <f t="shared" si="49"/>
        <v>415.6502866</v>
      </c>
      <c r="CE14" s="5">
        <f t="shared" si="50"/>
        <v>415.6502866</v>
      </c>
      <c r="CF14" s="35">
        <f t="shared" si="51"/>
        <v>134.6268483</v>
      </c>
      <c r="CG14" s="35">
        <f t="shared" si="52"/>
        <v>71.9243766</v>
      </c>
      <c r="CJ14" s="5">
        <f t="shared" si="53"/>
        <v>1842.8443974</v>
      </c>
      <c r="CK14" s="5">
        <f t="shared" si="54"/>
        <v>1842.8443974</v>
      </c>
      <c r="CL14" s="35">
        <f t="shared" si="55"/>
        <v>596.8871937</v>
      </c>
      <c r="CM14" s="35">
        <f t="shared" si="56"/>
        <v>318.8869074</v>
      </c>
      <c r="CP14" s="5">
        <f t="shared" si="57"/>
        <v>253.79496379999998</v>
      </c>
      <c r="CQ14" s="5">
        <f t="shared" si="58"/>
        <v>253.79496379999998</v>
      </c>
      <c r="CR14" s="35">
        <f t="shared" si="59"/>
        <v>82.2027969</v>
      </c>
      <c r="CS14" s="35">
        <f t="shared" si="60"/>
        <v>43.91683379999999</v>
      </c>
      <c r="CV14" s="5">
        <f t="shared" si="61"/>
        <v>5294.4766824</v>
      </c>
      <c r="CW14" s="5">
        <f t="shared" si="62"/>
        <v>5294.4766824</v>
      </c>
      <c r="CX14" s="35">
        <f t="shared" si="63"/>
        <v>1714.8519612</v>
      </c>
      <c r="CY14" s="35">
        <f t="shared" si="64"/>
        <v>916.1594424</v>
      </c>
      <c r="DB14" s="5">
        <f t="shared" si="65"/>
        <v>1025.5685151999999</v>
      </c>
      <c r="DC14" s="5">
        <f t="shared" si="66"/>
        <v>1025.5685151999999</v>
      </c>
      <c r="DD14" s="35">
        <f t="shared" si="67"/>
        <v>332.17601759999997</v>
      </c>
      <c r="DE14" s="35">
        <f t="shared" si="68"/>
        <v>177.46499519999998</v>
      </c>
      <c r="DH14" s="5">
        <f t="shared" si="69"/>
        <v>1356.8628826</v>
      </c>
      <c r="DI14" s="36">
        <f t="shared" si="70"/>
        <v>1356.8628826</v>
      </c>
      <c r="DJ14" s="35">
        <f t="shared" si="71"/>
        <v>439.4804463</v>
      </c>
      <c r="DK14" s="35">
        <f t="shared" si="72"/>
        <v>234.7923726</v>
      </c>
      <c r="DN14" s="5">
        <f t="shared" si="73"/>
        <v>4410.8172628</v>
      </c>
      <c r="DO14" s="36">
        <f t="shared" si="74"/>
        <v>4410.8172628</v>
      </c>
      <c r="DP14" s="35">
        <f t="shared" si="75"/>
        <v>1428.6395214</v>
      </c>
      <c r="DQ14" s="35">
        <f t="shared" si="76"/>
        <v>763.2504828</v>
      </c>
      <c r="DT14" s="5">
        <f t="shared" si="77"/>
        <v>2593.1134226</v>
      </c>
      <c r="DU14" s="5">
        <f t="shared" si="78"/>
        <v>2593.1134226</v>
      </c>
      <c r="DV14" s="35">
        <f t="shared" si="79"/>
        <v>839.8952162999999</v>
      </c>
      <c r="DW14" s="35">
        <f t="shared" si="80"/>
        <v>448.71391259999996</v>
      </c>
      <c r="DZ14" s="5">
        <f t="shared" si="81"/>
        <v>2927.2127281999997</v>
      </c>
      <c r="EA14" s="5">
        <f t="shared" si="82"/>
        <v>2927.2127281999997</v>
      </c>
      <c r="EB14" s="35">
        <f t="shared" si="83"/>
        <v>948.1081490999999</v>
      </c>
      <c r="EC14" s="35">
        <f t="shared" si="84"/>
        <v>506.5266582</v>
      </c>
      <c r="EF14" s="5">
        <f t="shared" si="85"/>
        <v>33891.2371778</v>
      </c>
      <c r="EG14" s="5">
        <f t="shared" si="86"/>
        <v>33891.2371778</v>
      </c>
      <c r="EH14" s="35">
        <f t="shared" si="87"/>
        <v>10977.1858539</v>
      </c>
      <c r="EI14" s="35">
        <f t="shared" si="88"/>
        <v>5864.5601478</v>
      </c>
      <c r="EL14" s="5">
        <f t="shared" si="89"/>
        <v>1247.8858392</v>
      </c>
      <c r="EM14" s="36">
        <f t="shared" si="90"/>
        <v>1247.8858392</v>
      </c>
      <c r="EN14" s="35">
        <f t="shared" si="91"/>
        <v>404.18337959999997</v>
      </c>
      <c r="EO14" s="35">
        <f t="shared" si="92"/>
        <v>215.9349192</v>
      </c>
      <c r="ER14" s="36">
        <f t="shared" si="93"/>
        <v>1104.6262178000002</v>
      </c>
      <c r="ES14" s="36">
        <f t="shared" si="94"/>
        <v>1104.6262178000002</v>
      </c>
      <c r="ET14" s="35">
        <f t="shared" si="95"/>
        <v>357.78237390000004</v>
      </c>
      <c r="EU14" s="35">
        <f t="shared" si="96"/>
        <v>191.14518780000003</v>
      </c>
      <c r="EV14"/>
    </row>
    <row r="15" spans="1:152" ht="12.75">
      <c r="A15" s="37">
        <v>44652</v>
      </c>
      <c r="C15" s="3">
        <v>5645000</v>
      </c>
      <c r="D15" s="3">
        <v>1038866</v>
      </c>
      <c r="E15" s="35">
        <f t="shared" si="0"/>
        <v>6683866</v>
      </c>
      <c r="F15" s="35">
        <v>336483</v>
      </c>
      <c r="G15" s="35">
        <v>179766</v>
      </c>
      <c r="I15" s="46">
        <f t="shared" si="97"/>
        <v>850825.6899999998</v>
      </c>
      <c r="J15" s="36">
        <f t="shared" si="1"/>
        <v>156579.96125199998</v>
      </c>
      <c r="K15" s="36">
        <f t="shared" si="2"/>
        <v>1007405.6512519998</v>
      </c>
      <c r="L15" s="36">
        <f t="shared" si="3"/>
        <v>50715.390726000005</v>
      </c>
      <c r="M15" s="36">
        <f t="shared" si="3"/>
        <v>27094.691052000002</v>
      </c>
      <c r="O15" s="5">
        <f t="shared" si="98"/>
        <v>353684.088</v>
      </c>
      <c r="P15" s="5">
        <f t="shared" si="4"/>
        <v>65089.5259104</v>
      </c>
      <c r="Q15" s="5">
        <f t="shared" si="5"/>
        <v>418773.61391039996</v>
      </c>
      <c r="R15" s="35">
        <f t="shared" si="6"/>
        <v>21082.140475199998</v>
      </c>
      <c r="S15" s="35">
        <f t="shared" si="7"/>
        <v>11263.1308704</v>
      </c>
      <c r="U15" s="5">
        <f t="shared" si="99"/>
        <v>156.3665</v>
      </c>
      <c r="V15" s="36">
        <f t="shared" si="8"/>
        <v>28.7765882</v>
      </c>
      <c r="W15" s="36">
        <f t="shared" si="9"/>
        <v>185.1430882</v>
      </c>
      <c r="X15" s="35">
        <f t="shared" si="10"/>
        <v>9.3205791</v>
      </c>
      <c r="Y15" s="35">
        <f t="shared" si="11"/>
        <v>4.9795182</v>
      </c>
      <c r="AA15" s="5">
        <f t="shared" si="100"/>
        <v>7001.4935</v>
      </c>
      <c r="AB15" s="5">
        <f t="shared" si="12"/>
        <v>1288.5054998</v>
      </c>
      <c r="AC15" s="5">
        <f t="shared" si="13"/>
        <v>8289.9989998</v>
      </c>
      <c r="AD15" s="35">
        <f t="shared" si="14"/>
        <v>417.3398649</v>
      </c>
      <c r="AE15" s="35">
        <f t="shared" si="15"/>
        <v>222.9637698</v>
      </c>
      <c r="AG15" s="5">
        <f t="shared" si="101"/>
        <v>4216.2505</v>
      </c>
      <c r="AH15" s="5">
        <f t="shared" si="16"/>
        <v>775.9290154</v>
      </c>
      <c r="AI15" s="5">
        <f t="shared" si="17"/>
        <v>4992.1795154</v>
      </c>
      <c r="AJ15" s="35">
        <f t="shared" si="18"/>
        <v>251.3191527</v>
      </c>
      <c r="AK15" s="35">
        <f t="shared" si="19"/>
        <v>134.2672254</v>
      </c>
      <c r="AM15" s="5">
        <f t="shared" si="102"/>
        <v>31335.395</v>
      </c>
      <c r="AN15" s="5">
        <f t="shared" si="20"/>
        <v>5766.745166000001</v>
      </c>
      <c r="AO15" s="5">
        <f t="shared" si="21"/>
        <v>37102.140166</v>
      </c>
      <c r="AP15" s="35">
        <f t="shared" si="22"/>
        <v>1867.8171330000002</v>
      </c>
      <c r="AQ15" s="35">
        <f t="shared" si="23"/>
        <v>997.881066</v>
      </c>
      <c r="AS15" s="5">
        <f t="shared" si="103"/>
        <v>9710.529</v>
      </c>
      <c r="AT15" s="5">
        <f t="shared" si="24"/>
        <v>1787.0572932</v>
      </c>
      <c r="AU15" s="5">
        <f t="shared" si="25"/>
        <v>11497.5862932</v>
      </c>
      <c r="AV15" s="35">
        <f t="shared" si="26"/>
        <v>578.8180566</v>
      </c>
      <c r="AW15" s="35">
        <f t="shared" si="27"/>
        <v>309.2334732</v>
      </c>
      <c r="AY15" s="5">
        <f t="shared" si="104"/>
        <v>18281.897</v>
      </c>
      <c r="AZ15" s="5">
        <f t="shared" si="28"/>
        <v>3364.4714276</v>
      </c>
      <c r="BA15" s="5">
        <f t="shared" si="29"/>
        <v>21646.368427600002</v>
      </c>
      <c r="BB15" s="35">
        <f t="shared" si="30"/>
        <v>1089.7338438</v>
      </c>
      <c r="BC15" s="35">
        <f t="shared" si="31"/>
        <v>582.1901676</v>
      </c>
      <c r="BE15" s="5">
        <f t="shared" si="105"/>
        <v>3871.341</v>
      </c>
      <c r="BF15" s="5">
        <f t="shared" si="32"/>
        <v>712.4543027999999</v>
      </c>
      <c r="BG15" s="5">
        <f t="shared" si="33"/>
        <v>4583.7953028</v>
      </c>
      <c r="BH15" s="35">
        <f t="shared" si="34"/>
        <v>230.76004139999998</v>
      </c>
      <c r="BI15" s="35">
        <f t="shared" si="35"/>
        <v>123.2835228</v>
      </c>
      <c r="BK15" s="5">
        <f t="shared" si="106"/>
        <v>69028.75349999999</v>
      </c>
      <c r="BL15" s="5">
        <f t="shared" si="36"/>
        <v>12703.5651078</v>
      </c>
      <c r="BM15" s="5">
        <f t="shared" si="37"/>
        <v>81732.31860779999</v>
      </c>
      <c r="BN15" s="35">
        <f t="shared" si="38"/>
        <v>4114.6150689</v>
      </c>
      <c r="BO15" s="35">
        <f t="shared" si="39"/>
        <v>2198.2325778</v>
      </c>
      <c r="BQ15" s="36">
        <f t="shared" si="107"/>
        <v>31960.861</v>
      </c>
      <c r="BR15" s="5">
        <f t="shared" si="40"/>
        <v>5881.8515188</v>
      </c>
      <c r="BS15" s="36">
        <f t="shared" si="41"/>
        <v>37842.7125188</v>
      </c>
      <c r="BT15" s="35">
        <f t="shared" si="42"/>
        <v>1905.0994494</v>
      </c>
      <c r="BU15" s="35">
        <f t="shared" si="43"/>
        <v>1017.7991387999999</v>
      </c>
      <c r="BW15" s="5">
        <f t="shared" si="108"/>
        <v>15306.982000000002</v>
      </c>
      <c r="BX15" s="5">
        <f t="shared" si="44"/>
        <v>2816.9890456000003</v>
      </c>
      <c r="BY15" s="5">
        <f t="shared" si="45"/>
        <v>18123.971045600003</v>
      </c>
      <c r="BZ15" s="35">
        <f t="shared" si="46"/>
        <v>912.4073028</v>
      </c>
      <c r="CA15" s="35">
        <f t="shared" si="47"/>
        <v>487.4534856</v>
      </c>
      <c r="CC15" s="5">
        <f t="shared" si="48"/>
        <v>2258.5645</v>
      </c>
      <c r="CD15" s="5">
        <f t="shared" si="49"/>
        <v>415.6502866</v>
      </c>
      <c r="CE15" s="5">
        <f t="shared" si="50"/>
        <v>2674.2147866</v>
      </c>
      <c r="CF15" s="35">
        <f t="shared" si="51"/>
        <v>134.6268483</v>
      </c>
      <c r="CG15" s="35">
        <f t="shared" si="52"/>
        <v>71.9243766</v>
      </c>
      <c r="CI15" s="5">
        <f t="shared" si="109"/>
        <v>10013.6655</v>
      </c>
      <c r="CJ15" s="5">
        <f t="shared" si="53"/>
        <v>1842.8443974</v>
      </c>
      <c r="CK15" s="5">
        <f t="shared" si="54"/>
        <v>11856.5098974</v>
      </c>
      <c r="CL15" s="35">
        <f t="shared" si="55"/>
        <v>596.8871937</v>
      </c>
      <c r="CM15" s="35">
        <f t="shared" si="56"/>
        <v>318.8869074</v>
      </c>
      <c r="CO15" s="5">
        <f t="shared" si="110"/>
        <v>1379.0735</v>
      </c>
      <c r="CP15" s="5">
        <f t="shared" si="57"/>
        <v>253.79496379999998</v>
      </c>
      <c r="CQ15" s="5">
        <f t="shared" si="58"/>
        <v>1632.8684638</v>
      </c>
      <c r="CR15" s="35">
        <f t="shared" si="59"/>
        <v>82.2027969</v>
      </c>
      <c r="CS15" s="35">
        <f t="shared" si="60"/>
        <v>43.91683379999999</v>
      </c>
      <c r="CU15" s="5">
        <f t="shared" si="111"/>
        <v>28769.178</v>
      </c>
      <c r="CV15" s="5">
        <f t="shared" si="61"/>
        <v>5294.4766824</v>
      </c>
      <c r="CW15" s="5">
        <f t="shared" si="62"/>
        <v>34063.654682399996</v>
      </c>
      <c r="CX15" s="35">
        <f t="shared" si="63"/>
        <v>1714.8519612</v>
      </c>
      <c r="CY15" s="35">
        <f t="shared" si="64"/>
        <v>916.1594424</v>
      </c>
      <c r="DA15" s="5">
        <f t="shared" si="112"/>
        <v>5572.744</v>
      </c>
      <c r="DB15" s="5">
        <f t="shared" si="65"/>
        <v>1025.5685151999999</v>
      </c>
      <c r="DC15" s="5">
        <f t="shared" si="66"/>
        <v>6598.312515199999</v>
      </c>
      <c r="DD15" s="35">
        <f t="shared" si="67"/>
        <v>332.17601759999997</v>
      </c>
      <c r="DE15" s="35">
        <f t="shared" si="68"/>
        <v>177.46499519999998</v>
      </c>
      <c r="DG15" s="5">
        <f t="shared" si="113"/>
        <v>7372.934499999999</v>
      </c>
      <c r="DH15" s="5">
        <f t="shared" si="69"/>
        <v>1356.8628826</v>
      </c>
      <c r="DI15" s="36">
        <f t="shared" si="70"/>
        <v>8729.7973826</v>
      </c>
      <c r="DJ15" s="35">
        <f t="shared" si="71"/>
        <v>439.4804463</v>
      </c>
      <c r="DK15" s="35">
        <f t="shared" si="72"/>
        <v>234.7923726</v>
      </c>
      <c r="DM15" s="5">
        <f t="shared" si="114"/>
        <v>23967.541</v>
      </c>
      <c r="DN15" s="5">
        <f t="shared" si="73"/>
        <v>4410.8172628</v>
      </c>
      <c r="DO15" s="36">
        <f t="shared" si="74"/>
        <v>28378.3582628</v>
      </c>
      <c r="DP15" s="35">
        <f t="shared" si="75"/>
        <v>1428.6395214</v>
      </c>
      <c r="DQ15" s="35">
        <f t="shared" si="76"/>
        <v>763.2504828</v>
      </c>
      <c r="DS15" s="5">
        <f t="shared" si="115"/>
        <v>14090.484499999999</v>
      </c>
      <c r="DT15" s="5">
        <f t="shared" si="77"/>
        <v>2593.1134226</v>
      </c>
      <c r="DU15" s="5">
        <f t="shared" si="78"/>
        <v>16683.597922599998</v>
      </c>
      <c r="DV15" s="35">
        <f t="shared" si="79"/>
        <v>839.8952162999999</v>
      </c>
      <c r="DW15" s="35">
        <f t="shared" si="80"/>
        <v>448.71391259999996</v>
      </c>
      <c r="DY15" s="5">
        <f t="shared" si="116"/>
        <v>15905.9165</v>
      </c>
      <c r="DZ15" s="5">
        <f t="shared" si="81"/>
        <v>2927.2127281999997</v>
      </c>
      <c r="EA15" s="5">
        <f t="shared" si="82"/>
        <v>18833.1292282</v>
      </c>
      <c r="EB15" s="35">
        <f t="shared" si="83"/>
        <v>948.1081490999999</v>
      </c>
      <c r="EC15" s="35">
        <f t="shared" si="84"/>
        <v>506.5266582</v>
      </c>
      <c r="EE15" s="5">
        <f t="shared" si="117"/>
        <v>184158.52850000001</v>
      </c>
      <c r="EF15" s="5">
        <f t="shared" si="85"/>
        <v>33891.2371778</v>
      </c>
      <c r="EG15" s="5">
        <f t="shared" si="86"/>
        <v>218049.76567780002</v>
      </c>
      <c r="EH15" s="35">
        <f t="shared" si="87"/>
        <v>10977.1858539</v>
      </c>
      <c r="EI15" s="35">
        <f t="shared" si="88"/>
        <v>5864.5601478</v>
      </c>
      <c r="EK15" s="5">
        <f t="shared" si="118"/>
        <v>6780.773999999999</v>
      </c>
      <c r="EL15" s="5">
        <f t="shared" si="89"/>
        <v>1247.8858392</v>
      </c>
      <c r="EM15" s="36">
        <f t="shared" si="90"/>
        <v>8028.6598392</v>
      </c>
      <c r="EN15" s="35">
        <f t="shared" si="91"/>
        <v>404.18337959999997</v>
      </c>
      <c r="EO15" s="35">
        <f t="shared" si="92"/>
        <v>215.9349192</v>
      </c>
      <c r="EQ15" s="5">
        <f t="shared" si="119"/>
        <v>6002.3285000000005</v>
      </c>
      <c r="ER15" s="36">
        <f t="shared" si="93"/>
        <v>1104.6262178000002</v>
      </c>
      <c r="ES15" s="36">
        <f t="shared" si="94"/>
        <v>7106.954717800001</v>
      </c>
      <c r="ET15" s="35">
        <f t="shared" si="95"/>
        <v>357.78237390000004</v>
      </c>
      <c r="EU15" s="35">
        <f t="shared" si="96"/>
        <v>191.14518780000003</v>
      </c>
      <c r="EV15"/>
    </row>
    <row r="16" spans="1:152" ht="12.75">
      <c r="A16" s="37">
        <v>44835</v>
      </c>
      <c r="D16" s="3">
        <v>897741</v>
      </c>
      <c r="E16" s="35">
        <f t="shared" si="0"/>
        <v>897741</v>
      </c>
      <c r="F16" s="35">
        <v>336483</v>
      </c>
      <c r="G16" s="35">
        <v>179766</v>
      </c>
      <c r="I16" s="46"/>
      <c r="J16" s="36">
        <f t="shared" si="1"/>
        <v>135309.31900199997</v>
      </c>
      <c r="K16" s="36">
        <f t="shared" si="2"/>
        <v>135309.31900199997</v>
      </c>
      <c r="L16" s="36">
        <f t="shared" si="3"/>
        <v>50715.390726000005</v>
      </c>
      <c r="M16" s="36">
        <f t="shared" si="3"/>
        <v>27094.691052000002</v>
      </c>
      <c r="P16" s="5">
        <f t="shared" si="4"/>
        <v>56247.4237104</v>
      </c>
      <c r="Q16" s="5">
        <f t="shared" si="5"/>
        <v>56247.4237104</v>
      </c>
      <c r="R16" s="35">
        <f t="shared" si="6"/>
        <v>21082.140475199998</v>
      </c>
      <c r="S16" s="35">
        <f t="shared" si="7"/>
        <v>11263.1308704</v>
      </c>
      <c r="V16" s="36">
        <f t="shared" si="8"/>
        <v>24.8674257</v>
      </c>
      <c r="W16" s="36">
        <f t="shared" si="9"/>
        <v>24.8674257</v>
      </c>
      <c r="X16" s="35">
        <f t="shared" si="10"/>
        <v>9.3205791</v>
      </c>
      <c r="Y16" s="35">
        <f t="shared" si="11"/>
        <v>4.9795182</v>
      </c>
      <c r="AB16" s="5">
        <f t="shared" si="12"/>
        <v>1113.4681623</v>
      </c>
      <c r="AC16" s="5">
        <f t="shared" si="13"/>
        <v>1113.4681623</v>
      </c>
      <c r="AD16" s="35">
        <f t="shared" si="14"/>
        <v>417.3398649</v>
      </c>
      <c r="AE16" s="35">
        <f t="shared" si="15"/>
        <v>222.9637698</v>
      </c>
      <c r="AH16" s="5">
        <f t="shared" si="16"/>
        <v>670.5227529</v>
      </c>
      <c r="AI16" s="5">
        <f t="shared" si="17"/>
        <v>670.5227529</v>
      </c>
      <c r="AJ16" s="35">
        <f t="shared" si="18"/>
        <v>251.3191527</v>
      </c>
      <c r="AK16" s="35">
        <f t="shared" si="19"/>
        <v>134.2672254</v>
      </c>
      <c r="AN16" s="5">
        <f t="shared" si="20"/>
        <v>4983.360291</v>
      </c>
      <c r="AO16" s="5">
        <f t="shared" si="21"/>
        <v>4983.360291</v>
      </c>
      <c r="AP16" s="35">
        <f t="shared" si="22"/>
        <v>1867.8171330000002</v>
      </c>
      <c r="AQ16" s="35">
        <f t="shared" si="23"/>
        <v>997.881066</v>
      </c>
      <c r="AT16" s="5">
        <f t="shared" si="24"/>
        <v>1544.2940682</v>
      </c>
      <c r="AU16" s="5">
        <f t="shared" si="25"/>
        <v>1544.2940682</v>
      </c>
      <c r="AV16" s="35">
        <f t="shared" si="26"/>
        <v>578.8180566</v>
      </c>
      <c r="AW16" s="35">
        <f t="shared" si="27"/>
        <v>309.2334732</v>
      </c>
      <c r="AZ16" s="5">
        <f t="shared" si="28"/>
        <v>2907.4240025999998</v>
      </c>
      <c r="BA16" s="5">
        <f t="shared" si="29"/>
        <v>2907.4240025999998</v>
      </c>
      <c r="BB16" s="35">
        <f t="shared" si="30"/>
        <v>1089.7338438</v>
      </c>
      <c r="BC16" s="35">
        <f t="shared" si="31"/>
        <v>582.1901676</v>
      </c>
      <c r="BF16" s="5">
        <f t="shared" si="32"/>
        <v>615.6707778</v>
      </c>
      <c r="BG16" s="5">
        <f t="shared" si="33"/>
        <v>615.6707778</v>
      </c>
      <c r="BH16" s="35">
        <f t="shared" si="34"/>
        <v>230.76004139999998</v>
      </c>
      <c r="BI16" s="35">
        <f t="shared" si="35"/>
        <v>123.2835228</v>
      </c>
      <c r="BL16" s="5">
        <f t="shared" si="36"/>
        <v>10977.846270299999</v>
      </c>
      <c r="BM16" s="5">
        <f t="shared" si="37"/>
        <v>10977.846270299999</v>
      </c>
      <c r="BN16" s="35">
        <f t="shared" si="38"/>
        <v>4114.6150689</v>
      </c>
      <c r="BO16" s="35">
        <f t="shared" si="39"/>
        <v>2198.2325778</v>
      </c>
      <c r="BQ16" s="36"/>
      <c r="BR16" s="5">
        <f t="shared" si="40"/>
        <v>5082.8299938</v>
      </c>
      <c r="BS16" s="36">
        <f t="shared" si="41"/>
        <v>5082.8299938</v>
      </c>
      <c r="BT16" s="35">
        <f t="shared" si="42"/>
        <v>1905.0994494</v>
      </c>
      <c r="BU16" s="35">
        <f t="shared" si="43"/>
        <v>1017.7991387999999</v>
      </c>
      <c r="BX16" s="5">
        <f t="shared" si="44"/>
        <v>2434.3144956</v>
      </c>
      <c r="BY16" s="5">
        <f t="shared" si="45"/>
        <v>2434.3144956</v>
      </c>
      <c r="BZ16" s="35">
        <f t="shared" si="46"/>
        <v>912.4073028</v>
      </c>
      <c r="CA16" s="35">
        <f t="shared" si="47"/>
        <v>487.4534856</v>
      </c>
      <c r="CC16" s="5">
        <f t="shared" si="48"/>
        <v>0</v>
      </c>
      <c r="CD16" s="5">
        <f t="shared" si="49"/>
        <v>359.1861741</v>
      </c>
      <c r="CE16" s="5">
        <f t="shared" si="50"/>
        <v>359.1861741</v>
      </c>
      <c r="CF16" s="35">
        <f t="shared" si="51"/>
        <v>134.6268483</v>
      </c>
      <c r="CG16" s="35">
        <f t="shared" si="52"/>
        <v>71.9243766</v>
      </c>
      <c r="CJ16" s="5">
        <f t="shared" si="53"/>
        <v>1592.5027599</v>
      </c>
      <c r="CK16" s="5">
        <f t="shared" si="54"/>
        <v>1592.5027599</v>
      </c>
      <c r="CL16" s="35">
        <f t="shared" si="55"/>
        <v>596.8871937</v>
      </c>
      <c r="CM16" s="35">
        <f t="shared" si="56"/>
        <v>318.8869074</v>
      </c>
      <c r="CP16" s="5">
        <f t="shared" si="57"/>
        <v>219.3181263</v>
      </c>
      <c r="CQ16" s="5">
        <f t="shared" si="58"/>
        <v>219.3181263</v>
      </c>
      <c r="CR16" s="35">
        <f t="shared" si="59"/>
        <v>82.2027969</v>
      </c>
      <c r="CS16" s="35">
        <f t="shared" si="60"/>
        <v>43.91683379999999</v>
      </c>
      <c r="CV16" s="5">
        <f t="shared" si="61"/>
        <v>4575.2472324</v>
      </c>
      <c r="CW16" s="5">
        <f t="shared" si="62"/>
        <v>4575.2472324</v>
      </c>
      <c r="CX16" s="35">
        <f t="shared" si="63"/>
        <v>1714.8519612</v>
      </c>
      <c r="CY16" s="35">
        <f t="shared" si="64"/>
        <v>916.1594424</v>
      </c>
      <c r="DB16" s="5">
        <f t="shared" si="65"/>
        <v>886.2499151999999</v>
      </c>
      <c r="DC16" s="5">
        <f t="shared" si="66"/>
        <v>886.2499151999999</v>
      </c>
      <c r="DD16" s="35">
        <f t="shared" si="67"/>
        <v>332.17601759999997</v>
      </c>
      <c r="DE16" s="35">
        <f t="shared" si="68"/>
        <v>177.46499519999998</v>
      </c>
      <c r="DH16" s="5">
        <f t="shared" si="69"/>
        <v>1172.5395201</v>
      </c>
      <c r="DI16" s="36">
        <f t="shared" si="70"/>
        <v>1172.5395201</v>
      </c>
      <c r="DJ16" s="35">
        <f t="shared" si="71"/>
        <v>439.4804463</v>
      </c>
      <c r="DK16" s="35">
        <f t="shared" si="72"/>
        <v>234.7923726</v>
      </c>
      <c r="DN16" s="5">
        <f t="shared" si="73"/>
        <v>3811.6287378</v>
      </c>
      <c r="DO16" s="36">
        <f t="shared" si="74"/>
        <v>3811.6287378</v>
      </c>
      <c r="DP16" s="35">
        <f t="shared" si="75"/>
        <v>1428.6395214</v>
      </c>
      <c r="DQ16" s="35">
        <f t="shared" si="76"/>
        <v>763.2504828</v>
      </c>
      <c r="DT16" s="5">
        <f t="shared" si="77"/>
        <v>2240.8513101</v>
      </c>
      <c r="DU16" s="5">
        <f t="shared" si="78"/>
        <v>2240.8513101</v>
      </c>
      <c r="DV16" s="35">
        <f t="shared" si="79"/>
        <v>839.8952162999999</v>
      </c>
      <c r="DW16" s="35">
        <f t="shared" si="80"/>
        <v>448.71391259999996</v>
      </c>
      <c r="DZ16" s="5">
        <f t="shared" si="81"/>
        <v>2529.5648156999996</v>
      </c>
      <c r="EA16" s="5">
        <f t="shared" si="82"/>
        <v>2529.5648156999996</v>
      </c>
      <c r="EB16" s="35">
        <f t="shared" si="83"/>
        <v>948.1081490999999</v>
      </c>
      <c r="EC16" s="35">
        <f t="shared" si="84"/>
        <v>506.5266582</v>
      </c>
      <c r="EF16" s="5">
        <f t="shared" si="85"/>
        <v>29287.273965300003</v>
      </c>
      <c r="EG16" s="5">
        <f t="shared" si="86"/>
        <v>29287.273965300003</v>
      </c>
      <c r="EH16" s="35">
        <f t="shared" si="87"/>
        <v>10977.1858539</v>
      </c>
      <c r="EI16" s="35">
        <f t="shared" si="88"/>
        <v>5864.5601478</v>
      </c>
      <c r="EL16" s="5">
        <f t="shared" si="89"/>
        <v>1078.3664892</v>
      </c>
      <c r="EM16" s="36">
        <f t="shared" si="90"/>
        <v>1078.3664892</v>
      </c>
      <c r="EN16" s="35">
        <f t="shared" si="91"/>
        <v>404.18337959999997</v>
      </c>
      <c r="EO16" s="35">
        <f t="shared" si="92"/>
        <v>215.9349192</v>
      </c>
      <c r="ER16" s="36">
        <f t="shared" si="93"/>
        <v>954.5680053000001</v>
      </c>
      <c r="ES16" s="36">
        <f t="shared" si="94"/>
        <v>954.5680053000001</v>
      </c>
      <c r="ET16" s="35">
        <f t="shared" si="95"/>
        <v>357.78237390000004</v>
      </c>
      <c r="EU16" s="35">
        <f t="shared" si="96"/>
        <v>191.14518780000003</v>
      </c>
      <c r="EV16"/>
    </row>
    <row r="17" spans="1:152" ht="12.75">
      <c r="A17" s="37">
        <v>45017</v>
      </c>
      <c r="C17" s="3">
        <v>5930000</v>
      </c>
      <c r="D17" s="3">
        <v>897741</v>
      </c>
      <c r="E17" s="35">
        <f t="shared" si="0"/>
        <v>6827741</v>
      </c>
      <c r="F17" s="35">
        <v>336483</v>
      </c>
      <c r="G17" s="35">
        <v>179766</v>
      </c>
      <c r="I17" s="46">
        <f t="shared" si="97"/>
        <v>893781.46</v>
      </c>
      <c r="J17" s="36">
        <f t="shared" si="1"/>
        <v>135309.31900199997</v>
      </c>
      <c r="K17" s="36">
        <f t="shared" si="2"/>
        <v>1029090.7790019999</v>
      </c>
      <c r="L17" s="36">
        <f t="shared" si="3"/>
        <v>50715.390726000005</v>
      </c>
      <c r="M17" s="36">
        <f t="shared" si="3"/>
        <v>27094.691052000002</v>
      </c>
      <c r="O17" s="5">
        <f t="shared" si="98"/>
        <v>371540.592</v>
      </c>
      <c r="P17" s="5">
        <f t="shared" si="4"/>
        <v>56247.4237104</v>
      </c>
      <c r="Q17" s="5">
        <f t="shared" si="5"/>
        <v>427788.0157104</v>
      </c>
      <c r="R17" s="35">
        <f t="shared" si="6"/>
        <v>21082.140475199998</v>
      </c>
      <c r="S17" s="35">
        <f t="shared" si="7"/>
        <v>11263.1308704</v>
      </c>
      <c r="U17" s="5">
        <f t="shared" si="99"/>
        <v>164.261</v>
      </c>
      <c r="V17" s="36">
        <f t="shared" si="8"/>
        <v>24.8674257</v>
      </c>
      <c r="W17" s="36">
        <f t="shared" si="9"/>
        <v>189.12842569999998</v>
      </c>
      <c r="X17" s="35">
        <f t="shared" si="10"/>
        <v>9.3205791</v>
      </c>
      <c r="Y17" s="35">
        <f t="shared" si="11"/>
        <v>4.9795182</v>
      </c>
      <c r="AA17" s="5">
        <f t="shared" si="100"/>
        <v>7354.978999999999</v>
      </c>
      <c r="AB17" s="5">
        <f t="shared" si="12"/>
        <v>1113.4681623</v>
      </c>
      <c r="AC17" s="5">
        <f t="shared" si="13"/>
        <v>8468.447162299999</v>
      </c>
      <c r="AD17" s="35">
        <f t="shared" si="14"/>
        <v>417.3398649</v>
      </c>
      <c r="AE17" s="35">
        <f t="shared" si="15"/>
        <v>222.9637698</v>
      </c>
      <c r="AG17" s="5">
        <f t="shared" si="101"/>
        <v>4429.117</v>
      </c>
      <c r="AH17" s="5">
        <f t="shared" si="16"/>
        <v>670.5227529</v>
      </c>
      <c r="AI17" s="5">
        <f t="shared" si="17"/>
        <v>5099.6397529000005</v>
      </c>
      <c r="AJ17" s="35">
        <f t="shared" si="18"/>
        <v>251.3191527</v>
      </c>
      <c r="AK17" s="35">
        <f t="shared" si="19"/>
        <v>134.2672254</v>
      </c>
      <c r="AM17" s="5">
        <f t="shared" si="102"/>
        <v>32917.43</v>
      </c>
      <c r="AN17" s="5">
        <f t="shared" si="20"/>
        <v>4983.360291</v>
      </c>
      <c r="AO17" s="5">
        <f t="shared" si="21"/>
        <v>37900.790291</v>
      </c>
      <c r="AP17" s="35">
        <f t="shared" si="22"/>
        <v>1867.8171330000002</v>
      </c>
      <c r="AQ17" s="35">
        <f t="shared" si="23"/>
        <v>997.881066</v>
      </c>
      <c r="AS17" s="5">
        <f t="shared" si="103"/>
        <v>10200.786</v>
      </c>
      <c r="AT17" s="5">
        <f t="shared" si="24"/>
        <v>1544.2940682</v>
      </c>
      <c r="AU17" s="5">
        <f t="shared" si="25"/>
        <v>11745.0800682</v>
      </c>
      <c r="AV17" s="35">
        <f t="shared" si="26"/>
        <v>578.8180566</v>
      </c>
      <c r="AW17" s="35">
        <f t="shared" si="27"/>
        <v>309.2334732</v>
      </c>
      <c r="AY17" s="5">
        <f t="shared" si="104"/>
        <v>19204.898</v>
      </c>
      <c r="AZ17" s="5">
        <f t="shared" si="28"/>
        <v>2907.4240025999998</v>
      </c>
      <c r="BA17" s="5">
        <f t="shared" si="29"/>
        <v>22112.3220026</v>
      </c>
      <c r="BB17" s="35">
        <f t="shared" si="30"/>
        <v>1089.7338438</v>
      </c>
      <c r="BC17" s="35">
        <f t="shared" si="31"/>
        <v>582.1901676</v>
      </c>
      <c r="BE17" s="5">
        <f t="shared" si="105"/>
        <v>4066.794</v>
      </c>
      <c r="BF17" s="5">
        <f t="shared" si="32"/>
        <v>615.6707778</v>
      </c>
      <c r="BG17" s="5">
        <f t="shared" si="33"/>
        <v>4682.4647778</v>
      </c>
      <c r="BH17" s="35">
        <f t="shared" si="34"/>
        <v>230.76004139999998</v>
      </c>
      <c r="BI17" s="35">
        <f t="shared" si="35"/>
        <v>123.2835228</v>
      </c>
      <c r="BK17" s="5">
        <f t="shared" si="106"/>
        <v>72513.81899999999</v>
      </c>
      <c r="BL17" s="5">
        <f t="shared" si="36"/>
        <v>10977.846270299999</v>
      </c>
      <c r="BM17" s="5">
        <f t="shared" si="37"/>
        <v>83491.66527029999</v>
      </c>
      <c r="BN17" s="35">
        <f t="shared" si="38"/>
        <v>4114.6150689</v>
      </c>
      <c r="BO17" s="35">
        <f t="shared" si="39"/>
        <v>2198.2325778</v>
      </c>
      <c r="BQ17" s="36">
        <f t="shared" si="107"/>
        <v>33574.474</v>
      </c>
      <c r="BR17" s="5">
        <f t="shared" si="40"/>
        <v>5082.8299938</v>
      </c>
      <c r="BS17" s="36">
        <f t="shared" si="41"/>
        <v>38657.3039938</v>
      </c>
      <c r="BT17" s="35">
        <f t="shared" si="42"/>
        <v>1905.0994494</v>
      </c>
      <c r="BU17" s="35">
        <f t="shared" si="43"/>
        <v>1017.7991387999999</v>
      </c>
      <c r="BW17" s="5">
        <f t="shared" si="108"/>
        <v>16079.788</v>
      </c>
      <c r="BX17" s="5">
        <f t="shared" si="44"/>
        <v>2434.3144956</v>
      </c>
      <c r="BY17" s="5">
        <f t="shared" si="45"/>
        <v>18514.1024956</v>
      </c>
      <c r="BZ17" s="35">
        <f t="shared" si="46"/>
        <v>912.4073028</v>
      </c>
      <c r="CA17" s="35">
        <f t="shared" si="47"/>
        <v>487.4534856</v>
      </c>
      <c r="CC17" s="5">
        <f t="shared" si="48"/>
        <v>2372.5930000000003</v>
      </c>
      <c r="CD17" s="5">
        <f t="shared" si="49"/>
        <v>359.1861741</v>
      </c>
      <c r="CE17" s="5">
        <f t="shared" si="50"/>
        <v>2731.7791741</v>
      </c>
      <c r="CF17" s="35">
        <f t="shared" si="51"/>
        <v>134.6268483</v>
      </c>
      <c r="CG17" s="35">
        <f t="shared" si="52"/>
        <v>71.9243766</v>
      </c>
      <c r="CI17" s="5">
        <f t="shared" si="109"/>
        <v>10519.226999999999</v>
      </c>
      <c r="CJ17" s="5">
        <f t="shared" si="53"/>
        <v>1592.5027599</v>
      </c>
      <c r="CK17" s="5">
        <f t="shared" si="54"/>
        <v>12111.7297599</v>
      </c>
      <c r="CL17" s="35">
        <f t="shared" si="55"/>
        <v>596.8871937</v>
      </c>
      <c r="CM17" s="35">
        <f t="shared" si="56"/>
        <v>318.8869074</v>
      </c>
      <c r="CO17" s="5">
        <f t="shared" si="110"/>
        <v>1448.6989999999998</v>
      </c>
      <c r="CP17" s="5">
        <f t="shared" si="57"/>
        <v>219.3181263</v>
      </c>
      <c r="CQ17" s="5">
        <f t="shared" si="58"/>
        <v>1668.0171262999997</v>
      </c>
      <c r="CR17" s="35">
        <f t="shared" si="59"/>
        <v>82.2027969</v>
      </c>
      <c r="CS17" s="35">
        <f t="shared" si="60"/>
        <v>43.91683379999999</v>
      </c>
      <c r="CU17" s="5">
        <f t="shared" si="111"/>
        <v>30221.652000000002</v>
      </c>
      <c r="CV17" s="5">
        <f t="shared" si="61"/>
        <v>4575.2472324</v>
      </c>
      <c r="CW17" s="5">
        <f t="shared" si="62"/>
        <v>34796.8992324</v>
      </c>
      <c r="CX17" s="35">
        <f t="shared" si="63"/>
        <v>1714.8519612</v>
      </c>
      <c r="CY17" s="35">
        <f t="shared" si="64"/>
        <v>916.1594424</v>
      </c>
      <c r="DA17" s="5">
        <f t="shared" si="112"/>
        <v>5854.096</v>
      </c>
      <c r="DB17" s="5">
        <f t="shared" si="65"/>
        <v>886.2499151999999</v>
      </c>
      <c r="DC17" s="5">
        <f t="shared" si="66"/>
        <v>6740.3459152</v>
      </c>
      <c r="DD17" s="35">
        <f t="shared" si="67"/>
        <v>332.17601759999997</v>
      </c>
      <c r="DE17" s="35">
        <f t="shared" si="68"/>
        <v>177.46499519999998</v>
      </c>
      <c r="DG17" s="5">
        <f t="shared" si="113"/>
        <v>7745.173</v>
      </c>
      <c r="DH17" s="5">
        <f t="shared" si="69"/>
        <v>1172.5395201</v>
      </c>
      <c r="DI17" s="36">
        <f t="shared" si="70"/>
        <v>8917.7125201</v>
      </c>
      <c r="DJ17" s="35">
        <f t="shared" si="71"/>
        <v>439.4804463</v>
      </c>
      <c r="DK17" s="35">
        <f t="shared" si="72"/>
        <v>234.7923726</v>
      </c>
      <c r="DM17" s="5">
        <f t="shared" si="114"/>
        <v>25177.594</v>
      </c>
      <c r="DN17" s="5">
        <f t="shared" si="73"/>
        <v>3811.6287378</v>
      </c>
      <c r="DO17" s="36">
        <f t="shared" si="74"/>
        <v>28989.222737800003</v>
      </c>
      <c r="DP17" s="35">
        <f t="shared" si="75"/>
        <v>1428.6395214</v>
      </c>
      <c r="DQ17" s="35">
        <f t="shared" si="76"/>
        <v>763.2504828</v>
      </c>
      <c r="DS17" s="5">
        <f t="shared" si="115"/>
        <v>14801.873</v>
      </c>
      <c r="DT17" s="5">
        <f t="shared" si="77"/>
        <v>2240.8513101</v>
      </c>
      <c r="DU17" s="5">
        <f t="shared" si="78"/>
        <v>17042.7243101</v>
      </c>
      <c r="DV17" s="35">
        <f t="shared" si="79"/>
        <v>839.8952162999999</v>
      </c>
      <c r="DW17" s="35">
        <f t="shared" si="80"/>
        <v>448.71391259999996</v>
      </c>
      <c r="DY17" s="5">
        <f t="shared" si="116"/>
        <v>16708.961</v>
      </c>
      <c r="DZ17" s="5">
        <f t="shared" si="81"/>
        <v>2529.5648156999996</v>
      </c>
      <c r="EA17" s="5">
        <f t="shared" si="82"/>
        <v>19238.5258157</v>
      </c>
      <c r="EB17" s="35">
        <f t="shared" si="83"/>
        <v>948.1081490999999</v>
      </c>
      <c r="EC17" s="35">
        <f t="shared" si="84"/>
        <v>506.5266582</v>
      </c>
      <c r="EE17" s="5">
        <f t="shared" si="117"/>
        <v>193456.169</v>
      </c>
      <c r="EF17" s="5">
        <f t="shared" si="85"/>
        <v>29287.273965300003</v>
      </c>
      <c r="EG17" s="5">
        <f t="shared" si="86"/>
        <v>222743.4429653</v>
      </c>
      <c r="EH17" s="35">
        <f t="shared" si="87"/>
        <v>10977.1858539</v>
      </c>
      <c r="EI17" s="35">
        <f t="shared" si="88"/>
        <v>5864.5601478</v>
      </c>
      <c r="EK17" s="5">
        <f t="shared" si="118"/>
        <v>7123.116</v>
      </c>
      <c r="EL17" s="5">
        <f t="shared" si="89"/>
        <v>1078.3664892</v>
      </c>
      <c r="EM17" s="36">
        <f t="shared" si="90"/>
        <v>8201.4824892</v>
      </c>
      <c r="EN17" s="35">
        <f t="shared" si="91"/>
        <v>404.18337959999997</v>
      </c>
      <c r="EO17" s="35">
        <f t="shared" si="92"/>
        <v>215.9349192</v>
      </c>
      <c r="EQ17" s="5">
        <f t="shared" si="119"/>
        <v>6305.369000000001</v>
      </c>
      <c r="ER17" s="36">
        <f t="shared" si="93"/>
        <v>954.5680053000001</v>
      </c>
      <c r="ES17" s="36">
        <f t="shared" si="94"/>
        <v>7259.9370053</v>
      </c>
      <c r="ET17" s="35">
        <f t="shared" si="95"/>
        <v>357.78237390000004</v>
      </c>
      <c r="EU17" s="35">
        <f t="shared" si="96"/>
        <v>191.14518780000003</v>
      </c>
      <c r="EV17"/>
    </row>
    <row r="18" spans="1:152" ht="12.75">
      <c r="A18" s="37">
        <v>45200</v>
      </c>
      <c r="D18" s="3">
        <v>749491</v>
      </c>
      <c r="E18" s="35">
        <f t="shared" si="0"/>
        <v>749491</v>
      </c>
      <c r="F18" s="35">
        <v>336483</v>
      </c>
      <c r="G18" s="35">
        <v>179766</v>
      </c>
      <c r="I18" s="46"/>
      <c r="J18" s="36">
        <f t="shared" si="1"/>
        <v>112964.78250200002</v>
      </c>
      <c r="K18" s="36">
        <f t="shared" si="2"/>
        <v>112964.78250200002</v>
      </c>
      <c r="L18" s="36">
        <f t="shared" si="3"/>
        <v>50715.390726000005</v>
      </c>
      <c r="M18" s="36">
        <f t="shared" si="3"/>
        <v>27094.691052000002</v>
      </c>
      <c r="P18" s="5">
        <f t="shared" si="4"/>
        <v>46958.9089104</v>
      </c>
      <c r="Q18" s="5">
        <f t="shared" si="5"/>
        <v>46958.9089104</v>
      </c>
      <c r="R18" s="35">
        <f t="shared" si="6"/>
        <v>21082.140475199998</v>
      </c>
      <c r="S18" s="35">
        <f t="shared" si="7"/>
        <v>11263.1308704</v>
      </c>
      <c r="V18" s="36">
        <f t="shared" si="8"/>
        <v>20.7609007</v>
      </c>
      <c r="W18" s="36">
        <f t="shared" si="9"/>
        <v>20.7609007</v>
      </c>
      <c r="X18" s="35">
        <f t="shared" si="10"/>
        <v>9.3205791</v>
      </c>
      <c r="Y18" s="35">
        <f t="shared" si="11"/>
        <v>4.9795182</v>
      </c>
      <c r="AB18" s="5">
        <f t="shared" si="12"/>
        <v>929.5936872999999</v>
      </c>
      <c r="AC18" s="5">
        <f t="shared" si="13"/>
        <v>929.5936872999999</v>
      </c>
      <c r="AD18" s="35">
        <f t="shared" si="14"/>
        <v>417.3398649</v>
      </c>
      <c r="AE18" s="35">
        <f t="shared" si="15"/>
        <v>222.9637698</v>
      </c>
      <c r="AH18" s="5">
        <f t="shared" si="16"/>
        <v>559.7948279</v>
      </c>
      <c r="AI18" s="5">
        <f t="shared" si="17"/>
        <v>559.7948279</v>
      </c>
      <c r="AJ18" s="35">
        <f t="shared" si="18"/>
        <v>251.3191527</v>
      </c>
      <c r="AK18" s="35">
        <f t="shared" si="19"/>
        <v>134.2672254</v>
      </c>
      <c r="AN18" s="5">
        <f t="shared" si="20"/>
        <v>4160.424541</v>
      </c>
      <c r="AO18" s="5">
        <f t="shared" si="21"/>
        <v>4160.424541</v>
      </c>
      <c r="AP18" s="35">
        <f t="shared" si="22"/>
        <v>1867.8171330000002</v>
      </c>
      <c r="AQ18" s="35">
        <f t="shared" si="23"/>
        <v>997.881066</v>
      </c>
      <c r="AT18" s="5">
        <f t="shared" si="24"/>
        <v>1289.2744182000001</v>
      </c>
      <c r="AU18" s="5">
        <f t="shared" si="25"/>
        <v>1289.2744182000001</v>
      </c>
      <c r="AV18" s="35">
        <f t="shared" si="26"/>
        <v>578.8180566</v>
      </c>
      <c r="AW18" s="35">
        <f t="shared" si="27"/>
        <v>309.2334732</v>
      </c>
      <c r="AZ18" s="5">
        <f t="shared" si="28"/>
        <v>2427.3015526</v>
      </c>
      <c r="BA18" s="5">
        <f t="shared" si="29"/>
        <v>2427.3015526</v>
      </c>
      <c r="BB18" s="35">
        <f t="shared" si="30"/>
        <v>1089.7338438</v>
      </c>
      <c r="BC18" s="35">
        <f t="shared" si="31"/>
        <v>582.1901676</v>
      </c>
      <c r="BF18" s="5">
        <f t="shared" si="32"/>
        <v>514.0009278</v>
      </c>
      <c r="BG18" s="5">
        <f t="shared" si="33"/>
        <v>514.0009278</v>
      </c>
      <c r="BH18" s="35">
        <f t="shared" si="34"/>
        <v>230.76004139999998</v>
      </c>
      <c r="BI18" s="35">
        <f t="shared" si="35"/>
        <v>123.2835228</v>
      </c>
      <c r="BL18" s="5">
        <f t="shared" si="36"/>
        <v>9165.000795299999</v>
      </c>
      <c r="BM18" s="5">
        <f t="shared" si="37"/>
        <v>9165.000795299999</v>
      </c>
      <c r="BN18" s="35">
        <f t="shared" si="38"/>
        <v>4114.6150689</v>
      </c>
      <c r="BO18" s="35">
        <f t="shared" si="39"/>
        <v>2198.2325778</v>
      </c>
      <c r="BQ18" s="36"/>
      <c r="BR18" s="5">
        <f t="shared" si="40"/>
        <v>4243.4681438</v>
      </c>
      <c r="BS18" s="36">
        <f t="shared" si="41"/>
        <v>4243.4681438</v>
      </c>
      <c r="BT18" s="35">
        <f t="shared" si="42"/>
        <v>1905.0994494</v>
      </c>
      <c r="BU18" s="35">
        <f t="shared" si="43"/>
        <v>1017.7991387999999</v>
      </c>
      <c r="BX18" s="5">
        <f t="shared" si="44"/>
        <v>2032.3197956000001</v>
      </c>
      <c r="BY18" s="5">
        <f t="shared" si="45"/>
        <v>2032.3197956000001</v>
      </c>
      <c r="BZ18" s="35">
        <f t="shared" si="46"/>
        <v>912.4073028</v>
      </c>
      <c r="CA18" s="35">
        <f t="shared" si="47"/>
        <v>487.4534856</v>
      </c>
      <c r="CC18" s="5">
        <f t="shared" si="48"/>
        <v>0</v>
      </c>
      <c r="CD18" s="5">
        <f t="shared" si="49"/>
        <v>299.87134910000003</v>
      </c>
      <c r="CE18" s="5">
        <f t="shared" si="50"/>
        <v>299.87134910000003</v>
      </c>
      <c r="CF18" s="35">
        <f t="shared" si="51"/>
        <v>134.6268483</v>
      </c>
      <c r="CG18" s="35">
        <f t="shared" si="52"/>
        <v>71.9243766</v>
      </c>
      <c r="CJ18" s="5">
        <f t="shared" si="53"/>
        <v>1329.5220849</v>
      </c>
      <c r="CK18" s="5">
        <f t="shared" si="54"/>
        <v>1329.5220849</v>
      </c>
      <c r="CL18" s="35">
        <f t="shared" si="55"/>
        <v>596.8871937</v>
      </c>
      <c r="CM18" s="35">
        <f t="shared" si="56"/>
        <v>318.8869074</v>
      </c>
      <c r="CP18" s="5">
        <f t="shared" si="57"/>
        <v>183.10065129999998</v>
      </c>
      <c r="CQ18" s="5">
        <f t="shared" si="58"/>
        <v>183.10065129999998</v>
      </c>
      <c r="CR18" s="35">
        <f t="shared" si="59"/>
        <v>82.2027969</v>
      </c>
      <c r="CS18" s="35">
        <f t="shared" si="60"/>
        <v>43.91683379999999</v>
      </c>
      <c r="CV18" s="5">
        <f t="shared" si="61"/>
        <v>3819.7059324</v>
      </c>
      <c r="CW18" s="5">
        <f t="shared" si="62"/>
        <v>3819.7059324</v>
      </c>
      <c r="CX18" s="35">
        <f t="shared" si="63"/>
        <v>1714.8519612</v>
      </c>
      <c r="CY18" s="35">
        <f t="shared" si="64"/>
        <v>916.1594424</v>
      </c>
      <c r="DB18" s="5">
        <f t="shared" si="65"/>
        <v>739.8975151999999</v>
      </c>
      <c r="DC18" s="5">
        <f t="shared" si="66"/>
        <v>739.8975151999999</v>
      </c>
      <c r="DD18" s="35">
        <f t="shared" si="67"/>
        <v>332.17601759999997</v>
      </c>
      <c r="DE18" s="35">
        <f t="shared" si="68"/>
        <v>177.46499519999998</v>
      </c>
      <c r="DH18" s="5">
        <f t="shared" si="69"/>
        <v>978.9101950999999</v>
      </c>
      <c r="DI18" s="36">
        <f t="shared" si="70"/>
        <v>978.9101950999999</v>
      </c>
      <c r="DJ18" s="35">
        <f t="shared" si="71"/>
        <v>439.4804463</v>
      </c>
      <c r="DK18" s="35">
        <f t="shared" si="72"/>
        <v>234.7923726</v>
      </c>
      <c r="DN18" s="5">
        <f t="shared" si="73"/>
        <v>3182.1888878</v>
      </c>
      <c r="DO18" s="36">
        <f t="shared" si="74"/>
        <v>3182.1888878</v>
      </c>
      <c r="DP18" s="35">
        <f t="shared" si="75"/>
        <v>1428.6395214</v>
      </c>
      <c r="DQ18" s="35">
        <f t="shared" si="76"/>
        <v>763.2504828</v>
      </c>
      <c r="DT18" s="5">
        <f t="shared" si="77"/>
        <v>1870.8044850999997</v>
      </c>
      <c r="DU18" s="5">
        <f t="shared" si="78"/>
        <v>1870.8044850999997</v>
      </c>
      <c r="DV18" s="35">
        <f t="shared" si="79"/>
        <v>839.8952162999999</v>
      </c>
      <c r="DW18" s="35">
        <f t="shared" si="80"/>
        <v>448.71391259999996</v>
      </c>
      <c r="DZ18" s="5">
        <f t="shared" si="81"/>
        <v>2111.8407907</v>
      </c>
      <c r="EA18" s="5">
        <f t="shared" si="82"/>
        <v>2111.8407907</v>
      </c>
      <c r="EB18" s="35">
        <f t="shared" si="83"/>
        <v>948.1081490999999</v>
      </c>
      <c r="EC18" s="35">
        <f t="shared" si="84"/>
        <v>506.5266582</v>
      </c>
      <c r="EF18" s="5">
        <f t="shared" si="85"/>
        <v>24450.8697403</v>
      </c>
      <c r="EG18" s="5">
        <f t="shared" si="86"/>
        <v>24450.8697403</v>
      </c>
      <c r="EH18" s="35">
        <f t="shared" si="87"/>
        <v>10977.1858539</v>
      </c>
      <c r="EI18" s="35">
        <f t="shared" si="88"/>
        <v>5864.5601478</v>
      </c>
      <c r="EL18" s="5">
        <f t="shared" si="89"/>
        <v>900.2885891999999</v>
      </c>
      <c r="EM18" s="36">
        <f t="shared" si="90"/>
        <v>900.2885891999999</v>
      </c>
      <c r="EN18" s="35">
        <f t="shared" si="91"/>
        <v>404.18337959999997</v>
      </c>
      <c r="EO18" s="35">
        <f t="shared" si="92"/>
        <v>215.9349192</v>
      </c>
      <c r="ER18" s="36">
        <f t="shared" si="93"/>
        <v>796.9337803000001</v>
      </c>
      <c r="ES18" s="36">
        <f t="shared" si="94"/>
        <v>796.9337803000001</v>
      </c>
      <c r="ET18" s="35">
        <f t="shared" si="95"/>
        <v>357.78237390000004</v>
      </c>
      <c r="EU18" s="35">
        <f t="shared" si="96"/>
        <v>191.14518780000003</v>
      </c>
      <c r="EV18"/>
    </row>
    <row r="19" spans="1:152" ht="12.75">
      <c r="A19" s="37">
        <v>45383</v>
      </c>
      <c r="C19" s="3">
        <v>10000</v>
      </c>
      <c r="D19" s="3">
        <v>749491</v>
      </c>
      <c r="E19" s="35">
        <f t="shared" si="0"/>
        <v>759491</v>
      </c>
      <c r="F19" s="35">
        <v>336483</v>
      </c>
      <c r="G19" s="35">
        <v>179766</v>
      </c>
      <c r="I19" s="46">
        <f t="shared" si="97"/>
        <v>1507.2199999999998</v>
      </c>
      <c r="J19" s="36">
        <f t="shared" si="1"/>
        <v>112964.78250200002</v>
      </c>
      <c r="K19" s="36">
        <f t="shared" si="2"/>
        <v>114472.00250200002</v>
      </c>
      <c r="L19" s="36">
        <f t="shared" si="3"/>
        <v>50715.390726000005</v>
      </c>
      <c r="M19" s="36">
        <f t="shared" si="3"/>
        <v>27094.691052000002</v>
      </c>
      <c r="O19" s="5">
        <f t="shared" si="98"/>
        <v>626.544</v>
      </c>
      <c r="P19" s="5">
        <f t="shared" si="4"/>
        <v>46958.9089104</v>
      </c>
      <c r="Q19" s="5">
        <f t="shared" si="5"/>
        <v>47585.4529104</v>
      </c>
      <c r="R19" s="35">
        <f t="shared" si="6"/>
        <v>21082.140475199998</v>
      </c>
      <c r="S19" s="35">
        <f t="shared" si="7"/>
        <v>11263.1308704</v>
      </c>
      <c r="U19" s="5">
        <f t="shared" si="99"/>
        <v>0.27699999999999997</v>
      </c>
      <c r="V19" s="36">
        <f t="shared" si="8"/>
        <v>20.7609007</v>
      </c>
      <c r="W19" s="36">
        <f t="shared" si="9"/>
        <v>21.0379007</v>
      </c>
      <c r="X19" s="35">
        <f t="shared" si="10"/>
        <v>9.3205791</v>
      </c>
      <c r="Y19" s="35">
        <f t="shared" si="11"/>
        <v>4.9795182</v>
      </c>
      <c r="AA19" s="5">
        <f t="shared" si="100"/>
        <v>12.402999999999999</v>
      </c>
      <c r="AB19" s="5">
        <f t="shared" si="12"/>
        <v>929.5936872999999</v>
      </c>
      <c r="AC19" s="5">
        <f t="shared" si="13"/>
        <v>941.9966873</v>
      </c>
      <c r="AD19" s="35">
        <f t="shared" si="14"/>
        <v>417.3398649</v>
      </c>
      <c r="AE19" s="35">
        <f t="shared" si="15"/>
        <v>222.9637698</v>
      </c>
      <c r="AG19" s="5">
        <f t="shared" si="101"/>
        <v>7.469</v>
      </c>
      <c r="AH19" s="5">
        <f t="shared" si="16"/>
        <v>559.7948279</v>
      </c>
      <c r="AI19" s="5">
        <f t="shared" si="17"/>
        <v>567.2638279</v>
      </c>
      <c r="AJ19" s="35">
        <f t="shared" si="18"/>
        <v>251.3191527</v>
      </c>
      <c r="AK19" s="35">
        <f t="shared" si="19"/>
        <v>134.2672254</v>
      </c>
      <c r="AM19" s="5">
        <f t="shared" si="102"/>
        <v>55.510000000000005</v>
      </c>
      <c r="AN19" s="5">
        <f t="shared" si="20"/>
        <v>4160.424541</v>
      </c>
      <c r="AO19" s="5">
        <f t="shared" si="21"/>
        <v>4215.9345410000005</v>
      </c>
      <c r="AP19" s="35">
        <f t="shared" si="22"/>
        <v>1867.8171330000002</v>
      </c>
      <c r="AQ19" s="35">
        <f t="shared" si="23"/>
        <v>997.881066</v>
      </c>
      <c r="AS19" s="5">
        <f t="shared" si="103"/>
        <v>17.202</v>
      </c>
      <c r="AT19" s="5">
        <f t="shared" si="24"/>
        <v>1289.2744182000001</v>
      </c>
      <c r="AU19" s="5">
        <f t="shared" si="25"/>
        <v>1306.4764182000001</v>
      </c>
      <c r="AV19" s="35">
        <f t="shared" si="26"/>
        <v>578.8180566</v>
      </c>
      <c r="AW19" s="35">
        <f t="shared" si="27"/>
        <v>309.2334732</v>
      </c>
      <c r="AY19" s="5">
        <f t="shared" si="104"/>
        <v>32.385999999999996</v>
      </c>
      <c r="AZ19" s="5">
        <f t="shared" si="28"/>
        <v>2427.3015526</v>
      </c>
      <c r="BA19" s="5">
        <f t="shared" si="29"/>
        <v>2459.6875526</v>
      </c>
      <c r="BB19" s="35">
        <f t="shared" si="30"/>
        <v>1089.7338438</v>
      </c>
      <c r="BC19" s="35">
        <f t="shared" si="31"/>
        <v>582.1901676</v>
      </c>
      <c r="BE19" s="5">
        <f t="shared" si="105"/>
        <v>6.858</v>
      </c>
      <c r="BF19" s="5">
        <f t="shared" si="32"/>
        <v>514.0009278</v>
      </c>
      <c r="BG19" s="5">
        <f t="shared" si="33"/>
        <v>520.8589278</v>
      </c>
      <c r="BH19" s="35">
        <f t="shared" si="34"/>
        <v>230.76004139999998</v>
      </c>
      <c r="BI19" s="35">
        <f t="shared" si="35"/>
        <v>123.2835228</v>
      </c>
      <c r="BK19" s="5">
        <f t="shared" si="106"/>
        <v>122.28299999999999</v>
      </c>
      <c r="BL19" s="5">
        <f t="shared" si="36"/>
        <v>9165.000795299999</v>
      </c>
      <c r="BM19" s="5">
        <f t="shared" si="37"/>
        <v>9287.283795299998</v>
      </c>
      <c r="BN19" s="35">
        <f t="shared" si="38"/>
        <v>4114.6150689</v>
      </c>
      <c r="BO19" s="35">
        <f t="shared" si="39"/>
        <v>2198.2325778</v>
      </c>
      <c r="BQ19" s="36">
        <f t="shared" si="107"/>
        <v>56.617999999999995</v>
      </c>
      <c r="BR19" s="5">
        <f t="shared" si="40"/>
        <v>4243.4681438</v>
      </c>
      <c r="BS19" s="36">
        <f t="shared" si="41"/>
        <v>4300.0861438</v>
      </c>
      <c r="BT19" s="35">
        <f t="shared" si="42"/>
        <v>1905.0994494</v>
      </c>
      <c r="BU19" s="35">
        <f t="shared" si="43"/>
        <v>1017.7991387999999</v>
      </c>
      <c r="BW19" s="5">
        <f t="shared" si="108"/>
        <v>27.116000000000003</v>
      </c>
      <c r="BX19" s="5">
        <f t="shared" si="44"/>
        <v>2032.3197956000001</v>
      </c>
      <c r="BY19" s="5">
        <f t="shared" si="45"/>
        <v>2059.4357956000003</v>
      </c>
      <c r="BZ19" s="35">
        <f t="shared" si="46"/>
        <v>912.4073028</v>
      </c>
      <c r="CA19" s="35">
        <f t="shared" si="47"/>
        <v>487.4534856</v>
      </c>
      <c r="CC19" s="5">
        <f t="shared" si="48"/>
        <v>4.001</v>
      </c>
      <c r="CD19" s="5">
        <f t="shared" si="49"/>
        <v>299.87134910000003</v>
      </c>
      <c r="CE19" s="5">
        <f t="shared" si="50"/>
        <v>303.8723491</v>
      </c>
      <c r="CF19" s="35">
        <f t="shared" si="51"/>
        <v>134.6268483</v>
      </c>
      <c r="CG19" s="35">
        <f t="shared" si="52"/>
        <v>71.9243766</v>
      </c>
      <c r="CI19" s="5">
        <f t="shared" si="109"/>
        <v>17.739</v>
      </c>
      <c r="CJ19" s="5">
        <f t="shared" si="53"/>
        <v>1329.5220849</v>
      </c>
      <c r="CK19" s="5">
        <f t="shared" si="54"/>
        <v>1347.2610849</v>
      </c>
      <c r="CL19" s="35">
        <f t="shared" si="55"/>
        <v>596.8871937</v>
      </c>
      <c r="CM19" s="35">
        <f t="shared" si="56"/>
        <v>318.8869074</v>
      </c>
      <c r="CO19" s="5">
        <f t="shared" si="110"/>
        <v>2.4429999999999996</v>
      </c>
      <c r="CP19" s="5">
        <f t="shared" si="57"/>
        <v>183.10065129999998</v>
      </c>
      <c r="CQ19" s="5">
        <f t="shared" si="58"/>
        <v>185.5436513</v>
      </c>
      <c r="CR19" s="35">
        <f t="shared" si="59"/>
        <v>82.2027969</v>
      </c>
      <c r="CS19" s="35">
        <f t="shared" si="60"/>
        <v>43.91683379999999</v>
      </c>
      <c r="CU19" s="5">
        <f t="shared" si="111"/>
        <v>50.964</v>
      </c>
      <c r="CV19" s="5">
        <f t="shared" si="61"/>
        <v>3819.7059324</v>
      </c>
      <c r="CW19" s="5">
        <f t="shared" si="62"/>
        <v>3870.6699324</v>
      </c>
      <c r="CX19" s="35">
        <f t="shared" si="63"/>
        <v>1714.8519612</v>
      </c>
      <c r="CY19" s="35">
        <f t="shared" si="64"/>
        <v>916.1594424</v>
      </c>
      <c r="DA19" s="5">
        <f t="shared" si="112"/>
        <v>9.872</v>
      </c>
      <c r="DB19" s="5">
        <f t="shared" si="65"/>
        <v>739.8975151999999</v>
      </c>
      <c r="DC19" s="5">
        <f t="shared" si="66"/>
        <v>749.7695151999999</v>
      </c>
      <c r="DD19" s="35">
        <f t="shared" si="67"/>
        <v>332.17601759999997</v>
      </c>
      <c r="DE19" s="35">
        <f t="shared" si="68"/>
        <v>177.46499519999998</v>
      </c>
      <c r="DG19" s="5">
        <f t="shared" si="113"/>
        <v>13.061</v>
      </c>
      <c r="DH19" s="5">
        <f t="shared" si="69"/>
        <v>978.9101950999999</v>
      </c>
      <c r="DI19" s="36">
        <f t="shared" si="70"/>
        <v>991.9711950999999</v>
      </c>
      <c r="DJ19" s="35">
        <f t="shared" si="71"/>
        <v>439.4804463</v>
      </c>
      <c r="DK19" s="35">
        <f t="shared" si="72"/>
        <v>234.7923726</v>
      </c>
      <c r="DM19" s="5">
        <f t="shared" si="114"/>
        <v>42.458</v>
      </c>
      <c r="DN19" s="5">
        <f t="shared" si="73"/>
        <v>3182.1888878</v>
      </c>
      <c r="DO19" s="36">
        <f t="shared" si="74"/>
        <v>3224.6468878</v>
      </c>
      <c r="DP19" s="35">
        <f t="shared" si="75"/>
        <v>1428.6395214</v>
      </c>
      <c r="DQ19" s="35">
        <f t="shared" si="76"/>
        <v>763.2504828</v>
      </c>
      <c r="DS19" s="5">
        <f t="shared" si="115"/>
        <v>24.961</v>
      </c>
      <c r="DT19" s="5">
        <f t="shared" si="77"/>
        <v>1870.8044850999997</v>
      </c>
      <c r="DU19" s="5">
        <f t="shared" si="78"/>
        <v>1895.7654850999998</v>
      </c>
      <c r="DV19" s="35">
        <f t="shared" si="79"/>
        <v>839.8952162999999</v>
      </c>
      <c r="DW19" s="35">
        <f t="shared" si="80"/>
        <v>448.71391259999996</v>
      </c>
      <c r="DY19" s="5">
        <f t="shared" si="116"/>
        <v>28.177</v>
      </c>
      <c r="DZ19" s="5">
        <f t="shared" si="81"/>
        <v>2111.8407907</v>
      </c>
      <c r="EA19" s="5">
        <f t="shared" si="82"/>
        <v>2140.0177907</v>
      </c>
      <c r="EB19" s="35">
        <f t="shared" si="83"/>
        <v>948.1081490999999</v>
      </c>
      <c r="EC19" s="35">
        <f t="shared" si="84"/>
        <v>506.5266582</v>
      </c>
      <c r="EE19" s="5">
        <f t="shared" si="117"/>
        <v>326.233</v>
      </c>
      <c r="EF19" s="5">
        <f t="shared" si="85"/>
        <v>24450.8697403</v>
      </c>
      <c r="EG19" s="5">
        <f t="shared" si="86"/>
        <v>24777.1027403</v>
      </c>
      <c r="EH19" s="35">
        <f t="shared" si="87"/>
        <v>10977.1858539</v>
      </c>
      <c r="EI19" s="35">
        <f t="shared" si="88"/>
        <v>5864.5601478</v>
      </c>
      <c r="EK19" s="5">
        <f t="shared" si="118"/>
        <v>12.011999999999999</v>
      </c>
      <c r="EL19" s="5">
        <f t="shared" si="89"/>
        <v>900.2885891999999</v>
      </c>
      <c r="EM19" s="36">
        <f t="shared" si="90"/>
        <v>912.3005891999999</v>
      </c>
      <c r="EN19" s="35">
        <f t="shared" si="91"/>
        <v>404.18337959999997</v>
      </c>
      <c r="EO19" s="35">
        <f t="shared" si="92"/>
        <v>215.9349192</v>
      </c>
      <c r="EQ19" s="5">
        <f t="shared" si="119"/>
        <v>10.633000000000001</v>
      </c>
      <c r="ER19" s="36">
        <f t="shared" si="93"/>
        <v>796.9337803000001</v>
      </c>
      <c r="ES19" s="36">
        <f t="shared" si="94"/>
        <v>807.5667803000001</v>
      </c>
      <c r="ET19" s="35">
        <f t="shared" si="95"/>
        <v>357.78237390000004</v>
      </c>
      <c r="EU19" s="35">
        <f t="shared" si="96"/>
        <v>191.14518780000003</v>
      </c>
      <c r="EV19"/>
    </row>
    <row r="20" spans="1:152" ht="12.75">
      <c r="A20" s="37">
        <v>45566</v>
      </c>
      <c r="D20" s="3">
        <v>749341</v>
      </c>
      <c r="E20" s="35">
        <f t="shared" si="0"/>
        <v>749341</v>
      </c>
      <c r="F20" s="35">
        <v>336483</v>
      </c>
      <c r="G20" s="35">
        <v>179766</v>
      </c>
      <c r="I20" s="46"/>
      <c r="J20" s="36">
        <f t="shared" si="1"/>
        <v>112942.17420199998</v>
      </c>
      <c r="K20" s="36">
        <f t="shared" si="2"/>
        <v>112942.17420199998</v>
      </c>
      <c r="L20" s="36">
        <f t="shared" si="3"/>
        <v>50715.390726000005</v>
      </c>
      <c r="M20" s="36">
        <f t="shared" si="3"/>
        <v>27094.691052000002</v>
      </c>
      <c r="N20"/>
      <c r="P20" s="5">
        <f t="shared" si="4"/>
        <v>46949.5107504</v>
      </c>
      <c r="Q20" s="5">
        <f t="shared" si="5"/>
        <v>46949.5107504</v>
      </c>
      <c r="R20" s="35">
        <f t="shared" si="6"/>
        <v>21082.140475199998</v>
      </c>
      <c r="S20" s="35">
        <f t="shared" si="7"/>
        <v>11263.1308704</v>
      </c>
      <c r="T20"/>
      <c r="V20" s="36">
        <f t="shared" si="8"/>
        <v>20.7567457</v>
      </c>
      <c r="W20" s="36">
        <f t="shared" si="9"/>
        <v>20.7567457</v>
      </c>
      <c r="X20" s="35">
        <f t="shared" si="10"/>
        <v>9.3205791</v>
      </c>
      <c r="Y20" s="35">
        <f t="shared" si="11"/>
        <v>4.9795182</v>
      </c>
      <c r="Z20"/>
      <c r="AB20" s="5">
        <f t="shared" si="12"/>
        <v>929.4076423</v>
      </c>
      <c r="AC20" s="5">
        <f t="shared" si="13"/>
        <v>929.4076423</v>
      </c>
      <c r="AD20" s="35">
        <f t="shared" si="14"/>
        <v>417.3398649</v>
      </c>
      <c r="AE20" s="35">
        <f t="shared" si="15"/>
        <v>222.9637698</v>
      </c>
      <c r="AF20"/>
      <c r="AH20" s="5">
        <f t="shared" si="16"/>
        <v>559.6827929</v>
      </c>
      <c r="AI20" s="5">
        <f t="shared" si="17"/>
        <v>559.6827929</v>
      </c>
      <c r="AJ20" s="35">
        <f t="shared" si="18"/>
        <v>251.3191527</v>
      </c>
      <c r="AK20" s="35">
        <f t="shared" si="19"/>
        <v>134.2672254</v>
      </c>
      <c r="AL20"/>
      <c r="AN20" s="5">
        <f t="shared" si="20"/>
        <v>4159.591891</v>
      </c>
      <c r="AO20" s="5">
        <f t="shared" si="21"/>
        <v>4159.591891</v>
      </c>
      <c r="AP20" s="35">
        <f t="shared" si="22"/>
        <v>1867.8171330000002</v>
      </c>
      <c r="AQ20" s="35">
        <f t="shared" si="23"/>
        <v>997.881066</v>
      </c>
      <c r="AR20"/>
      <c r="AT20" s="5">
        <f t="shared" si="24"/>
        <v>1289.0163882000002</v>
      </c>
      <c r="AU20" s="5">
        <f t="shared" si="25"/>
        <v>1289.0163882000002</v>
      </c>
      <c r="AV20" s="35">
        <f t="shared" si="26"/>
        <v>578.8180566</v>
      </c>
      <c r="AW20" s="35">
        <f t="shared" si="27"/>
        <v>309.2334732</v>
      </c>
      <c r="AX20"/>
      <c r="AZ20" s="5">
        <f t="shared" si="28"/>
        <v>2426.8157625999997</v>
      </c>
      <c r="BA20" s="5">
        <f t="shared" si="29"/>
        <v>2426.8157625999997</v>
      </c>
      <c r="BB20" s="35">
        <f t="shared" si="30"/>
        <v>1089.7338438</v>
      </c>
      <c r="BC20" s="35">
        <f t="shared" si="31"/>
        <v>582.1901676</v>
      </c>
      <c r="BD20"/>
      <c r="BF20" s="5">
        <f t="shared" si="32"/>
        <v>513.8980578</v>
      </c>
      <c r="BG20" s="5">
        <f t="shared" si="33"/>
        <v>513.8980578</v>
      </c>
      <c r="BH20" s="35">
        <f t="shared" si="34"/>
        <v>230.76004139999998</v>
      </c>
      <c r="BI20" s="35">
        <f t="shared" si="35"/>
        <v>123.2835228</v>
      </c>
      <c r="BJ20"/>
      <c r="BL20" s="5">
        <f t="shared" si="36"/>
        <v>9163.166550299999</v>
      </c>
      <c r="BM20" s="5">
        <f t="shared" si="37"/>
        <v>9163.166550299999</v>
      </c>
      <c r="BN20" s="35">
        <f t="shared" si="38"/>
        <v>4114.6150689</v>
      </c>
      <c r="BO20" s="35">
        <f t="shared" si="39"/>
        <v>2198.2325778</v>
      </c>
      <c r="BP20"/>
      <c r="BQ20" s="36"/>
      <c r="BR20" s="5">
        <f t="shared" si="40"/>
        <v>4242.6188738</v>
      </c>
      <c r="BS20" s="36">
        <f t="shared" si="41"/>
        <v>4242.6188738</v>
      </c>
      <c r="BT20" s="35">
        <f t="shared" si="42"/>
        <v>1905.0994494</v>
      </c>
      <c r="BU20" s="35">
        <f t="shared" si="43"/>
        <v>1017.7991387999999</v>
      </c>
      <c r="BV20"/>
      <c r="BX20" s="5">
        <f t="shared" si="44"/>
        <v>2031.9130556000002</v>
      </c>
      <c r="BY20" s="5">
        <f t="shared" si="45"/>
        <v>2031.9130556000002</v>
      </c>
      <c r="BZ20" s="35">
        <f t="shared" si="46"/>
        <v>912.4073028</v>
      </c>
      <c r="CA20" s="35">
        <f t="shared" si="47"/>
        <v>487.4534856</v>
      </c>
      <c r="CB20"/>
      <c r="CC20" s="5">
        <f t="shared" si="48"/>
        <v>0</v>
      </c>
      <c r="CD20" s="5">
        <f t="shared" si="49"/>
        <v>299.8113341</v>
      </c>
      <c r="CE20" s="5">
        <f t="shared" si="50"/>
        <v>299.8113341</v>
      </c>
      <c r="CF20" s="35">
        <f t="shared" si="51"/>
        <v>134.6268483</v>
      </c>
      <c r="CG20" s="35">
        <f t="shared" si="52"/>
        <v>71.9243766</v>
      </c>
      <c r="CH20"/>
      <c r="CJ20" s="5">
        <f t="shared" si="53"/>
        <v>1329.2559999</v>
      </c>
      <c r="CK20" s="5">
        <f t="shared" si="54"/>
        <v>1329.2559999</v>
      </c>
      <c r="CL20" s="35">
        <f t="shared" si="55"/>
        <v>596.8871937</v>
      </c>
      <c r="CM20" s="35">
        <f t="shared" si="56"/>
        <v>318.8869074</v>
      </c>
      <c r="CN20"/>
      <c r="CP20" s="5">
        <f t="shared" si="57"/>
        <v>183.0640063</v>
      </c>
      <c r="CQ20" s="5">
        <f t="shared" si="58"/>
        <v>183.0640063</v>
      </c>
      <c r="CR20" s="35">
        <f t="shared" si="59"/>
        <v>82.2027969</v>
      </c>
      <c r="CS20" s="35">
        <f t="shared" si="60"/>
        <v>43.91683379999999</v>
      </c>
      <c r="CT20"/>
      <c r="CV20" s="5">
        <f t="shared" si="61"/>
        <v>3818.9414724</v>
      </c>
      <c r="CW20" s="5">
        <f t="shared" si="62"/>
        <v>3818.9414724</v>
      </c>
      <c r="CX20" s="35">
        <f t="shared" si="63"/>
        <v>1714.8519612</v>
      </c>
      <c r="CY20" s="35">
        <f t="shared" si="64"/>
        <v>916.1594424</v>
      </c>
      <c r="CZ20"/>
      <c r="DB20" s="5">
        <f t="shared" si="65"/>
        <v>739.7494352</v>
      </c>
      <c r="DC20" s="5">
        <f t="shared" si="66"/>
        <v>739.7494352</v>
      </c>
      <c r="DD20" s="35">
        <f t="shared" si="67"/>
        <v>332.17601759999997</v>
      </c>
      <c r="DE20" s="35">
        <f t="shared" si="68"/>
        <v>177.46499519999998</v>
      </c>
      <c r="DF20"/>
      <c r="DH20" s="5">
        <f t="shared" si="69"/>
        <v>978.7142801</v>
      </c>
      <c r="DI20" s="36">
        <f t="shared" si="70"/>
        <v>978.7142801</v>
      </c>
      <c r="DJ20" s="35">
        <f t="shared" si="71"/>
        <v>439.4804463</v>
      </c>
      <c r="DK20" s="35">
        <f t="shared" si="72"/>
        <v>234.7923726</v>
      </c>
      <c r="DL20"/>
      <c r="DN20" s="5">
        <f t="shared" si="73"/>
        <v>3181.5520178</v>
      </c>
      <c r="DO20" s="36">
        <f t="shared" si="74"/>
        <v>3181.5520178</v>
      </c>
      <c r="DP20" s="35">
        <f t="shared" si="75"/>
        <v>1428.6395214</v>
      </c>
      <c r="DQ20" s="35">
        <f t="shared" si="76"/>
        <v>763.2504828</v>
      </c>
      <c r="DT20" s="5">
        <f t="shared" si="77"/>
        <v>1870.4300700999997</v>
      </c>
      <c r="DU20" s="5">
        <f t="shared" si="78"/>
        <v>1870.4300700999997</v>
      </c>
      <c r="DV20" s="35">
        <f t="shared" si="79"/>
        <v>839.8952162999999</v>
      </c>
      <c r="DW20" s="35">
        <f t="shared" si="80"/>
        <v>448.71391259999996</v>
      </c>
      <c r="DZ20" s="5">
        <f t="shared" si="81"/>
        <v>2111.4181356999998</v>
      </c>
      <c r="EA20" s="5">
        <f t="shared" si="82"/>
        <v>2111.4181356999998</v>
      </c>
      <c r="EB20" s="35">
        <f t="shared" si="83"/>
        <v>948.1081490999999</v>
      </c>
      <c r="EC20" s="35">
        <f t="shared" si="84"/>
        <v>506.5266582</v>
      </c>
      <c r="EF20" s="5">
        <f t="shared" si="85"/>
        <v>24445.9762453</v>
      </c>
      <c r="EG20" s="5">
        <f t="shared" si="86"/>
        <v>24445.9762453</v>
      </c>
      <c r="EH20" s="35">
        <f t="shared" si="87"/>
        <v>10977.1858539</v>
      </c>
      <c r="EI20" s="35">
        <f t="shared" si="88"/>
        <v>5864.5601478</v>
      </c>
      <c r="EL20" s="5">
        <f t="shared" si="89"/>
        <v>900.1084092</v>
      </c>
      <c r="EM20" s="36">
        <f t="shared" si="90"/>
        <v>900.1084092</v>
      </c>
      <c r="EN20" s="35">
        <f t="shared" si="91"/>
        <v>404.18337959999997</v>
      </c>
      <c r="EO20" s="35">
        <f t="shared" si="92"/>
        <v>215.9349192</v>
      </c>
      <c r="ER20" s="36">
        <f t="shared" si="93"/>
        <v>796.7742853000001</v>
      </c>
      <c r="ES20" s="36">
        <f t="shared" si="94"/>
        <v>796.7742853000001</v>
      </c>
      <c r="ET20" s="35">
        <f t="shared" si="95"/>
        <v>357.78237390000004</v>
      </c>
      <c r="EU20" s="35">
        <f t="shared" si="96"/>
        <v>191.14518780000003</v>
      </c>
      <c r="EV20"/>
    </row>
    <row r="21" spans="1:152" ht="12.75">
      <c r="A21" s="37">
        <v>45748</v>
      </c>
      <c r="C21" s="3">
        <v>6410000</v>
      </c>
      <c r="D21" s="3">
        <v>749341</v>
      </c>
      <c r="E21" s="35">
        <f t="shared" si="0"/>
        <v>7159341</v>
      </c>
      <c r="F21" s="35">
        <v>336483</v>
      </c>
      <c r="G21" s="35">
        <v>179766</v>
      </c>
      <c r="I21" s="46">
        <f t="shared" si="97"/>
        <v>966128.0200000001</v>
      </c>
      <c r="J21" s="36">
        <f t="shared" si="1"/>
        <v>112942.17420199998</v>
      </c>
      <c r="K21" s="36">
        <f t="shared" si="2"/>
        <v>1079070.194202</v>
      </c>
      <c r="L21" s="36">
        <f t="shared" si="3"/>
        <v>50715.390726000005</v>
      </c>
      <c r="M21" s="36">
        <f t="shared" si="3"/>
        <v>27094.691052000002</v>
      </c>
      <c r="N21"/>
      <c r="O21" s="5">
        <f t="shared" si="98"/>
        <v>401614.70399999997</v>
      </c>
      <c r="P21" s="5">
        <f t="shared" si="4"/>
        <v>46949.5107504</v>
      </c>
      <c r="Q21" s="5">
        <f t="shared" si="5"/>
        <v>448564.2147504</v>
      </c>
      <c r="R21" s="35">
        <f t="shared" si="6"/>
        <v>21082.140475199998</v>
      </c>
      <c r="S21" s="35">
        <f t="shared" si="7"/>
        <v>11263.1308704</v>
      </c>
      <c r="T21"/>
      <c r="U21" s="5">
        <f t="shared" si="99"/>
        <v>177.557</v>
      </c>
      <c r="V21" s="36">
        <f t="shared" si="8"/>
        <v>20.7567457</v>
      </c>
      <c r="W21" s="36">
        <f t="shared" si="9"/>
        <v>198.3137457</v>
      </c>
      <c r="X21" s="35">
        <f t="shared" si="10"/>
        <v>9.3205791</v>
      </c>
      <c r="Y21" s="35">
        <f t="shared" si="11"/>
        <v>4.9795182</v>
      </c>
      <c r="Z21"/>
      <c r="AA21" s="5">
        <f t="shared" si="100"/>
        <v>7950.322999999999</v>
      </c>
      <c r="AB21" s="5">
        <f t="shared" si="12"/>
        <v>929.4076423</v>
      </c>
      <c r="AC21" s="5">
        <f t="shared" si="13"/>
        <v>8879.730642299999</v>
      </c>
      <c r="AD21" s="35">
        <f t="shared" si="14"/>
        <v>417.3398649</v>
      </c>
      <c r="AE21" s="35">
        <f t="shared" si="15"/>
        <v>222.9637698</v>
      </c>
      <c r="AF21"/>
      <c r="AG21" s="5">
        <f t="shared" si="101"/>
        <v>4787.629</v>
      </c>
      <c r="AH21" s="5">
        <f t="shared" si="16"/>
        <v>559.6827929</v>
      </c>
      <c r="AI21" s="5">
        <f t="shared" si="17"/>
        <v>5347.3117929</v>
      </c>
      <c r="AJ21" s="35">
        <f t="shared" si="18"/>
        <v>251.3191527</v>
      </c>
      <c r="AK21" s="35">
        <f t="shared" si="19"/>
        <v>134.2672254</v>
      </c>
      <c r="AL21"/>
      <c r="AM21" s="5">
        <f t="shared" si="102"/>
        <v>35581.91</v>
      </c>
      <c r="AN21" s="5">
        <f t="shared" si="20"/>
        <v>4159.591891</v>
      </c>
      <c r="AO21" s="5">
        <f t="shared" si="21"/>
        <v>39741.50189100001</v>
      </c>
      <c r="AP21" s="35">
        <f t="shared" si="22"/>
        <v>1867.8171330000002</v>
      </c>
      <c r="AQ21" s="35">
        <f t="shared" si="23"/>
        <v>997.881066</v>
      </c>
      <c r="AR21"/>
      <c r="AS21" s="5">
        <f t="shared" si="103"/>
        <v>11026.482</v>
      </c>
      <c r="AT21" s="5">
        <f t="shared" si="24"/>
        <v>1289.0163882000002</v>
      </c>
      <c r="AU21" s="5">
        <f t="shared" si="25"/>
        <v>12315.4983882</v>
      </c>
      <c r="AV21" s="35">
        <f t="shared" si="26"/>
        <v>578.8180566</v>
      </c>
      <c r="AW21" s="35">
        <f t="shared" si="27"/>
        <v>309.2334732</v>
      </c>
      <c r="AX21"/>
      <c r="AY21" s="5">
        <f t="shared" si="104"/>
        <v>20759.426</v>
      </c>
      <c r="AZ21" s="5">
        <f t="shared" si="28"/>
        <v>2426.8157625999997</v>
      </c>
      <c r="BA21" s="5">
        <f t="shared" si="29"/>
        <v>23186.2417626</v>
      </c>
      <c r="BB21" s="35">
        <f t="shared" si="30"/>
        <v>1089.7338438</v>
      </c>
      <c r="BC21" s="35">
        <f t="shared" si="31"/>
        <v>582.1901676</v>
      </c>
      <c r="BD21"/>
      <c r="BE21" s="5">
        <f t="shared" si="105"/>
        <v>4395.978</v>
      </c>
      <c r="BF21" s="5">
        <f t="shared" si="32"/>
        <v>513.8980578</v>
      </c>
      <c r="BG21" s="5">
        <f t="shared" si="33"/>
        <v>4909.8760578</v>
      </c>
      <c r="BH21" s="35">
        <f t="shared" si="34"/>
        <v>230.76004139999998</v>
      </c>
      <c r="BI21" s="35">
        <f t="shared" si="35"/>
        <v>123.2835228</v>
      </c>
      <c r="BJ21"/>
      <c r="BK21" s="5">
        <f t="shared" si="106"/>
        <v>78383.40299999999</v>
      </c>
      <c r="BL21" s="5">
        <f t="shared" si="36"/>
        <v>9163.166550299999</v>
      </c>
      <c r="BM21" s="5">
        <f t="shared" si="37"/>
        <v>87546.56955029999</v>
      </c>
      <c r="BN21" s="35">
        <f t="shared" si="38"/>
        <v>4114.6150689</v>
      </c>
      <c r="BO21" s="35">
        <f t="shared" si="39"/>
        <v>2198.2325778</v>
      </c>
      <c r="BP21"/>
      <c r="BQ21" s="36">
        <f t="shared" si="107"/>
        <v>36292.138</v>
      </c>
      <c r="BR21" s="5">
        <f t="shared" si="40"/>
        <v>4242.6188738</v>
      </c>
      <c r="BS21" s="36">
        <f t="shared" si="41"/>
        <v>40534.7568738</v>
      </c>
      <c r="BT21" s="35">
        <f t="shared" si="42"/>
        <v>1905.0994494</v>
      </c>
      <c r="BU21" s="35">
        <f t="shared" si="43"/>
        <v>1017.7991387999999</v>
      </c>
      <c r="BV21"/>
      <c r="BW21" s="5">
        <f t="shared" si="108"/>
        <v>17381.356</v>
      </c>
      <c r="BX21" s="5">
        <f t="shared" si="44"/>
        <v>2031.9130556000002</v>
      </c>
      <c r="BY21" s="5">
        <f t="shared" si="45"/>
        <v>19413.2690556</v>
      </c>
      <c r="BZ21" s="35">
        <f t="shared" si="46"/>
        <v>912.4073028</v>
      </c>
      <c r="CA21" s="35">
        <f t="shared" si="47"/>
        <v>487.4534856</v>
      </c>
      <c r="CB21"/>
      <c r="CC21" s="5">
        <f t="shared" si="48"/>
        <v>2564.641</v>
      </c>
      <c r="CD21" s="5">
        <f t="shared" si="49"/>
        <v>299.8113341</v>
      </c>
      <c r="CE21" s="5">
        <f t="shared" si="50"/>
        <v>2864.4523341</v>
      </c>
      <c r="CF21" s="35">
        <f t="shared" si="51"/>
        <v>134.6268483</v>
      </c>
      <c r="CG21" s="35">
        <f t="shared" si="52"/>
        <v>71.9243766</v>
      </c>
      <c r="CH21"/>
      <c r="CI21" s="5">
        <f t="shared" si="109"/>
        <v>11370.698999999999</v>
      </c>
      <c r="CJ21" s="5">
        <f t="shared" si="53"/>
        <v>1329.2559999</v>
      </c>
      <c r="CK21" s="5">
        <f t="shared" si="54"/>
        <v>12699.9549999</v>
      </c>
      <c r="CL21" s="35">
        <f t="shared" si="55"/>
        <v>596.8871937</v>
      </c>
      <c r="CM21" s="35">
        <f t="shared" si="56"/>
        <v>318.8869074</v>
      </c>
      <c r="CN21"/>
      <c r="CO21" s="5">
        <f t="shared" si="110"/>
        <v>1565.9629999999997</v>
      </c>
      <c r="CP21" s="5">
        <f t="shared" si="57"/>
        <v>183.0640063</v>
      </c>
      <c r="CQ21" s="5">
        <f t="shared" si="58"/>
        <v>1749.0270062999998</v>
      </c>
      <c r="CR21" s="35">
        <f t="shared" si="59"/>
        <v>82.2027969</v>
      </c>
      <c r="CS21" s="35">
        <f t="shared" si="60"/>
        <v>43.91683379999999</v>
      </c>
      <c r="CT21"/>
      <c r="CU21" s="5">
        <f t="shared" si="111"/>
        <v>32667.924</v>
      </c>
      <c r="CV21" s="5">
        <f t="shared" si="61"/>
        <v>3818.9414724</v>
      </c>
      <c r="CW21" s="5">
        <f t="shared" si="62"/>
        <v>36486.8654724</v>
      </c>
      <c r="CX21" s="35">
        <f t="shared" si="63"/>
        <v>1714.8519612</v>
      </c>
      <c r="CY21" s="35">
        <f t="shared" si="64"/>
        <v>916.1594424</v>
      </c>
      <c r="CZ21"/>
      <c r="DA21" s="5">
        <f t="shared" si="112"/>
        <v>6327.951999999999</v>
      </c>
      <c r="DB21" s="5">
        <f t="shared" si="65"/>
        <v>739.7494352</v>
      </c>
      <c r="DC21" s="5">
        <f t="shared" si="66"/>
        <v>7067.7014352</v>
      </c>
      <c r="DD21" s="35">
        <f t="shared" si="67"/>
        <v>332.17601759999997</v>
      </c>
      <c r="DE21" s="35">
        <f t="shared" si="68"/>
        <v>177.46499519999998</v>
      </c>
      <c r="DF21"/>
      <c r="DG21" s="5">
        <f t="shared" si="113"/>
        <v>8372.100999999999</v>
      </c>
      <c r="DH21" s="5">
        <f t="shared" si="69"/>
        <v>978.7142801</v>
      </c>
      <c r="DI21" s="36">
        <f t="shared" si="70"/>
        <v>9350.8152801</v>
      </c>
      <c r="DJ21" s="35">
        <f t="shared" si="71"/>
        <v>439.4804463</v>
      </c>
      <c r="DK21" s="35">
        <f t="shared" si="72"/>
        <v>234.7923726</v>
      </c>
      <c r="DL21"/>
      <c r="DM21" s="5">
        <f t="shared" si="114"/>
        <v>27215.578</v>
      </c>
      <c r="DN21" s="5">
        <f t="shared" si="73"/>
        <v>3181.5520178</v>
      </c>
      <c r="DO21" s="36">
        <f t="shared" si="74"/>
        <v>30397.130017800002</v>
      </c>
      <c r="DP21" s="35">
        <f t="shared" si="75"/>
        <v>1428.6395214</v>
      </c>
      <c r="DQ21" s="35">
        <f t="shared" si="76"/>
        <v>763.2504828</v>
      </c>
      <c r="DS21" s="5">
        <f t="shared" si="115"/>
        <v>16000.000999999998</v>
      </c>
      <c r="DT21" s="5">
        <f t="shared" si="77"/>
        <v>1870.4300700999997</v>
      </c>
      <c r="DU21" s="5">
        <f t="shared" si="78"/>
        <v>17870.4310701</v>
      </c>
      <c r="DV21" s="35">
        <f t="shared" si="79"/>
        <v>839.8952162999999</v>
      </c>
      <c r="DW21" s="35">
        <f t="shared" si="80"/>
        <v>448.71391259999996</v>
      </c>
      <c r="DY21" s="5">
        <f t="shared" si="116"/>
        <v>18061.457</v>
      </c>
      <c r="DZ21" s="5">
        <f t="shared" si="81"/>
        <v>2111.4181356999998</v>
      </c>
      <c r="EA21" s="5">
        <f t="shared" si="82"/>
        <v>20172.8751357</v>
      </c>
      <c r="EB21" s="35">
        <f t="shared" si="83"/>
        <v>948.1081490999999</v>
      </c>
      <c r="EC21" s="35">
        <f t="shared" si="84"/>
        <v>506.5266582</v>
      </c>
      <c r="EE21" s="5">
        <f t="shared" si="117"/>
        <v>209115.353</v>
      </c>
      <c r="EF21" s="5">
        <f t="shared" si="85"/>
        <v>24445.9762453</v>
      </c>
      <c r="EG21" s="5">
        <f t="shared" si="86"/>
        <v>233561.3292453</v>
      </c>
      <c r="EH21" s="35">
        <f t="shared" si="87"/>
        <v>10977.1858539</v>
      </c>
      <c r="EI21" s="35">
        <f t="shared" si="88"/>
        <v>5864.5601478</v>
      </c>
      <c r="EK21" s="5">
        <f t="shared" si="118"/>
        <v>7699.691999999999</v>
      </c>
      <c r="EL21" s="5">
        <f t="shared" si="89"/>
        <v>900.1084092</v>
      </c>
      <c r="EM21" s="36">
        <f t="shared" si="90"/>
        <v>8599.8004092</v>
      </c>
      <c r="EN21" s="35">
        <f t="shared" si="91"/>
        <v>404.18337959999997</v>
      </c>
      <c r="EO21" s="35">
        <f t="shared" si="92"/>
        <v>215.9349192</v>
      </c>
      <c r="EQ21" s="5">
        <f t="shared" si="119"/>
        <v>6815.753000000001</v>
      </c>
      <c r="ER21" s="36">
        <f t="shared" si="93"/>
        <v>796.7742853000001</v>
      </c>
      <c r="ES21" s="36">
        <f t="shared" si="94"/>
        <v>7612.527285300001</v>
      </c>
      <c r="ET21" s="35">
        <f t="shared" si="95"/>
        <v>357.78237390000004</v>
      </c>
      <c r="EU21" s="35">
        <f t="shared" si="96"/>
        <v>191.14518780000003</v>
      </c>
      <c r="EV21"/>
    </row>
    <row r="22" spans="1:152" ht="12.75">
      <c r="A22" s="37">
        <v>45931</v>
      </c>
      <c r="D22" s="3">
        <v>589091</v>
      </c>
      <c r="E22" s="35">
        <f t="shared" si="0"/>
        <v>589091</v>
      </c>
      <c r="F22" s="35">
        <v>336483</v>
      </c>
      <c r="G22" s="35">
        <v>179766</v>
      </c>
      <c r="I22" s="46"/>
      <c r="J22" s="36">
        <f t="shared" si="1"/>
        <v>88788.973702</v>
      </c>
      <c r="K22" s="36">
        <f t="shared" si="2"/>
        <v>88788.973702</v>
      </c>
      <c r="L22" s="36">
        <f t="shared" si="3"/>
        <v>50715.390726000005</v>
      </c>
      <c r="M22" s="36">
        <f t="shared" si="3"/>
        <v>27094.691052000002</v>
      </c>
      <c r="N22"/>
      <c r="P22" s="5">
        <f t="shared" si="4"/>
        <v>36909.1431504</v>
      </c>
      <c r="Q22" s="5">
        <f t="shared" si="5"/>
        <v>36909.1431504</v>
      </c>
      <c r="R22" s="35">
        <f t="shared" si="6"/>
        <v>21082.140475199998</v>
      </c>
      <c r="S22" s="35">
        <f t="shared" si="7"/>
        <v>11263.1308704</v>
      </c>
      <c r="T22"/>
      <c r="V22" s="36">
        <f t="shared" si="8"/>
        <v>16.3178207</v>
      </c>
      <c r="W22" s="36">
        <f t="shared" si="9"/>
        <v>16.3178207</v>
      </c>
      <c r="X22" s="35">
        <f t="shared" si="10"/>
        <v>9.3205791</v>
      </c>
      <c r="Y22" s="35">
        <f t="shared" si="11"/>
        <v>4.9795182</v>
      </c>
      <c r="Z22"/>
      <c r="AB22" s="5">
        <f t="shared" si="12"/>
        <v>730.6495673</v>
      </c>
      <c r="AC22" s="5">
        <f t="shared" si="13"/>
        <v>730.6495673</v>
      </c>
      <c r="AD22" s="35">
        <f t="shared" si="14"/>
        <v>417.3398649</v>
      </c>
      <c r="AE22" s="35">
        <f t="shared" si="15"/>
        <v>222.9637698</v>
      </c>
      <c r="AF22"/>
      <c r="AH22" s="5">
        <f t="shared" si="16"/>
        <v>439.9920679</v>
      </c>
      <c r="AI22" s="5">
        <f t="shared" si="17"/>
        <v>439.9920679</v>
      </c>
      <c r="AJ22" s="35">
        <f t="shared" si="18"/>
        <v>251.3191527</v>
      </c>
      <c r="AK22" s="35">
        <f t="shared" si="19"/>
        <v>134.2672254</v>
      </c>
      <c r="AL22"/>
      <c r="AN22" s="5">
        <f t="shared" si="20"/>
        <v>3270.0441410000003</v>
      </c>
      <c r="AO22" s="5">
        <f t="shared" si="21"/>
        <v>3270.0441410000003</v>
      </c>
      <c r="AP22" s="35">
        <f t="shared" si="22"/>
        <v>1867.8171330000002</v>
      </c>
      <c r="AQ22" s="35">
        <f t="shared" si="23"/>
        <v>997.881066</v>
      </c>
      <c r="AR22"/>
      <c r="AT22" s="5">
        <f t="shared" si="24"/>
        <v>1013.3543382</v>
      </c>
      <c r="AU22" s="5">
        <f t="shared" si="25"/>
        <v>1013.3543382</v>
      </c>
      <c r="AV22" s="35">
        <f t="shared" si="26"/>
        <v>578.8180566</v>
      </c>
      <c r="AW22" s="35">
        <f t="shared" si="27"/>
        <v>309.2334732</v>
      </c>
      <c r="AX22"/>
      <c r="AZ22" s="5">
        <f t="shared" si="28"/>
        <v>1907.8301126</v>
      </c>
      <c r="BA22" s="5">
        <f t="shared" si="29"/>
        <v>1907.8301126</v>
      </c>
      <c r="BB22" s="35">
        <f t="shared" si="30"/>
        <v>1089.7338438</v>
      </c>
      <c r="BC22" s="35">
        <f t="shared" si="31"/>
        <v>582.1901676</v>
      </c>
      <c r="BD22"/>
      <c r="BF22" s="5">
        <f t="shared" si="32"/>
        <v>403.9986078</v>
      </c>
      <c r="BG22" s="5">
        <f t="shared" si="33"/>
        <v>403.9986078</v>
      </c>
      <c r="BH22" s="35">
        <f t="shared" si="34"/>
        <v>230.76004139999998</v>
      </c>
      <c r="BI22" s="35">
        <f t="shared" si="35"/>
        <v>123.2835228</v>
      </c>
      <c r="BJ22"/>
      <c r="BL22" s="5">
        <f t="shared" si="36"/>
        <v>7203.5814752999995</v>
      </c>
      <c r="BM22" s="5">
        <f t="shared" si="37"/>
        <v>7203.5814752999995</v>
      </c>
      <c r="BN22" s="35">
        <f t="shared" si="38"/>
        <v>4114.6150689</v>
      </c>
      <c r="BO22" s="35">
        <f t="shared" si="39"/>
        <v>2198.2325778</v>
      </c>
      <c r="BP22"/>
      <c r="BQ22" s="36"/>
      <c r="BR22" s="5">
        <f t="shared" si="40"/>
        <v>3335.3154237999997</v>
      </c>
      <c r="BS22" s="36">
        <f t="shared" si="41"/>
        <v>3335.3154237999997</v>
      </c>
      <c r="BT22" s="35">
        <f t="shared" si="42"/>
        <v>1905.0994494</v>
      </c>
      <c r="BU22" s="35">
        <f t="shared" si="43"/>
        <v>1017.7991387999999</v>
      </c>
      <c r="BV22"/>
      <c r="BX22" s="5">
        <f t="shared" si="44"/>
        <v>1597.3791556</v>
      </c>
      <c r="BY22" s="5">
        <f t="shared" si="45"/>
        <v>1597.3791556</v>
      </c>
      <c r="BZ22" s="35">
        <f t="shared" si="46"/>
        <v>912.4073028</v>
      </c>
      <c r="CA22" s="35">
        <f t="shared" si="47"/>
        <v>487.4534856</v>
      </c>
      <c r="CB22"/>
      <c r="CC22" s="5">
        <f t="shared" si="48"/>
        <v>0</v>
      </c>
      <c r="CD22" s="5">
        <f t="shared" si="49"/>
        <v>235.6953091</v>
      </c>
      <c r="CE22" s="5">
        <f t="shared" si="50"/>
        <v>235.6953091</v>
      </c>
      <c r="CF22" s="35">
        <f t="shared" si="51"/>
        <v>134.6268483</v>
      </c>
      <c r="CG22" s="35">
        <f t="shared" si="52"/>
        <v>71.9243766</v>
      </c>
      <c r="CH22"/>
      <c r="CJ22" s="5">
        <f t="shared" si="53"/>
        <v>1044.9885249</v>
      </c>
      <c r="CK22" s="5">
        <f t="shared" si="54"/>
        <v>1044.9885249</v>
      </c>
      <c r="CL22" s="35">
        <f t="shared" si="55"/>
        <v>596.8871937</v>
      </c>
      <c r="CM22" s="35">
        <f t="shared" si="56"/>
        <v>318.8869074</v>
      </c>
      <c r="CN22"/>
      <c r="CP22" s="5">
        <f t="shared" si="57"/>
        <v>143.91493129999998</v>
      </c>
      <c r="CQ22" s="5">
        <f t="shared" si="58"/>
        <v>143.91493129999998</v>
      </c>
      <c r="CR22" s="35">
        <f t="shared" si="59"/>
        <v>82.2027969</v>
      </c>
      <c r="CS22" s="35">
        <f t="shared" si="60"/>
        <v>43.91683379999999</v>
      </c>
      <c r="CT22"/>
      <c r="CV22" s="5">
        <f t="shared" si="61"/>
        <v>3002.2433724</v>
      </c>
      <c r="CW22" s="5">
        <f t="shared" si="62"/>
        <v>3002.2433724</v>
      </c>
      <c r="CX22" s="35">
        <f t="shared" si="63"/>
        <v>1714.8519612</v>
      </c>
      <c r="CY22" s="35">
        <f t="shared" si="64"/>
        <v>916.1594424</v>
      </c>
      <c r="CZ22"/>
      <c r="DB22" s="5">
        <f t="shared" si="65"/>
        <v>581.5506352</v>
      </c>
      <c r="DC22" s="5">
        <f t="shared" si="66"/>
        <v>581.5506352</v>
      </c>
      <c r="DD22" s="35">
        <f t="shared" si="67"/>
        <v>332.17601759999997</v>
      </c>
      <c r="DE22" s="35">
        <f t="shared" si="68"/>
        <v>177.46499519999998</v>
      </c>
      <c r="DF22"/>
      <c r="DH22" s="5">
        <f t="shared" si="69"/>
        <v>769.4117550999999</v>
      </c>
      <c r="DI22" s="36">
        <f t="shared" si="70"/>
        <v>769.4117550999999</v>
      </c>
      <c r="DJ22" s="35">
        <f t="shared" si="71"/>
        <v>439.4804463</v>
      </c>
      <c r="DK22" s="35">
        <f t="shared" si="72"/>
        <v>234.7923726</v>
      </c>
      <c r="DL22"/>
      <c r="DN22" s="5">
        <f t="shared" si="73"/>
        <v>2501.1625678</v>
      </c>
      <c r="DO22" s="36">
        <f t="shared" si="74"/>
        <v>2501.1625678</v>
      </c>
      <c r="DP22" s="35">
        <f t="shared" si="75"/>
        <v>1428.6395214</v>
      </c>
      <c r="DQ22" s="35">
        <f t="shared" si="76"/>
        <v>763.2504828</v>
      </c>
      <c r="DT22" s="5">
        <f t="shared" si="77"/>
        <v>1470.4300451</v>
      </c>
      <c r="DU22" s="5">
        <f t="shared" si="78"/>
        <v>1470.4300451</v>
      </c>
      <c r="DV22" s="35">
        <f t="shared" si="79"/>
        <v>839.8952162999999</v>
      </c>
      <c r="DW22" s="35">
        <f t="shared" si="80"/>
        <v>448.71391259999996</v>
      </c>
      <c r="DZ22" s="5">
        <f t="shared" si="81"/>
        <v>1659.8817107</v>
      </c>
      <c r="EA22" s="5">
        <f t="shared" si="82"/>
        <v>1659.8817107</v>
      </c>
      <c r="EB22" s="35">
        <f t="shared" si="83"/>
        <v>948.1081490999999</v>
      </c>
      <c r="EC22" s="35">
        <f t="shared" si="84"/>
        <v>506.5266582</v>
      </c>
      <c r="EF22" s="5">
        <f t="shared" si="85"/>
        <v>19218.0924203</v>
      </c>
      <c r="EG22" s="5">
        <f t="shared" si="86"/>
        <v>19218.0924203</v>
      </c>
      <c r="EH22" s="35">
        <f t="shared" si="87"/>
        <v>10977.1858539</v>
      </c>
      <c r="EI22" s="35">
        <f t="shared" si="88"/>
        <v>5864.5601478</v>
      </c>
      <c r="EL22" s="5">
        <f t="shared" si="89"/>
        <v>707.6161092</v>
      </c>
      <c r="EM22" s="36">
        <f t="shared" si="90"/>
        <v>707.6161092</v>
      </c>
      <c r="EN22" s="35">
        <f t="shared" si="91"/>
        <v>404.18337959999997</v>
      </c>
      <c r="EO22" s="35">
        <f t="shared" si="92"/>
        <v>215.9349192</v>
      </c>
      <c r="ER22" s="36">
        <f t="shared" si="93"/>
        <v>626.3804603000001</v>
      </c>
      <c r="ES22" s="36">
        <f t="shared" si="94"/>
        <v>626.3804603000001</v>
      </c>
      <c r="ET22" s="35">
        <f t="shared" si="95"/>
        <v>357.78237390000004</v>
      </c>
      <c r="EU22" s="35">
        <f t="shared" si="96"/>
        <v>191.14518780000003</v>
      </c>
      <c r="EV22"/>
    </row>
    <row r="23" spans="1:152" ht="12.75">
      <c r="A23" s="37">
        <v>46113</v>
      </c>
      <c r="C23" s="3">
        <v>6735000</v>
      </c>
      <c r="D23" s="3">
        <v>589091</v>
      </c>
      <c r="E23" s="35">
        <f t="shared" si="0"/>
        <v>7324091</v>
      </c>
      <c r="F23" s="35">
        <v>336483</v>
      </c>
      <c r="G23" s="35">
        <v>179766</v>
      </c>
      <c r="I23" s="46">
        <f t="shared" si="97"/>
        <v>1015112.67</v>
      </c>
      <c r="J23" s="36">
        <f t="shared" si="1"/>
        <v>88788.973702</v>
      </c>
      <c r="K23" s="36">
        <f t="shared" si="2"/>
        <v>1103901.6437020001</v>
      </c>
      <c r="L23" s="36">
        <f t="shared" si="3"/>
        <v>50715.390726000005</v>
      </c>
      <c r="M23" s="36">
        <f t="shared" si="3"/>
        <v>27094.691052000002</v>
      </c>
      <c r="N23"/>
      <c r="O23" s="5">
        <f t="shared" si="98"/>
        <v>421977.384</v>
      </c>
      <c r="P23" s="5">
        <f t="shared" si="4"/>
        <v>36909.1431504</v>
      </c>
      <c r="Q23" s="5">
        <f t="shared" si="5"/>
        <v>458886.52715040004</v>
      </c>
      <c r="R23" s="35">
        <f t="shared" si="6"/>
        <v>21082.140475199998</v>
      </c>
      <c r="S23" s="35">
        <f t="shared" si="7"/>
        <v>11263.1308704</v>
      </c>
      <c r="T23"/>
      <c r="U23" s="5">
        <f t="shared" si="99"/>
        <v>186.55949999999999</v>
      </c>
      <c r="V23" s="36">
        <f t="shared" si="8"/>
        <v>16.3178207</v>
      </c>
      <c r="W23" s="36">
        <f t="shared" si="9"/>
        <v>202.87732069999998</v>
      </c>
      <c r="X23" s="35">
        <f t="shared" si="10"/>
        <v>9.3205791</v>
      </c>
      <c r="Y23" s="35">
        <f t="shared" si="11"/>
        <v>4.9795182</v>
      </c>
      <c r="Z23"/>
      <c r="AA23" s="5">
        <f t="shared" si="100"/>
        <v>8353.4205</v>
      </c>
      <c r="AB23" s="5">
        <f t="shared" si="12"/>
        <v>730.6495673</v>
      </c>
      <c r="AC23" s="5">
        <f t="shared" si="13"/>
        <v>9084.0700673</v>
      </c>
      <c r="AD23" s="35">
        <f t="shared" si="14"/>
        <v>417.3398649</v>
      </c>
      <c r="AE23" s="35">
        <f t="shared" si="15"/>
        <v>222.9637698</v>
      </c>
      <c r="AF23"/>
      <c r="AG23" s="5">
        <f t="shared" si="101"/>
        <v>5030.3715</v>
      </c>
      <c r="AH23" s="5">
        <f t="shared" si="16"/>
        <v>439.9920679</v>
      </c>
      <c r="AI23" s="5">
        <f t="shared" si="17"/>
        <v>5470.3635679</v>
      </c>
      <c r="AJ23" s="35">
        <f t="shared" si="18"/>
        <v>251.3191527</v>
      </c>
      <c r="AK23" s="35">
        <f t="shared" si="19"/>
        <v>134.2672254</v>
      </c>
      <c r="AL23"/>
      <c r="AM23" s="5">
        <f t="shared" si="102"/>
        <v>37385.985</v>
      </c>
      <c r="AN23" s="5">
        <f t="shared" si="20"/>
        <v>3270.0441410000003</v>
      </c>
      <c r="AO23" s="5">
        <f t="shared" si="21"/>
        <v>40656.029141</v>
      </c>
      <c r="AP23" s="35">
        <f t="shared" si="22"/>
        <v>1867.8171330000002</v>
      </c>
      <c r="AQ23" s="35">
        <f t="shared" si="23"/>
        <v>997.881066</v>
      </c>
      <c r="AR23"/>
      <c r="AS23" s="5">
        <f t="shared" si="103"/>
        <v>11585.547</v>
      </c>
      <c r="AT23" s="5">
        <f t="shared" si="24"/>
        <v>1013.3543382</v>
      </c>
      <c r="AU23" s="5">
        <f t="shared" si="25"/>
        <v>12598.901338200001</v>
      </c>
      <c r="AV23" s="35">
        <f t="shared" si="26"/>
        <v>578.8180566</v>
      </c>
      <c r="AW23" s="35">
        <f t="shared" si="27"/>
        <v>309.2334732</v>
      </c>
      <c r="AX23"/>
      <c r="AY23" s="5">
        <f t="shared" si="104"/>
        <v>21811.970999999998</v>
      </c>
      <c r="AZ23" s="5">
        <f t="shared" si="28"/>
        <v>1907.8301126</v>
      </c>
      <c r="BA23" s="5">
        <f t="shared" si="29"/>
        <v>23719.8011126</v>
      </c>
      <c r="BB23" s="35">
        <f t="shared" si="30"/>
        <v>1089.7338438</v>
      </c>
      <c r="BC23" s="35">
        <f t="shared" si="31"/>
        <v>582.1901676</v>
      </c>
      <c r="BD23"/>
      <c r="BE23" s="5">
        <f t="shared" si="105"/>
        <v>4618.862999999999</v>
      </c>
      <c r="BF23" s="5">
        <f t="shared" si="32"/>
        <v>403.9986078</v>
      </c>
      <c r="BG23" s="5">
        <f t="shared" si="33"/>
        <v>5022.8616078</v>
      </c>
      <c r="BH23" s="35">
        <f t="shared" si="34"/>
        <v>230.76004139999998</v>
      </c>
      <c r="BI23" s="35">
        <f t="shared" si="35"/>
        <v>123.2835228</v>
      </c>
      <c r="BJ23"/>
      <c r="BK23" s="5">
        <f t="shared" si="106"/>
        <v>82357.6005</v>
      </c>
      <c r="BL23" s="5">
        <f t="shared" si="36"/>
        <v>7203.5814752999995</v>
      </c>
      <c r="BM23" s="5">
        <f t="shared" si="37"/>
        <v>89561.1819753</v>
      </c>
      <c r="BN23" s="35">
        <f t="shared" si="38"/>
        <v>4114.6150689</v>
      </c>
      <c r="BO23" s="35">
        <f t="shared" si="39"/>
        <v>2198.2325778</v>
      </c>
      <c r="BP23"/>
      <c r="BQ23" s="36">
        <f t="shared" si="107"/>
        <v>38132.223</v>
      </c>
      <c r="BR23" s="5">
        <f t="shared" si="40"/>
        <v>3335.3154237999997</v>
      </c>
      <c r="BS23" s="36">
        <f t="shared" si="41"/>
        <v>41467.5384238</v>
      </c>
      <c r="BT23" s="35">
        <f t="shared" si="42"/>
        <v>1905.0994494</v>
      </c>
      <c r="BU23" s="35">
        <f t="shared" si="43"/>
        <v>1017.7991387999999</v>
      </c>
      <c r="BV23"/>
      <c r="BW23" s="5">
        <f t="shared" si="108"/>
        <v>18262.626</v>
      </c>
      <c r="BX23" s="5">
        <f t="shared" si="44"/>
        <v>1597.3791556</v>
      </c>
      <c r="BY23" s="5">
        <f t="shared" si="45"/>
        <v>19860.0051556</v>
      </c>
      <c r="BZ23" s="35">
        <f t="shared" si="46"/>
        <v>912.4073028</v>
      </c>
      <c r="CA23" s="35">
        <f t="shared" si="47"/>
        <v>487.4534856</v>
      </c>
      <c r="CB23"/>
      <c r="CC23" s="5">
        <f t="shared" si="48"/>
        <v>2694.6735000000003</v>
      </c>
      <c r="CD23" s="5">
        <f t="shared" si="49"/>
        <v>235.6953091</v>
      </c>
      <c r="CE23" s="5">
        <f t="shared" si="50"/>
        <v>2930.3688091000004</v>
      </c>
      <c r="CF23" s="35">
        <f t="shared" si="51"/>
        <v>134.6268483</v>
      </c>
      <c r="CG23" s="35">
        <f t="shared" si="52"/>
        <v>71.9243766</v>
      </c>
      <c r="CH23"/>
      <c r="CI23" s="5">
        <f t="shared" si="109"/>
        <v>11947.216499999999</v>
      </c>
      <c r="CJ23" s="5">
        <f t="shared" si="53"/>
        <v>1044.9885249</v>
      </c>
      <c r="CK23" s="5">
        <f t="shared" si="54"/>
        <v>12992.205024899999</v>
      </c>
      <c r="CL23" s="35">
        <f t="shared" si="55"/>
        <v>596.8871937</v>
      </c>
      <c r="CM23" s="35">
        <f t="shared" si="56"/>
        <v>318.8869074</v>
      </c>
      <c r="CN23"/>
      <c r="CO23" s="5">
        <f t="shared" si="110"/>
        <v>1645.3604999999998</v>
      </c>
      <c r="CP23" s="5">
        <f t="shared" si="57"/>
        <v>143.91493129999998</v>
      </c>
      <c r="CQ23" s="5">
        <f t="shared" si="58"/>
        <v>1789.2754312999998</v>
      </c>
      <c r="CR23" s="35">
        <f t="shared" si="59"/>
        <v>82.2027969</v>
      </c>
      <c r="CS23" s="35">
        <f t="shared" si="60"/>
        <v>43.91683379999999</v>
      </c>
      <c r="CT23"/>
      <c r="CU23" s="5">
        <f t="shared" si="111"/>
        <v>34324.254</v>
      </c>
      <c r="CV23" s="5">
        <f t="shared" si="61"/>
        <v>3002.2433724</v>
      </c>
      <c r="CW23" s="5">
        <f t="shared" si="62"/>
        <v>37326.4973724</v>
      </c>
      <c r="CX23" s="35">
        <f t="shared" si="63"/>
        <v>1714.8519612</v>
      </c>
      <c r="CY23" s="35">
        <f t="shared" si="64"/>
        <v>916.1594424</v>
      </c>
      <c r="CZ23"/>
      <c r="DA23" s="5">
        <f t="shared" si="112"/>
        <v>6648.7919999999995</v>
      </c>
      <c r="DB23" s="5">
        <f t="shared" si="65"/>
        <v>581.5506352</v>
      </c>
      <c r="DC23" s="5">
        <f t="shared" si="66"/>
        <v>7230.3426352</v>
      </c>
      <c r="DD23" s="35">
        <f t="shared" si="67"/>
        <v>332.17601759999997</v>
      </c>
      <c r="DE23" s="35">
        <f t="shared" si="68"/>
        <v>177.46499519999998</v>
      </c>
      <c r="DF23"/>
      <c r="DG23" s="5">
        <f t="shared" si="113"/>
        <v>8796.583499999999</v>
      </c>
      <c r="DH23" s="5">
        <f t="shared" si="69"/>
        <v>769.4117550999999</v>
      </c>
      <c r="DI23" s="36">
        <f t="shared" si="70"/>
        <v>9565.995255099999</v>
      </c>
      <c r="DJ23" s="35">
        <f t="shared" si="71"/>
        <v>439.4804463</v>
      </c>
      <c r="DK23" s="35">
        <f t="shared" si="72"/>
        <v>234.7923726</v>
      </c>
      <c r="DL23"/>
      <c r="DM23" s="5">
        <f t="shared" si="114"/>
        <v>28595.463</v>
      </c>
      <c r="DN23" s="5">
        <f t="shared" si="73"/>
        <v>2501.1625678</v>
      </c>
      <c r="DO23" s="36">
        <f t="shared" si="74"/>
        <v>31096.6255678</v>
      </c>
      <c r="DP23" s="35">
        <f t="shared" si="75"/>
        <v>1428.6395214</v>
      </c>
      <c r="DQ23" s="35">
        <f t="shared" si="76"/>
        <v>763.2504828</v>
      </c>
      <c r="DS23" s="5">
        <f t="shared" si="115"/>
        <v>16811.2335</v>
      </c>
      <c r="DT23" s="5">
        <f t="shared" si="77"/>
        <v>1470.4300451</v>
      </c>
      <c r="DU23" s="5">
        <f t="shared" si="78"/>
        <v>18281.663545099997</v>
      </c>
      <c r="DV23" s="35">
        <f t="shared" si="79"/>
        <v>839.8952162999999</v>
      </c>
      <c r="DW23" s="35">
        <f t="shared" si="80"/>
        <v>448.71391259999996</v>
      </c>
      <c r="DY23" s="5">
        <f t="shared" si="116"/>
        <v>18977.209499999997</v>
      </c>
      <c r="DZ23" s="5">
        <f t="shared" si="81"/>
        <v>1659.8817107</v>
      </c>
      <c r="EA23" s="5">
        <f t="shared" si="82"/>
        <v>20637.091210699997</v>
      </c>
      <c r="EB23" s="35">
        <f t="shared" si="83"/>
        <v>948.1081490999999</v>
      </c>
      <c r="EC23" s="35">
        <f t="shared" si="84"/>
        <v>506.5266582</v>
      </c>
      <c r="EE23" s="5">
        <f t="shared" si="117"/>
        <v>219717.9255</v>
      </c>
      <c r="EF23" s="5">
        <f t="shared" si="85"/>
        <v>19218.0924203</v>
      </c>
      <c r="EG23" s="5">
        <f t="shared" si="86"/>
        <v>238936.01792030002</v>
      </c>
      <c r="EH23" s="35">
        <f t="shared" si="87"/>
        <v>10977.1858539</v>
      </c>
      <c r="EI23" s="35">
        <f t="shared" si="88"/>
        <v>5864.5601478</v>
      </c>
      <c r="EK23" s="5">
        <f t="shared" si="118"/>
        <v>8090.081999999999</v>
      </c>
      <c r="EL23" s="5">
        <f t="shared" si="89"/>
        <v>707.6161092</v>
      </c>
      <c r="EM23" s="36">
        <f t="shared" si="90"/>
        <v>8797.698109199999</v>
      </c>
      <c r="EN23" s="35">
        <f t="shared" si="91"/>
        <v>404.18337959999997</v>
      </c>
      <c r="EO23" s="35">
        <f t="shared" si="92"/>
        <v>215.9349192</v>
      </c>
      <c r="EQ23" s="5">
        <f t="shared" si="119"/>
        <v>7161.325500000001</v>
      </c>
      <c r="ER23" s="36">
        <f t="shared" si="93"/>
        <v>626.3804603000001</v>
      </c>
      <c r="ES23" s="36">
        <f t="shared" si="94"/>
        <v>7787.705960300001</v>
      </c>
      <c r="ET23" s="35">
        <f t="shared" si="95"/>
        <v>357.78237390000004</v>
      </c>
      <c r="EU23" s="35">
        <f t="shared" si="96"/>
        <v>191.14518780000003</v>
      </c>
      <c r="EV23"/>
    </row>
    <row r="24" spans="1:152" ht="12.75">
      <c r="A24" s="37">
        <v>46296</v>
      </c>
      <c r="D24" s="3">
        <v>420716</v>
      </c>
      <c r="E24" s="35">
        <f t="shared" si="0"/>
        <v>420716</v>
      </c>
      <c r="F24" s="35">
        <v>336483</v>
      </c>
      <c r="G24" s="35">
        <v>179766</v>
      </c>
      <c r="I24" s="46"/>
      <c r="J24" s="36">
        <f t="shared" si="1"/>
        <v>63411.15695200001</v>
      </c>
      <c r="K24" s="36">
        <f t="shared" si="2"/>
        <v>63411.15695200001</v>
      </c>
      <c r="L24" s="36">
        <f t="shared" si="3"/>
        <v>50715.390726000005</v>
      </c>
      <c r="M24" s="36">
        <f t="shared" si="3"/>
        <v>27094.691052000002</v>
      </c>
      <c r="N24"/>
      <c r="P24" s="5">
        <f t="shared" si="4"/>
        <v>26359.7085504</v>
      </c>
      <c r="Q24" s="5">
        <f t="shared" si="5"/>
        <v>26359.7085504</v>
      </c>
      <c r="R24" s="35">
        <f t="shared" si="6"/>
        <v>21082.140475199998</v>
      </c>
      <c r="S24" s="35">
        <f t="shared" si="7"/>
        <v>11263.1308704</v>
      </c>
      <c r="T24"/>
      <c r="V24" s="36">
        <f t="shared" si="8"/>
        <v>11.6538332</v>
      </c>
      <c r="W24" s="36">
        <f t="shared" si="9"/>
        <v>11.6538332</v>
      </c>
      <c r="X24" s="35">
        <f t="shared" si="10"/>
        <v>9.3205791</v>
      </c>
      <c r="Y24" s="35">
        <f t="shared" si="11"/>
        <v>4.9795182</v>
      </c>
      <c r="Z24"/>
      <c r="AB24" s="5">
        <f t="shared" si="12"/>
        <v>521.8140548</v>
      </c>
      <c r="AC24" s="5">
        <f t="shared" si="13"/>
        <v>521.8140548</v>
      </c>
      <c r="AD24" s="35">
        <f t="shared" si="14"/>
        <v>417.3398649</v>
      </c>
      <c r="AE24" s="35">
        <f t="shared" si="15"/>
        <v>222.9637698</v>
      </c>
      <c r="AF24"/>
      <c r="AH24" s="5">
        <f t="shared" si="16"/>
        <v>314.2327804</v>
      </c>
      <c r="AI24" s="5">
        <f t="shared" si="17"/>
        <v>314.2327804</v>
      </c>
      <c r="AJ24" s="35">
        <f t="shared" si="18"/>
        <v>251.3191527</v>
      </c>
      <c r="AK24" s="35">
        <f t="shared" si="19"/>
        <v>134.2672254</v>
      </c>
      <c r="AL24"/>
      <c r="AN24" s="5">
        <f t="shared" si="20"/>
        <v>2335.3945160000003</v>
      </c>
      <c r="AO24" s="5">
        <f t="shared" si="21"/>
        <v>2335.3945160000003</v>
      </c>
      <c r="AP24" s="35">
        <f t="shared" si="22"/>
        <v>1867.8171330000002</v>
      </c>
      <c r="AQ24" s="35">
        <f t="shared" si="23"/>
        <v>997.881066</v>
      </c>
      <c r="AR24"/>
      <c r="AT24" s="5">
        <f t="shared" si="24"/>
        <v>723.7156632</v>
      </c>
      <c r="AU24" s="5">
        <f t="shared" si="25"/>
        <v>723.7156632</v>
      </c>
      <c r="AV24" s="35">
        <f t="shared" si="26"/>
        <v>578.8180566</v>
      </c>
      <c r="AW24" s="35">
        <f t="shared" si="27"/>
        <v>309.2334732</v>
      </c>
      <c r="AX24"/>
      <c r="AZ24" s="5">
        <f t="shared" si="28"/>
        <v>1362.5308376</v>
      </c>
      <c r="BA24" s="5">
        <f t="shared" si="29"/>
        <v>1362.5308376</v>
      </c>
      <c r="BB24" s="35">
        <f t="shared" si="30"/>
        <v>1089.7338438</v>
      </c>
      <c r="BC24" s="35">
        <f t="shared" si="31"/>
        <v>582.1901676</v>
      </c>
      <c r="BD24"/>
      <c r="BF24" s="5">
        <f t="shared" si="32"/>
        <v>288.5270328</v>
      </c>
      <c r="BG24" s="5">
        <f t="shared" si="33"/>
        <v>288.5270328</v>
      </c>
      <c r="BH24" s="35">
        <f t="shared" si="34"/>
        <v>230.76004139999998</v>
      </c>
      <c r="BI24" s="35">
        <f t="shared" si="35"/>
        <v>123.2835228</v>
      </c>
      <c r="BJ24"/>
      <c r="BL24" s="5">
        <f t="shared" si="36"/>
        <v>5144.641462799999</v>
      </c>
      <c r="BM24" s="5">
        <f t="shared" si="37"/>
        <v>5144.641462799999</v>
      </c>
      <c r="BN24" s="35">
        <f t="shared" si="38"/>
        <v>4114.6150689</v>
      </c>
      <c r="BO24" s="35">
        <f t="shared" si="39"/>
        <v>2198.2325778</v>
      </c>
      <c r="BP24"/>
      <c r="BQ24" s="36"/>
      <c r="BR24" s="5">
        <f t="shared" si="40"/>
        <v>2382.0098488</v>
      </c>
      <c r="BS24" s="36">
        <f t="shared" si="41"/>
        <v>2382.0098488</v>
      </c>
      <c r="BT24" s="35">
        <f t="shared" si="42"/>
        <v>1905.0994494</v>
      </c>
      <c r="BU24" s="35">
        <f t="shared" si="43"/>
        <v>1017.7991387999999</v>
      </c>
      <c r="BV24"/>
      <c r="BX24" s="5">
        <f t="shared" si="44"/>
        <v>1140.8135056</v>
      </c>
      <c r="BY24" s="5">
        <f t="shared" si="45"/>
        <v>1140.8135056</v>
      </c>
      <c r="BZ24" s="35">
        <f t="shared" si="46"/>
        <v>912.4073028</v>
      </c>
      <c r="CA24" s="35">
        <f t="shared" si="47"/>
        <v>487.4534856</v>
      </c>
      <c r="CB24"/>
      <c r="CC24" s="5">
        <f t="shared" si="48"/>
        <v>0</v>
      </c>
      <c r="CD24" s="5">
        <f t="shared" si="49"/>
        <v>168.3284716</v>
      </c>
      <c r="CE24" s="5">
        <f t="shared" si="50"/>
        <v>168.3284716</v>
      </c>
      <c r="CF24" s="35">
        <f t="shared" si="51"/>
        <v>134.6268483</v>
      </c>
      <c r="CG24" s="35">
        <f t="shared" si="52"/>
        <v>71.9243766</v>
      </c>
      <c r="CH24"/>
      <c r="CJ24" s="5">
        <f t="shared" si="53"/>
        <v>746.3081123999999</v>
      </c>
      <c r="CK24" s="5">
        <f t="shared" si="54"/>
        <v>746.3081123999999</v>
      </c>
      <c r="CL24" s="35">
        <f t="shared" si="55"/>
        <v>596.8871937</v>
      </c>
      <c r="CM24" s="35">
        <f t="shared" si="56"/>
        <v>318.8869074</v>
      </c>
      <c r="CN24"/>
      <c r="CP24" s="5">
        <f t="shared" si="57"/>
        <v>102.7809188</v>
      </c>
      <c r="CQ24" s="5">
        <f t="shared" si="58"/>
        <v>102.7809188</v>
      </c>
      <c r="CR24" s="35">
        <f t="shared" si="59"/>
        <v>82.2027969</v>
      </c>
      <c r="CS24" s="35">
        <f t="shared" si="60"/>
        <v>43.91683379999999</v>
      </c>
      <c r="CT24"/>
      <c r="CV24" s="5">
        <f t="shared" si="61"/>
        <v>2144.1370224</v>
      </c>
      <c r="CW24" s="5">
        <f t="shared" si="62"/>
        <v>2144.1370224</v>
      </c>
      <c r="CX24" s="35">
        <f t="shared" si="63"/>
        <v>1714.8519612</v>
      </c>
      <c r="CY24" s="35">
        <f t="shared" si="64"/>
        <v>916.1594424</v>
      </c>
      <c r="CZ24"/>
      <c r="DB24" s="5">
        <f t="shared" si="65"/>
        <v>415.33083519999997</v>
      </c>
      <c r="DC24" s="5">
        <f t="shared" si="66"/>
        <v>415.33083519999997</v>
      </c>
      <c r="DD24" s="35">
        <f t="shared" si="67"/>
        <v>332.17601759999997</v>
      </c>
      <c r="DE24" s="35">
        <f t="shared" si="68"/>
        <v>177.46499519999998</v>
      </c>
      <c r="DF24"/>
      <c r="DH24" s="5">
        <f t="shared" si="69"/>
        <v>549.4971676</v>
      </c>
      <c r="DI24" s="36">
        <f t="shared" si="70"/>
        <v>549.4971676</v>
      </c>
      <c r="DJ24" s="35">
        <f t="shared" si="71"/>
        <v>439.4804463</v>
      </c>
      <c r="DK24" s="35">
        <f t="shared" si="72"/>
        <v>234.7923726</v>
      </c>
      <c r="DL24"/>
      <c r="DN24" s="5">
        <f t="shared" si="73"/>
        <v>1786.2759928</v>
      </c>
      <c r="DO24" s="36">
        <f t="shared" si="74"/>
        <v>1786.2759928</v>
      </c>
      <c r="DP24" s="35">
        <f t="shared" si="75"/>
        <v>1428.6395214</v>
      </c>
      <c r="DQ24" s="35">
        <f t="shared" si="76"/>
        <v>763.2504828</v>
      </c>
      <c r="DT24" s="5">
        <f t="shared" si="77"/>
        <v>1050.1492076</v>
      </c>
      <c r="DU24" s="5">
        <f t="shared" si="78"/>
        <v>1050.1492076</v>
      </c>
      <c r="DV24" s="35">
        <f t="shared" si="79"/>
        <v>839.8952162999999</v>
      </c>
      <c r="DW24" s="35">
        <f t="shared" si="80"/>
        <v>448.71391259999996</v>
      </c>
      <c r="DZ24" s="5">
        <f t="shared" si="81"/>
        <v>1185.4514732</v>
      </c>
      <c r="EA24" s="5">
        <f t="shared" si="82"/>
        <v>1185.4514732</v>
      </c>
      <c r="EB24" s="35">
        <f t="shared" si="83"/>
        <v>948.1081490999999</v>
      </c>
      <c r="EC24" s="35">
        <f t="shared" si="84"/>
        <v>506.5266582</v>
      </c>
      <c r="EF24" s="5">
        <f t="shared" si="85"/>
        <v>13725.1442828</v>
      </c>
      <c r="EG24" s="5">
        <f t="shared" si="86"/>
        <v>13725.1442828</v>
      </c>
      <c r="EH24" s="35">
        <f t="shared" si="87"/>
        <v>10977.1858539</v>
      </c>
      <c r="EI24" s="35">
        <f t="shared" si="88"/>
        <v>5864.5601478</v>
      </c>
      <c r="EL24" s="5">
        <f t="shared" si="89"/>
        <v>505.3640592</v>
      </c>
      <c r="EM24" s="36">
        <f t="shared" si="90"/>
        <v>505.3640592</v>
      </c>
      <c r="EN24" s="35">
        <f t="shared" si="91"/>
        <v>404.18337959999997</v>
      </c>
      <c r="EO24" s="35">
        <f t="shared" si="92"/>
        <v>215.9349192</v>
      </c>
      <c r="ER24" s="36">
        <f t="shared" si="93"/>
        <v>447.34732280000003</v>
      </c>
      <c r="ES24" s="36">
        <f t="shared" si="94"/>
        <v>447.34732280000003</v>
      </c>
      <c r="ET24" s="35">
        <f t="shared" si="95"/>
        <v>357.78237390000004</v>
      </c>
      <c r="EU24" s="35">
        <f t="shared" si="96"/>
        <v>191.14518780000003</v>
      </c>
      <c r="EV24"/>
    </row>
    <row r="25" spans="1:152" ht="12.75">
      <c r="A25" s="37">
        <v>46478</v>
      </c>
      <c r="C25" s="3">
        <v>7070000</v>
      </c>
      <c r="D25" s="3">
        <v>420716</v>
      </c>
      <c r="E25" s="35">
        <f t="shared" si="0"/>
        <v>7490716</v>
      </c>
      <c r="F25" s="35">
        <v>336483</v>
      </c>
      <c r="G25" s="35">
        <v>179766</v>
      </c>
      <c r="I25" s="46">
        <f t="shared" si="97"/>
        <v>1065604.54</v>
      </c>
      <c r="J25" s="36">
        <f t="shared" si="1"/>
        <v>63411.15695200001</v>
      </c>
      <c r="K25" s="36">
        <f t="shared" si="2"/>
        <v>1129015.696952</v>
      </c>
      <c r="L25" s="36">
        <f t="shared" si="3"/>
        <v>50715.390726000005</v>
      </c>
      <c r="M25" s="36">
        <f t="shared" si="3"/>
        <v>27094.691052000002</v>
      </c>
      <c r="N25"/>
      <c r="O25" s="5">
        <f t="shared" si="98"/>
        <v>442966.608</v>
      </c>
      <c r="P25" s="5">
        <f t="shared" si="4"/>
        <v>26359.7085504</v>
      </c>
      <c r="Q25" s="5">
        <f t="shared" si="5"/>
        <v>469326.3165504</v>
      </c>
      <c r="R25" s="35">
        <f t="shared" si="6"/>
        <v>21082.140475199998</v>
      </c>
      <c r="S25" s="35">
        <f t="shared" si="7"/>
        <v>11263.1308704</v>
      </c>
      <c r="T25"/>
      <c r="U25" s="5">
        <f t="shared" si="99"/>
        <v>195.839</v>
      </c>
      <c r="V25" s="36">
        <f t="shared" si="8"/>
        <v>11.6538332</v>
      </c>
      <c r="W25" s="36">
        <f t="shared" si="9"/>
        <v>207.4928332</v>
      </c>
      <c r="X25" s="35">
        <f t="shared" si="10"/>
        <v>9.3205791</v>
      </c>
      <c r="Y25" s="35">
        <f t="shared" si="11"/>
        <v>4.9795182</v>
      </c>
      <c r="Z25"/>
      <c r="AA25" s="5">
        <f t="shared" si="100"/>
        <v>8768.921</v>
      </c>
      <c r="AB25" s="5">
        <f t="shared" si="12"/>
        <v>521.8140548</v>
      </c>
      <c r="AC25" s="5">
        <f t="shared" si="13"/>
        <v>9290.7350548</v>
      </c>
      <c r="AD25" s="35">
        <f t="shared" si="14"/>
        <v>417.3398649</v>
      </c>
      <c r="AE25" s="35">
        <f t="shared" si="15"/>
        <v>222.9637698</v>
      </c>
      <c r="AF25"/>
      <c r="AG25" s="5">
        <f t="shared" si="101"/>
        <v>5280.583</v>
      </c>
      <c r="AH25" s="5">
        <f t="shared" si="16"/>
        <v>314.2327804</v>
      </c>
      <c r="AI25" s="5">
        <f t="shared" si="17"/>
        <v>5594.815780399999</v>
      </c>
      <c r="AJ25" s="35">
        <f t="shared" si="18"/>
        <v>251.3191527</v>
      </c>
      <c r="AK25" s="35">
        <f t="shared" si="19"/>
        <v>134.2672254</v>
      </c>
      <c r="AL25"/>
      <c r="AM25" s="5">
        <f t="shared" si="102"/>
        <v>39245.57</v>
      </c>
      <c r="AN25" s="5">
        <f t="shared" si="20"/>
        <v>2335.3945160000003</v>
      </c>
      <c r="AO25" s="5">
        <f t="shared" si="21"/>
        <v>41580.964516</v>
      </c>
      <c r="AP25" s="35">
        <f t="shared" si="22"/>
        <v>1867.8171330000002</v>
      </c>
      <c r="AQ25" s="35">
        <f t="shared" si="23"/>
        <v>997.881066</v>
      </c>
      <c r="AR25"/>
      <c r="AS25" s="5">
        <f t="shared" si="103"/>
        <v>12161.814</v>
      </c>
      <c r="AT25" s="5">
        <f t="shared" si="24"/>
        <v>723.7156632</v>
      </c>
      <c r="AU25" s="5">
        <f t="shared" si="25"/>
        <v>12885.5296632</v>
      </c>
      <c r="AV25" s="35">
        <f t="shared" si="26"/>
        <v>578.8180566</v>
      </c>
      <c r="AW25" s="35">
        <f t="shared" si="27"/>
        <v>309.2334732</v>
      </c>
      <c r="AX25"/>
      <c r="AY25" s="5">
        <f t="shared" si="104"/>
        <v>22896.902</v>
      </c>
      <c r="AZ25" s="5">
        <f t="shared" si="28"/>
        <v>1362.5308376</v>
      </c>
      <c r="BA25" s="5">
        <f t="shared" si="29"/>
        <v>24259.432837599998</v>
      </c>
      <c r="BB25" s="35">
        <f t="shared" si="30"/>
        <v>1089.7338438</v>
      </c>
      <c r="BC25" s="35">
        <f t="shared" si="31"/>
        <v>582.1901676</v>
      </c>
      <c r="BD25"/>
      <c r="BE25" s="5">
        <f t="shared" si="105"/>
        <v>4848.606</v>
      </c>
      <c r="BF25" s="5">
        <f t="shared" si="32"/>
        <v>288.5270328</v>
      </c>
      <c r="BG25" s="5">
        <f t="shared" si="33"/>
        <v>5137.1330327999995</v>
      </c>
      <c r="BH25" s="35">
        <f t="shared" si="34"/>
        <v>230.76004139999998</v>
      </c>
      <c r="BI25" s="35">
        <f t="shared" si="35"/>
        <v>123.2835228</v>
      </c>
      <c r="BJ25"/>
      <c r="BK25" s="5">
        <f t="shared" si="106"/>
        <v>86454.08099999999</v>
      </c>
      <c r="BL25" s="5">
        <f t="shared" si="36"/>
        <v>5144.641462799999</v>
      </c>
      <c r="BM25" s="5">
        <f t="shared" si="37"/>
        <v>91598.7224628</v>
      </c>
      <c r="BN25" s="35">
        <f t="shared" si="38"/>
        <v>4114.6150689</v>
      </c>
      <c r="BO25" s="35">
        <f t="shared" si="39"/>
        <v>2198.2325778</v>
      </c>
      <c r="BP25"/>
      <c r="BQ25" s="36">
        <f t="shared" si="107"/>
        <v>40028.926</v>
      </c>
      <c r="BR25" s="5">
        <f t="shared" si="40"/>
        <v>2382.0098488</v>
      </c>
      <c r="BS25" s="36">
        <f t="shared" si="41"/>
        <v>42410.9358488</v>
      </c>
      <c r="BT25" s="35">
        <f t="shared" si="42"/>
        <v>1905.0994494</v>
      </c>
      <c r="BU25" s="35">
        <f t="shared" si="43"/>
        <v>1017.7991387999999</v>
      </c>
      <c r="BV25"/>
      <c r="BW25" s="5">
        <f t="shared" si="108"/>
        <v>19171.012000000002</v>
      </c>
      <c r="BX25" s="5">
        <f t="shared" si="44"/>
        <v>1140.8135056</v>
      </c>
      <c r="BY25" s="5">
        <f t="shared" si="45"/>
        <v>20311.8255056</v>
      </c>
      <c r="BZ25" s="35">
        <f t="shared" si="46"/>
        <v>912.4073028</v>
      </c>
      <c r="CA25" s="35">
        <f t="shared" si="47"/>
        <v>487.4534856</v>
      </c>
      <c r="CB25"/>
      <c r="CC25" s="5">
        <f t="shared" si="48"/>
        <v>2828.7070000000003</v>
      </c>
      <c r="CD25" s="5">
        <f t="shared" si="49"/>
        <v>168.3284716</v>
      </c>
      <c r="CE25" s="5">
        <f t="shared" si="50"/>
        <v>2997.0354716</v>
      </c>
      <c r="CF25" s="35">
        <f t="shared" si="51"/>
        <v>134.6268483</v>
      </c>
      <c r="CG25" s="35">
        <f t="shared" si="52"/>
        <v>71.9243766</v>
      </c>
      <c r="CH25"/>
      <c r="CI25" s="5">
        <f t="shared" si="109"/>
        <v>12541.473</v>
      </c>
      <c r="CJ25" s="5">
        <f t="shared" si="53"/>
        <v>746.3081123999999</v>
      </c>
      <c r="CK25" s="5">
        <f t="shared" si="54"/>
        <v>13287.7811124</v>
      </c>
      <c r="CL25" s="35">
        <f t="shared" si="55"/>
        <v>596.8871937</v>
      </c>
      <c r="CM25" s="35">
        <f t="shared" si="56"/>
        <v>318.8869074</v>
      </c>
      <c r="CN25"/>
      <c r="CO25" s="5">
        <f t="shared" si="110"/>
        <v>1727.2009999999998</v>
      </c>
      <c r="CP25" s="5">
        <f t="shared" si="57"/>
        <v>102.7809188</v>
      </c>
      <c r="CQ25" s="5">
        <f t="shared" si="58"/>
        <v>1829.9819187999997</v>
      </c>
      <c r="CR25" s="35">
        <f t="shared" si="59"/>
        <v>82.2027969</v>
      </c>
      <c r="CS25" s="35">
        <f t="shared" si="60"/>
        <v>43.91683379999999</v>
      </c>
      <c r="CT25"/>
      <c r="CU25" s="5">
        <f t="shared" si="111"/>
        <v>36031.548</v>
      </c>
      <c r="CV25" s="5">
        <f t="shared" si="61"/>
        <v>2144.1370224</v>
      </c>
      <c r="CW25" s="5">
        <f t="shared" si="62"/>
        <v>38175.6850224</v>
      </c>
      <c r="CX25" s="35">
        <f t="shared" si="63"/>
        <v>1714.8519612</v>
      </c>
      <c r="CY25" s="35">
        <f t="shared" si="64"/>
        <v>916.1594424</v>
      </c>
      <c r="CZ25"/>
      <c r="DA25" s="5">
        <f t="shared" si="112"/>
        <v>6979.504</v>
      </c>
      <c r="DB25" s="5">
        <f t="shared" si="65"/>
        <v>415.33083519999997</v>
      </c>
      <c r="DC25" s="5">
        <f t="shared" si="66"/>
        <v>7394.8348352</v>
      </c>
      <c r="DD25" s="35">
        <f t="shared" si="67"/>
        <v>332.17601759999997</v>
      </c>
      <c r="DE25" s="35">
        <f t="shared" si="68"/>
        <v>177.46499519999998</v>
      </c>
      <c r="DF25"/>
      <c r="DG25" s="5">
        <f t="shared" si="113"/>
        <v>9234.126999999999</v>
      </c>
      <c r="DH25" s="5">
        <f t="shared" si="69"/>
        <v>549.4971676</v>
      </c>
      <c r="DI25" s="36">
        <f t="shared" si="70"/>
        <v>9783.624167599999</v>
      </c>
      <c r="DJ25" s="35">
        <f t="shared" si="71"/>
        <v>439.4804463</v>
      </c>
      <c r="DK25" s="35">
        <f t="shared" si="72"/>
        <v>234.7923726</v>
      </c>
      <c r="DL25"/>
      <c r="DM25" s="5">
        <f t="shared" si="114"/>
        <v>30017.806</v>
      </c>
      <c r="DN25" s="5">
        <f t="shared" si="73"/>
        <v>1786.2759928</v>
      </c>
      <c r="DO25" s="36">
        <f t="shared" si="74"/>
        <v>31804.081992800002</v>
      </c>
      <c r="DP25" s="35">
        <f t="shared" si="75"/>
        <v>1428.6395214</v>
      </c>
      <c r="DQ25" s="35">
        <f t="shared" si="76"/>
        <v>763.2504828</v>
      </c>
      <c r="DS25" s="5">
        <f t="shared" si="115"/>
        <v>17647.427</v>
      </c>
      <c r="DT25" s="5">
        <f t="shared" si="77"/>
        <v>1050.1492076</v>
      </c>
      <c r="DU25" s="5">
        <f t="shared" si="78"/>
        <v>18697.5762076</v>
      </c>
      <c r="DV25" s="35">
        <f t="shared" si="79"/>
        <v>839.8952162999999</v>
      </c>
      <c r="DW25" s="35">
        <f t="shared" si="80"/>
        <v>448.71391259999996</v>
      </c>
      <c r="DY25" s="5">
        <f t="shared" si="116"/>
        <v>19921.139</v>
      </c>
      <c r="DZ25" s="5">
        <f t="shared" si="81"/>
        <v>1185.4514732</v>
      </c>
      <c r="EA25" s="5">
        <f t="shared" si="82"/>
        <v>21106.590473199998</v>
      </c>
      <c r="EB25" s="35">
        <f t="shared" si="83"/>
        <v>948.1081490999999</v>
      </c>
      <c r="EC25" s="35">
        <f t="shared" si="84"/>
        <v>506.5266582</v>
      </c>
      <c r="EE25" s="5">
        <f t="shared" si="117"/>
        <v>230646.731</v>
      </c>
      <c r="EF25" s="5">
        <f t="shared" si="85"/>
        <v>13725.1442828</v>
      </c>
      <c r="EG25" s="5">
        <f t="shared" si="86"/>
        <v>244371.8752828</v>
      </c>
      <c r="EH25" s="35">
        <f t="shared" si="87"/>
        <v>10977.1858539</v>
      </c>
      <c r="EI25" s="35">
        <f t="shared" si="88"/>
        <v>5864.5601478</v>
      </c>
      <c r="EK25" s="5">
        <f t="shared" si="118"/>
        <v>8492.483999999999</v>
      </c>
      <c r="EL25" s="5">
        <f t="shared" si="89"/>
        <v>505.3640592</v>
      </c>
      <c r="EM25" s="36">
        <f t="shared" si="90"/>
        <v>8997.848059199998</v>
      </c>
      <c r="EN25" s="35">
        <f t="shared" si="91"/>
        <v>404.18337959999997</v>
      </c>
      <c r="EO25" s="35">
        <f t="shared" si="92"/>
        <v>215.9349192</v>
      </c>
      <c r="EQ25" s="5">
        <f t="shared" si="119"/>
        <v>7517.531000000001</v>
      </c>
      <c r="ER25" s="36">
        <f t="shared" si="93"/>
        <v>447.34732280000003</v>
      </c>
      <c r="ES25" s="36">
        <f t="shared" si="94"/>
        <v>7964.878322800001</v>
      </c>
      <c r="ET25" s="35">
        <f t="shared" si="95"/>
        <v>357.78237390000004</v>
      </c>
      <c r="EU25" s="35">
        <f t="shared" si="96"/>
        <v>191.14518780000003</v>
      </c>
      <c r="EV25"/>
    </row>
    <row r="26" spans="1:152" ht="12.75">
      <c r="A26" s="37">
        <v>46661</v>
      </c>
      <c r="D26" s="3">
        <v>243966</v>
      </c>
      <c r="E26" s="35">
        <f t="shared" si="0"/>
        <v>243966</v>
      </c>
      <c r="F26" s="35">
        <v>336483</v>
      </c>
      <c r="G26" s="35">
        <v>179766</v>
      </c>
      <c r="I26" s="46"/>
      <c r="J26" s="36">
        <f t="shared" si="1"/>
        <v>36771.043452000005</v>
      </c>
      <c r="K26" s="36">
        <f t="shared" si="2"/>
        <v>36771.043452000005</v>
      </c>
      <c r="L26" s="36">
        <f t="shared" si="3"/>
        <v>50715.390726000005</v>
      </c>
      <c r="M26" s="36">
        <f t="shared" si="3"/>
        <v>27094.691052000002</v>
      </c>
      <c r="N26"/>
      <c r="P26" s="5">
        <f t="shared" si="4"/>
        <v>15285.5433504</v>
      </c>
      <c r="Q26" s="5">
        <f t="shared" si="5"/>
        <v>15285.5433504</v>
      </c>
      <c r="R26" s="35">
        <f t="shared" si="6"/>
        <v>21082.140475199998</v>
      </c>
      <c r="S26" s="35">
        <f t="shared" si="7"/>
        <v>11263.1308704</v>
      </c>
      <c r="T26"/>
      <c r="V26" s="36">
        <f t="shared" si="8"/>
        <v>6.757858199999999</v>
      </c>
      <c r="W26" s="36">
        <f t="shared" si="9"/>
        <v>6.757858199999999</v>
      </c>
      <c r="X26" s="35">
        <f t="shared" si="10"/>
        <v>9.3205791</v>
      </c>
      <c r="Y26" s="35">
        <f t="shared" si="11"/>
        <v>4.9795182</v>
      </c>
      <c r="Z26"/>
      <c r="AB26" s="5">
        <f t="shared" si="12"/>
        <v>302.5910298</v>
      </c>
      <c r="AC26" s="5">
        <f t="shared" si="13"/>
        <v>302.5910298</v>
      </c>
      <c r="AD26" s="35">
        <f t="shared" si="14"/>
        <v>417.3398649</v>
      </c>
      <c r="AE26" s="35">
        <f t="shared" si="15"/>
        <v>222.9637698</v>
      </c>
      <c r="AF26"/>
      <c r="AH26" s="5">
        <f t="shared" si="16"/>
        <v>182.2182054</v>
      </c>
      <c r="AI26" s="5">
        <f t="shared" si="17"/>
        <v>182.2182054</v>
      </c>
      <c r="AJ26" s="35">
        <f t="shared" si="18"/>
        <v>251.3191527</v>
      </c>
      <c r="AK26" s="35">
        <f t="shared" si="19"/>
        <v>134.2672254</v>
      </c>
      <c r="AL26"/>
      <c r="AN26" s="5">
        <f t="shared" si="20"/>
        <v>1354.2552660000001</v>
      </c>
      <c r="AO26" s="5">
        <f t="shared" si="21"/>
        <v>1354.2552660000001</v>
      </c>
      <c r="AP26" s="35">
        <f t="shared" si="22"/>
        <v>1867.8171330000002</v>
      </c>
      <c r="AQ26" s="35">
        <f t="shared" si="23"/>
        <v>997.881066</v>
      </c>
      <c r="AR26"/>
      <c r="AT26" s="5">
        <f t="shared" si="24"/>
        <v>419.6703132</v>
      </c>
      <c r="AU26" s="5">
        <f t="shared" si="25"/>
        <v>419.6703132</v>
      </c>
      <c r="AV26" s="35">
        <f t="shared" si="26"/>
        <v>578.8180566</v>
      </c>
      <c r="AW26" s="35">
        <f t="shared" si="27"/>
        <v>309.2334732</v>
      </c>
      <c r="AX26"/>
      <c r="AZ26" s="5">
        <f t="shared" si="28"/>
        <v>790.1082875999999</v>
      </c>
      <c r="BA26" s="5">
        <f t="shared" si="29"/>
        <v>790.1082875999999</v>
      </c>
      <c r="BB26" s="35">
        <f t="shared" si="30"/>
        <v>1089.7338438</v>
      </c>
      <c r="BC26" s="35">
        <f t="shared" si="31"/>
        <v>582.1901676</v>
      </c>
      <c r="BD26"/>
      <c r="BF26" s="5">
        <f t="shared" si="32"/>
        <v>167.3118828</v>
      </c>
      <c r="BG26" s="5">
        <f t="shared" si="33"/>
        <v>167.3118828</v>
      </c>
      <c r="BH26" s="35">
        <f t="shared" si="34"/>
        <v>230.76004139999998</v>
      </c>
      <c r="BI26" s="35">
        <f t="shared" si="35"/>
        <v>123.2835228</v>
      </c>
      <c r="BJ26"/>
      <c r="BL26" s="5">
        <f t="shared" si="36"/>
        <v>2983.2894377999996</v>
      </c>
      <c r="BM26" s="5">
        <f t="shared" si="37"/>
        <v>2983.2894377999996</v>
      </c>
      <c r="BN26" s="35">
        <f t="shared" si="38"/>
        <v>4114.6150689</v>
      </c>
      <c r="BO26" s="35">
        <f t="shared" si="39"/>
        <v>2198.2325778</v>
      </c>
      <c r="BP26"/>
      <c r="BQ26" s="36"/>
      <c r="BR26" s="5">
        <f t="shared" si="40"/>
        <v>1381.2866988</v>
      </c>
      <c r="BS26" s="36">
        <f t="shared" si="41"/>
        <v>1381.2866988</v>
      </c>
      <c r="BT26" s="35">
        <f t="shared" si="42"/>
        <v>1905.0994494</v>
      </c>
      <c r="BU26" s="35">
        <f t="shared" si="43"/>
        <v>1017.7991387999999</v>
      </c>
      <c r="BV26"/>
      <c r="BX26" s="5">
        <f t="shared" si="44"/>
        <v>661.5382056000001</v>
      </c>
      <c r="BY26" s="5">
        <f t="shared" si="45"/>
        <v>661.5382056000001</v>
      </c>
      <c r="BZ26" s="35">
        <f t="shared" si="46"/>
        <v>912.4073028</v>
      </c>
      <c r="CA26" s="35">
        <f t="shared" si="47"/>
        <v>487.4534856</v>
      </c>
      <c r="CB26"/>
      <c r="CC26" s="5">
        <f t="shared" si="48"/>
        <v>0</v>
      </c>
      <c r="CD26" s="5">
        <f t="shared" si="49"/>
        <v>97.6107966</v>
      </c>
      <c r="CE26" s="5">
        <f t="shared" si="50"/>
        <v>97.6107966</v>
      </c>
      <c r="CF26" s="35">
        <f t="shared" si="51"/>
        <v>134.6268483</v>
      </c>
      <c r="CG26" s="35">
        <f t="shared" si="52"/>
        <v>71.9243766</v>
      </c>
      <c r="CH26"/>
      <c r="CJ26" s="5">
        <f t="shared" si="53"/>
        <v>432.7712874</v>
      </c>
      <c r="CK26" s="5">
        <f t="shared" si="54"/>
        <v>432.7712874</v>
      </c>
      <c r="CL26" s="35">
        <f t="shared" si="55"/>
        <v>596.8871937</v>
      </c>
      <c r="CM26" s="35">
        <f t="shared" si="56"/>
        <v>318.8869074</v>
      </c>
      <c r="CN26"/>
      <c r="CP26" s="5">
        <f t="shared" si="57"/>
        <v>59.600893799999994</v>
      </c>
      <c r="CQ26" s="5">
        <f t="shared" si="58"/>
        <v>59.600893799999994</v>
      </c>
      <c r="CR26" s="35">
        <f t="shared" si="59"/>
        <v>82.2027969</v>
      </c>
      <c r="CS26" s="35">
        <f t="shared" si="60"/>
        <v>43.91683379999999</v>
      </c>
      <c r="CT26"/>
      <c r="CV26" s="5">
        <f t="shared" si="61"/>
        <v>1243.3483224</v>
      </c>
      <c r="CW26" s="5">
        <f t="shared" si="62"/>
        <v>1243.3483224</v>
      </c>
      <c r="CX26" s="35">
        <f t="shared" si="63"/>
        <v>1714.8519612</v>
      </c>
      <c r="CY26" s="35">
        <f t="shared" si="64"/>
        <v>916.1594424</v>
      </c>
      <c r="CZ26"/>
      <c r="DB26" s="5">
        <f t="shared" si="65"/>
        <v>240.84323519999998</v>
      </c>
      <c r="DC26" s="5">
        <f t="shared" si="66"/>
        <v>240.84323519999998</v>
      </c>
      <c r="DD26" s="35">
        <f t="shared" si="67"/>
        <v>332.17601759999997</v>
      </c>
      <c r="DE26" s="35">
        <f t="shared" si="68"/>
        <v>177.46499519999998</v>
      </c>
      <c r="DF26"/>
      <c r="DH26" s="5">
        <f t="shared" si="69"/>
        <v>318.6439926</v>
      </c>
      <c r="DI26" s="36">
        <f t="shared" si="70"/>
        <v>318.6439926</v>
      </c>
      <c r="DJ26" s="35">
        <f t="shared" si="71"/>
        <v>439.4804463</v>
      </c>
      <c r="DK26" s="35">
        <f t="shared" si="72"/>
        <v>234.7923726</v>
      </c>
      <c r="DL26"/>
      <c r="DN26" s="5">
        <f t="shared" si="73"/>
        <v>1035.8308428</v>
      </c>
      <c r="DO26" s="36">
        <f t="shared" si="74"/>
        <v>1035.8308428</v>
      </c>
      <c r="DP26" s="35">
        <f t="shared" si="75"/>
        <v>1428.6395214</v>
      </c>
      <c r="DQ26" s="35">
        <f t="shared" si="76"/>
        <v>763.2504828</v>
      </c>
      <c r="DT26" s="5">
        <f t="shared" si="77"/>
        <v>608.9635325999999</v>
      </c>
      <c r="DU26" s="5">
        <f t="shared" si="78"/>
        <v>608.9635325999999</v>
      </c>
      <c r="DV26" s="35">
        <f t="shared" si="79"/>
        <v>839.8952162999999</v>
      </c>
      <c r="DW26" s="35">
        <f t="shared" si="80"/>
        <v>448.71391259999996</v>
      </c>
      <c r="DZ26" s="5">
        <f t="shared" si="81"/>
        <v>687.4229981999999</v>
      </c>
      <c r="EA26" s="5">
        <f t="shared" si="82"/>
        <v>687.4229981999999</v>
      </c>
      <c r="EB26" s="35">
        <f t="shared" si="83"/>
        <v>948.1081490999999</v>
      </c>
      <c r="EC26" s="35">
        <f t="shared" si="84"/>
        <v>506.5266582</v>
      </c>
      <c r="EF26" s="5">
        <f t="shared" si="85"/>
        <v>7958.9760078</v>
      </c>
      <c r="EG26" s="5">
        <f t="shared" si="86"/>
        <v>7958.9760078</v>
      </c>
      <c r="EH26" s="35">
        <f t="shared" si="87"/>
        <v>10977.1858539</v>
      </c>
      <c r="EI26" s="35">
        <f t="shared" si="88"/>
        <v>5864.5601478</v>
      </c>
      <c r="EL26" s="5">
        <f t="shared" si="89"/>
        <v>293.0519592</v>
      </c>
      <c r="EM26" s="36">
        <f t="shared" si="90"/>
        <v>293.0519592</v>
      </c>
      <c r="EN26" s="35">
        <f t="shared" si="91"/>
        <v>404.18337959999997</v>
      </c>
      <c r="EO26" s="35">
        <f t="shared" si="92"/>
        <v>215.9349192</v>
      </c>
      <c r="ER26" s="36">
        <f t="shared" si="93"/>
        <v>259.4090478</v>
      </c>
      <c r="ES26" s="36">
        <f t="shared" si="94"/>
        <v>259.4090478</v>
      </c>
      <c r="ET26" s="35">
        <f t="shared" si="95"/>
        <v>357.78237390000004</v>
      </c>
      <c r="EU26" s="35">
        <f t="shared" si="96"/>
        <v>191.14518780000003</v>
      </c>
      <c r="EV26"/>
    </row>
    <row r="27" spans="1:152" ht="12.75">
      <c r="A27" s="37">
        <v>46844</v>
      </c>
      <c r="C27" s="3">
        <v>7420000</v>
      </c>
      <c r="D27" s="3">
        <v>243966</v>
      </c>
      <c r="E27" s="35">
        <f t="shared" si="0"/>
        <v>7663966</v>
      </c>
      <c r="F27" s="35">
        <v>336483</v>
      </c>
      <c r="G27" s="35">
        <v>179766</v>
      </c>
      <c r="I27" s="46">
        <f t="shared" si="97"/>
        <v>1118357.2400000002</v>
      </c>
      <c r="J27" s="36">
        <f t="shared" si="1"/>
        <v>36771.043452000005</v>
      </c>
      <c r="K27" s="36">
        <f t="shared" si="2"/>
        <v>1155128.2834520002</v>
      </c>
      <c r="L27" s="36">
        <f t="shared" si="3"/>
        <v>50715.390726000005</v>
      </c>
      <c r="M27" s="36">
        <f t="shared" si="3"/>
        <v>27094.691052000002</v>
      </c>
      <c r="N27"/>
      <c r="O27" s="5">
        <f t="shared" si="98"/>
        <v>464895.648</v>
      </c>
      <c r="P27" s="5">
        <f t="shared" si="4"/>
        <v>15285.5433504</v>
      </c>
      <c r="Q27" s="5">
        <f t="shared" si="5"/>
        <v>480181.1913504</v>
      </c>
      <c r="R27" s="35">
        <f t="shared" si="6"/>
        <v>21082.140475199998</v>
      </c>
      <c r="S27" s="35">
        <f t="shared" si="7"/>
        <v>11263.1308704</v>
      </c>
      <c r="T27"/>
      <c r="U27" s="5">
        <f t="shared" si="99"/>
        <v>205.534</v>
      </c>
      <c r="V27" s="36">
        <f t="shared" si="8"/>
        <v>6.757858199999999</v>
      </c>
      <c r="W27" s="36">
        <f t="shared" si="9"/>
        <v>212.29185819999998</v>
      </c>
      <c r="X27" s="35">
        <f t="shared" si="10"/>
        <v>9.3205791</v>
      </c>
      <c r="Y27" s="35">
        <f t="shared" si="11"/>
        <v>4.9795182</v>
      </c>
      <c r="Z27"/>
      <c r="AA27" s="5">
        <f t="shared" si="100"/>
        <v>9203.026</v>
      </c>
      <c r="AB27" s="5">
        <f t="shared" si="12"/>
        <v>302.5910298</v>
      </c>
      <c r="AC27" s="5">
        <f t="shared" si="13"/>
        <v>9505.6170298</v>
      </c>
      <c r="AD27" s="35">
        <f t="shared" si="14"/>
        <v>417.3398649</v>
      </c>
      <c r="AE27" s="35">
        <f t="shared" si="15"/>
        <v>222.9637698</v>
      </c>
      <c r="AF27"/>
      <c r="AG27" s="5">
        <f t="shared" si="101"/>
        <v>5541.998</v>
      </c>
      <c r="AH27" s="5">
        <f t="shared" si="16"/>
        <v>182.2182054</v>
      </c>
      <c r="AI27" s="5">
        <f t="shared" si="17"/>
        <v>5724.2162054</v>
      </c>
      <c r="AJ27" s="35">
        <f t="shared" si="18"/>
        <v>251.3191527</v>
      </c>
      <c r="AK27" s="35">
        <f t="shared" si="19"/>
        <v>134.2672254</v>
      </c>
      <c r="AL27"/>
      <c r="AM27" s="5">
        <f t="shared" si="102"/>
        <v>41188.420000000006</v>
      </c>
      <c r="AN27" s="5">
        <f t="shared" si="20"/>
        <v>1354.2552660000001</v>
      </c>
      <c r="AO27" s="5">
        <f t="shared" si="21"/>
        <v>42542.675266000006</v>
      </c>
      <c r="AP27" s="35">
        <f t="shared" si="22"/>
        <v>1867.8171330000002</v>
      </c>
      <c r="AQ27" s="35">
        <f t="shared" si="23"/>
        <v>997.881066</v>
      </c>
      <c r="AR27"/>
      <c r="AS27" s="5">
        <f t="shared" si="103"/>
        <v>12763.884</v>
      </c>
      <c r="AT27" s="5">
        <f t="shared" si="24"/>
        <v>419.6703132</v>
      </c>
      <c r="AU27" s="5">
        <f t="shared" si="25"/>
        <v>13183.5543132</v>
      </c>
      <c r="AV27" s="35">
        <f t="shared" si="26"/>
        <v>578.8180566</v>
      </c>
      <c r="AW27" s="35">
        <f t="shared" si="27"/>
        <v>309.2334732</v>
      </c>
      <c r="AX27"/>
      <c r="AY27" s="5">
        <f t="shared" si="104"/>
        <v>24030.412</v>
      </c>
      <c r="AZ27" s="5">
        <f t="shared" si="28"/>
        <v>790.1082875999999</v>
      </c>
      <c r="BA27" s="5">
        <f t="shared" si="29"/>
        <v>24820.5202876</v>
      </c>
      <c r="BB27" s="35">
        <f t="shared" si="30"/>
        <v>1089.7338438</v>
      </c>
      <c r="BC27" s="35">
        <f t="shared" si="31"/>
        <v>582.1901676</v>
      </c>
      <c r="BD27"/>
      <c r="BE27" s="5">
        <f t="shared" si="105"/>
        <v>5088.6359999999995</v>
      </c>
      <c r="BF27" s="5">
        <f t="shared" si="32"/>
        <v>167.3118828</v>
      </c>
      <c r="BG27" s="5">
        <f t="shared" si="33"/>
        <v>5255.947882799999</v>
      </c>
      <c r="BH27" s="35">
        <f t="shared" si="34"/>
        <v>230.76004139999998</v>
      </c>
      <c r="BI27" s="35">
        <f t="shared" si="35"/>
        <v>123.2835228</v>
      </c>
      <c r="BJ27"/>
      <c r="BK27" s="5">
        <f t="shared" si="106"/>
        <v>90733.98599999999</v>
      </c>
      <c r="BL27" s="5">
        <f t="shared" si="36"/>
        <v>2983.2894377999996</v>
      </c>
      <c r="BM27" s="5">
        <f t="shared" si="37"/>
        <v>93717.2754378</v>
      </c>
      <c r="BN27" s="35">
        <f t="shared" si="38"/>
        <v>4114.6150689</v>
      </c>
      <c r="BO27" s="35">
        <f t="shared" si="39"/>
        <v>2198.2325778</v>
      </c>
      <c r="BP27"/>
      <c r="BQ27" s="36">
        <f t="shared" si="107"/>
        <v>42010.556</v>
      </c>
      <c r="BR27" s="5">
        <f t="shared" si="40"/>
        <v>1381.2866988</v>
      </c>
      <c r="BS27" s="36">
        <f t="shared" si="41"/>
        <v>43391.8426988</v>
      </c>
      <c r="BT27" s="35">
        <f t="shared" si="42"/>
        <v>1905.0994494</v>
      </c>
      <c r="BU27" s="35">
        <f t="shared" si="43"/>
        <v>1017.7991387999999</v>
      </c>
      <c r="BV27"/>
      <c r="BW27" s="5">
        <f t="shared" si="108"/>
        <v>20120.072</v>
      </c>
      <c r="BX27" s="5">
        <f t="shared" si="44"/>
        <v>661.5382056000001</v>
      </c>
      <c r="BY27" s="5">
        <f t="shared" si="45"/>
        <v>20781.6102056</v>
      </c>
      <c r="BZ27" s="35">
        <f t="shared" si="46"/>
        <v>912.4073028</v>
      </c>
      <c r="CA27" s="35">
        <f t="shared" si="47"/>
        <v>487.4534856</v>
      </c>
      <c r="CB27"/>
      <c r="CC27" s="5">
        <f t="shared" si="48"/>
        <v>2968.742</v>
      </c>
      <c r="CD27" s="5">
        <f t="shared" si="49"/>
        <v>97.6107966</v>
      </c>
      <c r="CE27" s="5">
        <f t="shared" si="50"/>
        <v>3066.3527966</v>
      </c>
      <c r="CF27" s="35">
        <f t="shared" si="51"/>
        <v>134.6268483</v>
      </c>
      <c r="CG27" s="35">
        <f t="shared" si="52"/>
        <v>71.9243766</v>
      </c>
      <c r="CH27"/>
      <c r="CI27" s="5">
        <f t="shared" si="109"/>
        <v>13162.338</v>
      </c>
      <c r="CJ27" s="5">
        <f t="shared" si="53"/>
        <v>432.7712874</v>
      </c>
      <c r="CK27" s="5">
        <f t="shared" si="54"/>
        <v>13595.1092874</v>
      </c>
      <c r="CL27" s="35">
        <f t="shared" si="55"/>
        <v>596.8871937</v>
      </c>
      <c r="CM27" s="35">
        <f t="shared" si="56"/>
        <v>318.8869074</v>
      </c>
      <c r="CN27"/>
      <c r="CO27" s="5">
        <f t="shared" si="110"/>
        <v>1812.706</v>
      </c>
      <c r="CP27" s="5">
        <f t="shared" si="57"/>
        <v>59.600893799999994</v>
      </c>
      <c r="CQ27" s="5">
        <f t="shared" si="58"/>
        <v>1872.3068938</v>
      </c>
      <c r="CR27" s="35">
        <f t="shared" si="59"/>
        <v>82.2027969</v>
      </c>
      <c r="CS27" s="35">
        <f t="shared" si="60"/>
        <v>43.91683379999999</v>
      </c>
      <c r="CT27"/>
      <c r="CU27" s="5">
        <f t="shared" si="111"/>
        <v>37815.288</v>
      </c>
      <c r="CV27" s="5">
        <f t="shared" si="61"/>
        <v>1243.3483224</v>
      </c>
      <c r="CW27" s="5">
        <f t="shared" si="62"/>
        <v>39058.6363224</v>
      </c>
      <c r="CX27" s="35">
        <f t="shared" si="63"/>
        <v>1714.8519612</v>
      </c>
      <c r="CY27" s="35">
        <f t="shared" si="64"/>
        <v>916.1594424</v>
      </c>
      <c r="CZ27"/>
      <c r="DA27" s="5">
        <f t="shared" si="112"/>
        <v>7325.023999999999</v>
      </c>
      <c r="DB27" s="5">
        <f t="shared" si="65"/>
        <v>240.84323519999998</v>
      </c>
      <c r="DC27" s="5">
        <f t="shared" si="66"/>
        <v>7565.867235199999</v>
      </c>
      <c r="DD27" s="35">
        <f t="shared" si="67"/>
        <v>332.17601759999997</v>
      </c>
      <c r="DE27" s="35">
        <f t="shared" si="68"/>
        <v>177.46499519999998</v>
      </c>
      <c r="DF27"/>
      <c r="DG27" s="5">
        <f t="shared" si="113"/>
        <v>9691.261999999999</v>
      </c>
      <c r="DH27" s="5">
        <f t="shared" si="69"/>
        <v>318.6439926</v>
      </c>
      <c r="DI27" s="36">
        <f t="shared" si="70"/>
        <v>10009.905992599999</v>
      </c>
      <c r="DJ27" s="35">
        <f t="shared" si="71"/>
        <v>439.4804463</v>
      </c>
      <c r="DK27" s="35">
        <f t="shared" si="72"/>
        <v>234.7923726</v>
      </c>
      <c r="DL27"/>
      <c r="DM27" s="5">
        <f t="shared" si="114"/>
        <v>31503.836</v>
      </c>
      <c r="DN27" s="5">
        <f t="shared" si="73"/>
        <v>1035.8308428</v>
      </c>
      <c r="DO27" s="36">
        <f t="shared" si="74"/>
        <v>32539.666842799998</v>
      </c>
      <c r="DP27" s="35">
        <f t="shared" si="75"/>
        <v>1428.6395214</v>
      </c>
      <c r="DQ27" s="35">
        <f t="shared" si="76"/>
        <v>763.2504828</v>
      </c>
      <c r="DS27" s="5">
        <f t="shared" si="115"/>
        <v>18521.061999999998</v>
      </c>
      <c r="DT27" s="5">
        <f t="shared" si="77"/>
        <v>608.9635325999999</v>
      </c>
      <c r="DU27" s="5">
        <f t="shared" si="78"/>
        <v>19130.025532599997</v>
      </c>
      <c r="DV27" s="35">
        <f t="shared" si="79"/>
        <v>839.8952162999999</v>
      </c>
      <c r="DW27" s="35">
        <f t="shared" si="80"/>
        <v>448.71391259999996</v>
      </c>
      <c r="DY27" s="5">
        <f t="shared" si="116"/>
        <v>20907.334</v>
      </c>
      <c r="DZ27" s="5">
        <f t="shared" si="81"/>
        <v>687.4229981999999</v>
      </c>
      <c r="EA27" s="5">
        <f t="shared" si="82"/>
        <v>21594.7569982</v>
      </c>
      <c r="EB27" s="35">
        <f t="shared" si="83"/>
        <v>948.1081490999999</v>
      </c>
      <c r="EC27" s="35">
        <f t="shared" si="84"/>
        <v>506.5266582</v>
      </c>
      <c r="EE27" s="5">
        <f t="shared" si="117"/>
        <v>242064.886</v>
      </c>
      <c r="EF27" s="5">
        <f t="shared" si="85"/>
        <v>7958.9760078</v>
      </c>
      <c r="EG27" s="5">
        <f t="shared" si="86"/>
        <v>250023.8620078</v>
      </c>
      <c r="EH27" s="35">
        <f t="shared" si="87"/>
        <v>10977.1858539</v>
      </c>
      <c r="EI27" s="35">
        <f t="shared" si="88"/>
        <v>5864.5601478</v>
      </c>
      <c r="EK27" s="5">
        <f t="shared" si="118"/>
        <v>8912.903999999999</v>
      </c>
      <c r="EL27" s="5">
        <f t="shared" si="89"/>
        <v>293.0519592</v>
      </c>
      <c r="EM27" s="36">
        <f t="shared" si="90"/>
        <v>9205.955959199999</v>
      </c>
      <c r="EN27" s="35">
        <f t="shared" si="91"/>
        <v>404.18337959999997</v>
      </c>
      <c r="EO27" s="35">
        <f t="shared" si="92"/>
        <v>215.9349192</v>
      </c>
      <c r="EQ27" s="5">
        <f t="shared" si="119"/>
        <v>7889.686000000001</v>
      </c>
      <c r="ER27" s="36">
        <f t="shared" si="93"/>
        <v>259.4090478</v>
      </c>
      <c r="ES27" s="36">
        <f t="shared" si="94"/>
        <v>8149.0950478</v>
      </c>
      <c r="ET27" s="35">
        <f t="shared" si="95"/>
        <v>357.78237390000004</v>
      </c>
      <c r="EU27" s="35">
        <f t="shared" si="96"/>
        <v>191.14518780000003</v>
      </c>
      <c r="EV27"/>
    </row>
    <row r="28" spans="1:152" ht="12.75">
      <c r="A28" s="37">
        <v>47027</v>
      </c>
      <c r="D28" s="3">
        <v>95566</v>
      </c>
      <c r="E28" s="35">
        <f t="shared" si="0"/>
        <v>95566</v>
      </c>
      <c r="F28" s="35">
        <v>336483</v>
      </c>
      <c r="G28" s="35">
        <v>179766</v>
      </c>
      <c r="I28" s="46"/>
      <c r="J28" s="36">
        <f t="shared" si="1"/>
        <v>14403.898651999998</v>
      </c>
      <c r="K28" s="36">
        <f t="shared" si="2"/>
        <v>14403.898651999998</v>
      </c>
      <c r="L28" s="36">
        <f t="shared" si="3"/>
        <v>50715.390726000005</v>
      </c>
      <c r="M28" s="36">
        <f t="shared" si="3"/>
        <v>27094.691052000002</v>
      </c>
      <c r="N28"/>
      <c r="P28" s="5">
        <f t="shared" si="4"/>
        <v>5987.6303904</v>
      </c>
      <c r="Q28" s="5">
        <f t="shared" si="5"/>
        <v>5987.6303904</v>
      </c>
      <c r="R28" s="35">
        <f t="shared" si="6"/>
        <v>21082.140475199998</v>
      </c>
      <c r="S28" s="35">
        <f t="shared" si="7"/>
        <v>11263.1308704</v>
      </c>
      <c r="T28"/>
      <c r="V28" s="36">
        <f t="shared" si="8"/>
        <v>2.6471782</v>
      </c>
      <c r="W28" s="36">
        <f t="shared" si="9"/>
        <v>2.6471782</v>
      </c>
      <c r="X28" s="35">
        <f t="shared" si="10"/>
        <v>9.3205791</v>
      </c>
      <c r="Y28" s="35">
        <f t="shared" si="11"/>
        <v>4.9795182</v>
      </c>
      <c r="Z28"/>
      <c r="AB28" s="5">
        <f t="shared" si="12"/>
        <v>118.53050979999999</v>
      </c>
      <c r="AC28" s="5">
        <f t="shared" si="13"/>
        <v>118.53050979999999</v>
      </c>
      <c r="AD28" s="35">
        <f t="shared" si="14"/>
        <v>417.3398649</v>
      </c>
      <c r="AE28" s="35">
        <f t="shared" si="15"/>
        <v>222.9637698</v>
      </c>
      <c r="AF28"/>
      <c r="AH28" s="5">
        <f t="shared" si="16"/>
        <v>71.3782454</v>
      </c>
      <c r="AI28" s="5">
        <f t="shared" si="17"/>
        <v>71.3782454</v>
      </c>
      <c r="AJ28" s="35">
        <f t="shared" si="18"/>
        <v>251.3191527</v>
      </c>
      <c r="AK28" s="35">
        <f t="shared" si="19"/>
        <v>134.2672254</v>
      </c>
      <c r="AL28"/>
      <c r="AN28" s="5">
        <f t="shared" si="20"/>
        <v>530.4868660000001</v>
      </c>
      <c r="AO28" s="5">
        <f t="shared" si="21"/>
        <v>530.4868660000001</v>
      </c>
      <c r="AP28" s="35">
        <f t="shared" si="22"/>
        <v>1867.8171330000002</v>
      </c>
      <c r="AQ28" s="35">
        <f t="shared" si="23"/>
        <v>997.881066</v>
      </c>
      <c r="AR28"/>
      <c r="AT28" s="5">
        <f t="shared" si="24"/>
        <v>164.3926332</v>
      </c>
      <c r="AU28" s="5">
        <f t="shared" si="25"/>
        <v>164.3926332</v>
      </c>
      <c r="AV28" s="35">
        <f t="shared" si="26"/>
        <v>578.8180566</v>
      </c>
      <c r="AW28" s="35">
        <f t="shared" si="27"/>
        <v>309.2334732</v>
      </c>
      <c r="AX28"/>
      <c r="AZ28" s="5">
        <f t="shared" si="28"/>
        <v>309.5000476</v>
      </c>
      <c r="BA28" s="5">
        <f t="shared" si="29"/>
        <v>309.5000476</v>
      </c>
      <c r="BB28" s="35">
        <f t="shared" si="30"/>
        <v>1089.7338438</v>
      </c>
      <c r="BC28" s="35">
        <f t="shared" si="31"/>
        <v>582.1901676</v>
      </c>
      <c r="BD28"/>
      <c r="BF28" s="5">
        <f t="shared" si="32"/>
        <v>65.5391628</v>
      </c>
      <c r="BG28" s="5">
        <f t="shared" si="33"/>
        <v>65.5391628</v>
      </c>
      <c r="BH28" s="35">
        <f t="shared" si="34"/>
        <v>230.76004139999998</v>
      </c>
      <c r="BI28" s="35">
        <f t="shared" si="35"/>
        <v>123.2835228</v>
      </c>
      <c r="BJ28"/>
      <c r="BL28" s="5">
        <f t="shared" si="36"/>
        <v>1168.6097178</v>
      </c>
      <c r="BM28" s="5">
        <f t="shared" si="37"/>
        <v>1168.6097178</v>
      </c>
      <c r="BN28" s="35">
        <f t="shared" si="38"/>
        <v>4114.6150689</v>
      </c>
      <c r="BO28" s="35">
        <f t="shared" si="39"/>
        <v>2198.2325778</v>
      </c>
      <c r="BP28"/>
      <c r="BQ28" s="36"/>
      <c r="BR28" s="5">
        <f t="shared" si="40"/>
        <v>541.0755788</v>
      </c>
      <c r="BS28" s="36">
        <f t="shared" si="41"/>
        <v>541.0755788</v>
      </c>
      <c r="BT28" s="35">
        <f t="shared" si="42"/>
        <v>1905.0994494</v>
      </c>
      <c r="BU28" s="35">
        <f t="shared" si="43"/>
        <v>1017.7991387999999</v>
      </c>
      <c r="BV28"/>
      <c r="BX28" s="5">
        <f t="shared" si="44"/>
        <v>259.13676560000005</v>
      </c>
      <c r="BY28" s="5">
        <f t="shared" si="45"/>
        <v>259.13676560000005</v>
      </c>
      <c r="BZ28" s="35">
        <f t="shared" si="46"/>
        <v>912.4073028</v>
      </c>
      <c r="CA28" s="35">
        <f t="shared" si="47"/>
        <v>487.4534856</v>
      </c>
      <c r="CB28"/>
      <c r="CC28" s="5">
        <f t="shared" si="48"/>
        <v>0</v>
      </c>
      <c r="CD28" s="5">
        <f t="shared" si="49"/>
        <v>38.2359566</v>
      </c>
      <c r="CE28" s="5">
        <f t="shared" si="50"/>
        <v>38.2359566</v>
      </c>
      <c r="CF28" s="35">
        <f t="shared" si="51"/>
        <v>134.6268483</v>
      </c>
      <c r="CG28" s="35">
        <f t="shared" si="52"/>
        <v>71.9243766</v>
      </c>
      <c r="CH28"/>
      <c r="CJ28" s="5">
        <f t="shared" si="53"/>
        <v>169.52452739999998</v>
      </c>
      <c r="CK28" s="5">
        <f t="shared" si="54"/>
        <v>169.52452739999998</v>
      </c>
      <c r="CL28" s="35">
        <f t="shared" si="55"/>
        <v>596.8871937</v>
      </c>
      <c r="CM28" s="35">
        <f t="shared" si="56"/>
        <v>318.8869074</v>
      </c>
      <c r="CN28"/>
      <c r="CP28" s="5">
        <f t="shared" si="57"/>
        <v>23.346773799999998</v>
      </c>
      <c r="CQ28" s="5">
        <f t="shared" si="58"/>
        <v>23.346773799999998</v>
      </c>
      <c r="CR28" s="35">
        <f t="shared" si="59"/>
        <v>82.2027969</v>
      </c>
      <c r="CS28" s="35">
        <f t="shared" si="60"/>
        <v>43.91683379999999</v>
      </c>
      <c r="CT28"/>
      <c r="CV28" s="5">
        <f t="shared" si="61"/>
        <v>487.0425624</v>
      </c>
      <c r="CW28" s="5">
        <f t="shared" si="62"/>
        <v>487.0425624</v>
      </c>
      <c r="CX28" s="35">
        <f t="shared" si="63"/>
        <v>1714.8519612</v>
      </c>
      <c r="CY28" s="35">
        <f t="shared" si="64"/>
        <v>916.1594424</v>
      </c>
      <c r="CZ28"/>
      <c r="DB28" s="5">
        <f t="shared" si="65"/>
        <v>94.3427552</v>
      </c>
      <c r="DC28" s="5">
        <f t="shared" si="66"/>
        <v>94.3427552</v>
      </c>
      <c r="DD28" s="35">
        <f t="shared" si="67"/>
        <v>332.17601759999997</v>
      </c>
      <c r="DE28" s="35">
        <f t="shared" si="68"/>
        <v>177.46499519999998</v>
      </c>
      <c r="DF28"/>
      <c r="DH28" s="5">
        <f t="shared" si="69"/>
        <v>124.8187526</v>
      </c>
      <c r="DI28" s="36">
        <f t="shared" si="70"/>
        <v>124.8187526</v>
      </c>
      <c r="DJ28" s="35">
        <f t="shared" si="71"/>
        <v>439.4804463</v>
      </c>
      <c r="DK28" s="35">
        <f t="shared" si="72"/>
        <v>234.7923726</v>
      </c>
      <c r="DL28"/>
      <c r="DN28" s="5">
        <f t="shared" si="73"/>
        <v>405.7541228</v>
      </c>
      <c r="DO28" s="36">
        <f t="shared" si="74"/>
        <v>405.7541228</v>
      </c>
      <c r="DP28" s="35">
        <f t="shared" si="75"/>
        <v>1428.6395214</v>
      </c>
      <c r="DQ28" s="35">
        <f t="shared" si="76"/>
        <v>763.2504828</v>
      </c>
      <c r="DT28" s="5">
        <f t="shared" si="77"/>
        <v>238.54229259999997</v>
      </c>
      <c r="DU28" s="5">
        <f t="shared" si="78"/>
        <v>238.54229259999997</v>
      </c>
      <c r="DV28" s="35">
        <f t="shared" si="79"/>
        <v>839.8952162999999</v>
      </c>
      <c r="DW28" s="35">
        <f t="shared" si="80"/>
        <v>448.71391259999996</v>
      </c>
      <c r="DZ28" s="5">
        <f t="shared" si="81"/>
        <v>269.2763182</v>
      </c>
      <c r="EA28" s="5">
        <f t="shared" si="82"/>
        <v>269.2763182</v>
      </c>
      <c r="EB28" s="35">
        <f t="shared" si="83"/>
        <v>948.1081490999999</v>
      </c>
      <c r="EC28" s="35">
        <f t="shared" si="84"/>
        <v>506.5266582</v>
      </c>
      <c r="EF28" s="5">
        <f t="shared" si="85"/>
        <v>3117.6782878</v>
      </c>
      <c r="EG28" s="5">
        <f t="shared" si="86"/>
        <v>3117.6782878</v>
      </c>
      <c r="EH28" s="35">
        <f t="shared" si="87"/>
        <v>10977.1858539</v>
      </c>
      <c r="EI28" s="35">
        <f t="shared" si="88"/>
        <v>5864.5601478</v>
      </c>
      <c r="EL28" s="5">
        <f t="shared" si="89"/>
        <v>114.79387919999999</v>
      </c>
      <c r="EM28" s="36">
        <f t="shared" si="90"/>
        <v>114.79387919999999</v>
      </c>
      <c r="EN28" s="35">
        <f t="shared" si="91"/>
        <v>404.18337959999997</v>
      </c>
      <c r="EO28" s="35">
        <f t="shared" si="92"/>
        <v>215.9349192</v>
      </c>
      <c r="ER28" s="36">
        <f t="shared" si="93"/>
        <v>101.6153278</v>
      </c>
      <c r="ES28" s="36">
        <f t="shared" si="94"/>
        <v>101.6153278</v>
      </c>
      <c r="ET28" s="35">
        <f t="shared" si="95"/>
        <v>357.78237390000004</v>
      </c>
      <c r="EU28" s="35">
        <f t="shared" si="96"/>
        <v>191.14518780000003</v>
      </c>
      <c r="EV28"/>
    </row>
    <row r="29" spans="1:152" ht="12.75">
      <c r="A29" s="37">
        <v>47209</v>
      </c>
      <c r="C29" s="3">
        <v>10000</v>
      </c>
      <c r="D29" s="3">
        <v>95566</v>
      </c>
      <c r="E29" s="35">
        <f t="shared" si="0"/>
        <v>105566</v>
      </c>
      <c r="F29" s="35">
        <v>336483</v>
      </c>
      <c r="G29" s="35">
        <v>179766</v>
      </c>
      <c r="I29" s="46">
        <f t="shared" si="97"/>
        <v>1507.2199999999998</v>
      </c>
      <c r="J29" s="36">
        <f t="shared" si="1"/>
        <v>14403.898651999998</v>
      </c>
      <c r="K29" s="36">
        <f t="shared" si="2"/>
        <v>15911.118651999997</v>
      </c>
      <c r="L29" s="36">
        <f t="shared" si="3"/>
        <v>50715.390726000005</v>
      </c>
      <c r="M29" s="36">
        <f t="shared" si="3"/>
        <v>27094.691052000002</v>
      </c>
      <c r="N29"/>
      <c r="O29" s="5">
        <f t="shared" si="98"/>
        <v>626.544</v>
      </c>
      <c r="P29" s="5">
        <f t="shared" si="4"/>
        <v>5987.6303904</v>
      </c>
      <c r="Q29" s="5">
        <f t="shared" si="5"/>
        <v>6614.1743903999995</v>
      </c>
      <c r="R29" s="35">
        <f t="shared" si="6"/>
        <v>21082.140475199998</v>
      </c>
      <c r="S29" s="35">
        <f t="shared" si="7"/>
        <v>11263.1308704</v>
      </c>
      <c r="T29"/>
      <c r="U29" s="5">
        <f t="shared" si="99"/>
        <v>0.27699999999999997</v>
      </c>
      <c r="V29" s="36">
        <f t="shared" si="8"/>
        <v>2.6471782</v>
      </c>
      <c r="W29" s="36">
        <f t="shared" si="9"/>
        <v>2.9241782</v>
      </c>
      <c r="X29" s="35">
        <f t="shared" si="10"/>
        <v>9.3205791</v>
      </c>
      <c r="Y29" s="35">
        <f t="shared" si="11"/>
        <v>4.9795182</v>
      </c>
      <c r="Z29"/>
      <c r="AA29" s="5">
        <f t="shared" si="100"/>
        <v>12.402999999999999</v>
      </c>
      <c r="AB29" s="5">
        <f t="shared" si="12"/>
        <v>118.53050979999999</v>
      </c>
      <c r="AC29" s="5">
        <f t="shared" si="13"/>
        <v>130.9335098</v>
      </c>
      <c r="AD29" s="35">
        <f t="shared" si="14"/>
        <v>417.3398649</v>
      </c>
      <c r="AE29" s="35">
        <f t="shared" si="15"/>
        <v>222.9637698</v>
      </c>
      <c r="AF29"/>
      <c r="AG29" s="5">
        <f t="shared" si="101"/>
        <v>7.469</v>
      </c>
      <c r="AH29" s="5">
        <f t="shared" si="16"/>
        <v>71.3782454</v>
      </c>
      <c r="AI29" s="5">
        <f t="shared" si="17"/>
        <v>78.84724539999999</v>
      </c>
      <c r="AJ29" s="35">
        <f t="shared" si="18"/>
        <v>251.3191527</v>
      </c>
      <c r="AK29" s="35">
        <f t="shared" si="19"/>
        <v>134.2672254</v>
      </c>
      <c r="AL29"/>
      <c r="AM29" s="5">
        <f t="shared" si="102"/>
        <v>55.510000000000005</v>
      </c>
      <c r="AN29" s="5">
        <f t="shared" si="20"/>
        <v>530.4868660000001</v>
      </c>
      <c r="AO29" s="5">
        <f t="shared" si="21"/>
        <v>585.9968660000001</v>
      </c>
      <c r="AP29" s="35">
        <f t="shared" si="22"/>
        <v>1867.8171330000002</v>
      </c>
      <c r="AQ29" s="35">
        <f t="shared" si="23"/>
        <v>997.881066</v>
      </c>
      <c r="AR29"/>
      <c r="AS29" s="5">
        <f t="shared" si="103"/>
        <v>17.202</v>
      </c>
      <c r="AT29" s="5">
        <f t="shared" si="24"/>
        <v>164.3926332</v>
      </c>
      <c r="AU29" s="5">
        <f t="shared" si="25"/>
        <v>181.5946332</v>
      </c>
      <c r="AV29" s="35">
        <f t="shared" si="26"/>
        <v>578.8180566</v>
      </c>
      <c r="AW29" s="35">
        <f t="shared" si="27"/>
        <v>309.2334732</v>
      </c>
      <c r="AX29"/>
      <c r="AY29" s="5">
        <f t="shared" si="104"/>
        <v>32.385999999999996</v>
      </c>
      <c r="AZ29" s="5">
        <f t="shared" si="28"/>
        <v>309.5000476</v>
      </c>
      <c r="BA29" s="5">
        <f t="shared" si="29"/>
        <v>341.8860476</v>
      </c>
      <c r="BB29" s="35">
        <f t="shared" si="30"/>
        <v>1089.7338438</v>
      </c>
      <c r="BC29" s="35">
        <f t="shared" si="31"/>
        <v>582.1901676</v>
      </c>
      <c r="BD29"/>
      <c r="BE29" s="5">
        <f t="shared" si="105"/>
        <v>6.858</v>
      </c>
      <c r="BF29" s="5">
        <f t="shared" si="32"/>
        <v>65.5391628</v>
      </c>
      <c r="BG29" s="5">
        <f t="shared" si="33"/>
        <v>72.3971628</v>
      </c>
      <c r="BH29" s="35">
        <f t="shared" si="34"/>
        <v>230.76004139999998</v>
      </c>
      <c r="BI29" s="35">
        <f t="shared" si="35"/>
        <v>123.2835228</v>
      </c>
      <c r="BJ29"/>
      <c r="BK29" s="5">
        <f t="shared" si="106"/>
        <v>122.28299999999999</v>
      </c>
      <c r="BL29" s="5">
        <f t="shared" si="36"/>
        <v>1168.6097178</v>
      </c>
      <c r="BM29" s="5">
        <f t="shared" si="37"/>
        <v>1290.8927178</v>
      </c>
      <c r="BN29" s="35">
        <f t="shared" si="38"/>
        <v>4114.6150689</v>
      </c>
      <c r="BO29" s="35">
        <f t="shared" si="39"/>
        <v>2198.2325778</v>
      </c>
      <c r="BP29"/>
      <c r="BQ29" s="36">
        <f t="shared" si="107"/>
        <v>56.617999999999995</v>
      </c>
      <c r="BR29" s="5">
        <f t="shared" si="40"/>
        <v>541.0755788</v>
      </c>
      <c r="BS29" s="36">
        <f t="shared" si="41"/>
        <v>597.6935788000001</v>
      </c>
      <c r="BT29" s="35">
        <f t="shared" si="42"/>
        <v>1905.0994494</v>
      </c>
      <c r="BU29" s="35">
        <f t="shared" si="43"/>
        <v>1017.7991387999999</v>
      </c>
      <c r="BV29"/>
      <c r="BW29" s="5">
        <f t="shared" si="108"/>
        <v>27.116000000000003</v>
      </c>
      <c r="BX29" s="5">
        <f t="shared" si="44"/>
        <v>259.13676560000005</v>
      </c>
      <c r="BY29" s="5">
        <f t="shared" si="45"/>
        <v>286.25276560000003</v>
      </c>
      <c r="BZ29" s="35">
        <f t="shared" si="46"/>
        <v>912.4073028</v>
      </c>
      <c r="CA29" s="35">
        <f t="shared" si="47"/>
        <v>487.4534856</v>
      </c>
      <c r="CB29"/>
      <c r="CC29" s="5">
        <f t="shared" si="48"/>
        <v>4.001</v>
      </c>
      <c r="CD29" s="5">
        <f t="shared" si="49"/>
        <v>38.2359566</v>
      </c>
      <c r="CE29" s="5">
        <f t="shared" si="50"/>
        <v>42.2369566</v>
      </c>
      <c r="CF29" s="35">
        <f t="shared" si="51"/>
        <v>134.6268483</v>
      </c>
      <c r="CG29" s="35">
        <f t="shared" si="52"/>
        <v>71.9243766</v>
      </c>
      <c r="CH29"/>
      <c r="CI29" s="5">
        <f t="shared" si="109"/>
        <v>17.739</v>
      </c>
      <c r="CJ29" s="5">
        <f t="shared" si="53"/>
        <v>169.52452739999998</v>
      </c>
      <c r="CK29" s="5">
        <f t="shared" si="54"/>
        <v>187.2635274</v>
      </c>
      <c r="CL29" s="35">
        <f t="shared" si="55"/>
        <v>596.8871937</v>
      </c>
      <c r="CM29" s="35">
        <f t="shared" si="56"/>
        <v>318.8869074</v>
      </c>
      <c r="CN29"/>
      <c r="CO29" s="5">
        <f t="shared" si="110"/>
        <v>2.4429999999999996</v>
      </c>
      <c r="CP29" s="5">
        <f t="shared" si="57"/>
        <v>23.346773799999998</v>
      </c>
      <c r="CQ29" s="5">
        <f t="shared" si="58"/>
        <v>25.7897738</v>
      </c>
      <c r="CR29" s="35">
        <f t="shared" si="59"/>
        <v>82.2027969</v>
      </c>
      <c r="CS29" s="35">
        <f t="shared" si="60"/>
        <v>43.91683379999999</v>
      </c>
      <c r="CT29"/>
      <c r="CU29" s="5">
        <f t="shared" si="111"/>
        <v>50.964</v>
      </c>
      <c r="CV29" s="5">
        <f t="shared" si="61"/>
        <v>487.0425624</v>
      </c>
      <c r="CW29" s="5">
        <f t="shared" si="62"/>
        <v>538.0065624</v>
      </c>
      <c r="CX29" s="35">
        <f t="shared" si="63"/>
        <v>1714.8519612</v>
      </c>
      <c r="CY29" s="35">
        <f t="shared" si="64"/>
        <v>916.1594424</v>
      </c>
      <c r="CZ29"/>
      <c r="DA29" s="5">
        <f t="shared" si="112"/>
        <v>9.872</v>
      </c>
      <c r="DB29" s="5">
        <f t="shared" si="65"/>
        <v>94.3427552</v>
      </c>
      <c r="DC29" s="5">
        <f t="shared" si="66"/>
        <v>104.2147552</v>
      </c>
      <c r="DD29" s="35">
        <f t="shared" si="67"/>
        <v>332.17601759999997</v>
      </c>
      <c r="DE29" s="35">
        <f t="shared" si="68"/>
        <v>177.46499519999998</v>
      </c>
      <c r="DF29"/>
      <c r="DG29" s="5">
        <f t="shared" si="113"/>
        <v>13.061</v>
      </c>
      <c r="DH29" s="5">
        <f t="shared" si="69"/>
        <v>124.8187526</v>
      </c>
      <c r="DI29" s="36">
        <f t="shared" si="70"/>
        <v>137.8797526</v>
      </c>
      <c r="DJ29" s="35">
        <f t="shared" si="71"/>
        <v>439.4804463</v>
      </c>
      <c r="DK29" s="35">
        <f t="shared" si="72"/>
        <v>234.7923726</v>
      </c>
      <c r="DL29"/>
      <c r="DM29" s="5">
        <f t="shared" si="114"/>
        <v>42.458</v>
      </c>
      <c r="DN29" s="5">
        <f t="shared" si="73"/>
        <v>405.7541228</v>
      </c>
      <c r="DO29" s="36">
        <f t="shared" si="74"/>
        <v>448.2121228</v>
      </c>
      <c r="DP29" s="35">
        <f t="shared" si="75"/>
        <v>1428.6395214</v>
      </c>
      <c r="DQ29" s="35">
        <f t="shared" si="76"/>
        <v>763.2504828</v>
      </c>
      <c r="DS29" s="5">
        <f t="shared" si="115"/>
        <v>24.961</v>
      </c>
      <c r="DT29" s="5">
        <f t="shared" si="77"/>
        <v>238.54229259999997</v>
      </c>
      <c r="DU29" s="5">
        <f t="shared" si="78"/>
        <v>263.50329259999995</v>
      </c>
      <c r="DV29" s="35">
        <f t="shared" si="79"/>
        <v>839.8952162999999</v>
      </c>
      <c r="DW29" s="35">
        <f t="shared" si="80"/>
        <v>448.71391259999996</v>
      </c>
      <c r="DY29" s="5">
        <f t="shared" si="116"/>
        <v>28.177</v>
      </c>
      <c r="DZ29" s="5">
        <f t="shared" si="81"/>
        <v>269.2763182</v>
      </c>
      <c r="EA29" s="5">
        <f t="shared" si="82"/>
        <v>297.4533182</v>
      </c>
      <c r="EB29" s="35">
        <f t="shared" si="83"/>
        <v>948.1081490999999</v>
      </c>
      <c r="EC29" s="35">
        <f t="shared" si="84"/>
        <v>506.5266582</v>
      </c>
      <c r="EE29" s="5">
        <f t="shared" si="117"/>
        <v>326.233</v>
      </c>
      <c r="EF29" s="5">
        <f t="shared" si="85"/>
        <v>3117.6782878</v>
      </c>
      <c r="EG29" s="5">
        <f t="shared" si="86"/>
        <v>3443.9112878</v>
      </c>
      <c r="EH29" s="35">
        <f t="shared" si="87"/>
        <v>10977.1858539</v>
      </c>
      <c r="EI29" s="35">
        <f t="shared" si="88"/>
        <v>5864.5601478</v>
      </c>
      <c r="EK29" s="5">
        <f t="shared" si="118"/>
        <v>12.011999999999999</v>
      </c>
      <c r="EL29" s="5">
        <f t="shared" si="89"/>
        <v>114.79387919999999</v>
      </c>
      <c r="EM29" s="36">
        <f t="shared" si="90"/>
        <v>126.80587919999999</v>
      </c>
      <c r="EN29" s="35">
        <f t="shared" si="91"/>
        <v>404.18337959999997</v>
      </c>
      <c r="EO29" s="35">
        <f t="shared" si="92"/>
        <v>215.9349192</v>
      </c>
      <c r="EQ29" s="5">
        <f t="shared" si="119"/>
        <v>10.633000000000001</v>
      </c>
      <c r="ER29" s="36">
        <f t="shared" si="93"/>
        <v>101.6153278</v>
      </c>
      <c r="ES29" s="36">
        <f t="shared" si="94"/>
        <v>112.2483278</v>
      </c>
      <c r="ET29" s="35">
        <f t="shared" si="95"/>
        <v>357.78237390000004</v>
      </c>
      <c r="EU29" s="35">
        <f t="shared" si="96"/>
        <v>191.14518780000003</v>
      </c>
      <c r="EV29"/>
    </row>
    <row r="30" spans="1:152" ht="12.75">
      <c r="A30" s="37">
        <v>47392</v>
      </c>
      <c r="D30" s="3">
        <v>95416</v>
      </c>
      <c r="E30" s="35">
        <f t="shared" si="0"/>
        <v>95416</v>
      </c>
      <c r="F30" s="35">
        <v>336483</v>
      </c>
      <c r="G30" s="35">
        <v>179766</v>
      </c>
      <c r="I30" s="46"/>
      <c r="J30" s="36">
        <f t="shared" si="1"/>
        <v>14381.290351999998</v>
      </c>
      <c r="K30" s="36">
        <f t="shared" si="2"/>
        <v>14381.290351999998</v>
      </c>
      <c r="L30" s="36">
        <f t="shared" si="3"/>
        <v>50715.390726000005</v>
      </c>
      <c r="M30" s="36">
        <f t="shared" si="3"/>
        <v>27094.691052000002</v>
      </c>
      <c r="N30"/>
      <c r="P30" s="5">
        <f t="shared" si="4"/>
        <v>5978.2322304</v>
      </c>
      <c r="Q30" s="5">
        <f t="shared" si="5"/>
        <v>5978.2322304</v>
      </c>
      <c r="R30" s="35">
        <f t="shared" si="6"/>
        <v>21082.140475199998</v>
      </c>
      <c r="S30" s="35">
        <f t="shared" si="7"/>
        <v>11263.1308704</v>
      </c>
      <c r="T30"/>
      <c r="V30" s="36">
        <f t="shared" si="8"/>
        <v>2.6430232</v>
      </c>
      <c r="W30" s="36">
        <f t="shared" si="9"/>
        <v>2.6430232</v>
      </c>
      <c r="X30" s="35">
        <f t="shared" si="10"/>
        <v>9.3205791</v>
      </c>
      <c r="Y30" s="35">
        <f t="shared" si="11"/>
        <v>4.9795182</v>
      </c>
      <c r="Z30"/>
      <c r="AB30" s="5">
        <f t="shared" si="12"/>
        <v>118.3444648</v>
      </c>
      <c r="AC30" s="5">
        <f t="shared" si="13"/>
        <v>118.3444648</v>
      </c>
      <c r="AD30" s="35">
        <f t="shared" si="14"/>
        <v>417.3398649</v>
      </c>
      <c r="AE30" s="35">
        <f t="shared" si="15"/>
        <v>222.9637698</v>
      </c>
      <c r="AF30"/>
      <c r="AH30" s="5">
        <f t="shared" si="16"/>
        <v>71.2662104</v>
      </c>
      <c r="AI30" s="5">
        <f t="shared" si="17"/>
        <v>71.2662104</v>
      </c>
      <c r="AJ30" s="35">
        <f t="shared" si="18"/>
        <v>251.3191527</v>
      </c>
      <c r="AK30" s="35">
        <f t="shared" si="19"/>
        <v>134.2672254</v>
      </c>
      <c r="AL30"/>
      <c r="AN30" s="5">
        <f t="shared" si="20"/>
        <v>529.654216</v>
      </c>
      <c r="AO30" s="5">
        <f t="shared" si="21"/>
        <v>529.654216</v>
      </c>
      <c r="AP30" s="35">
        <f t="shared" si="22"/>
        <v>1867.8171330000002</v>
      </c>
      <c r="AQ30" s="35">
        <f t="shared" si="23"/>
        <v>997.881066</v>
      </c>
      <c r="AR30"/>
      <c r="AT30" s="5">
        <f t="shared" si="24"/>
        <v>164.13460320000002</v>
      </c>
      <c r="AU30" s="5">
        <f t="shared" si="25"/>
        <v>164.13460320000002</v>
      </c>
      <c r="AV30" s="35">
        <f t="shared" si="26"/>
        <v>578.8180566</v>
      </c>
      <c r="AW30" s="35">
        <f t="shared" si="27"/>
        <v>309.2334732</v>
      </c>
      <c r="AX30"/>
      <c r="AZ30" s="5">
        <f t="shared" si="28"/>
        <v>309.0142576</v>
      </c>
      <c r="BA30" s="5">
        <f t="shared" si="29"/>
        <v>309.0142576</v>
      </c>
      <c r="BB30" s="35">
        <f t="shared" si="30"/>
        <v>1089.7338438</v>
      </c>
      <c r="BC30" s="35">
        <f t="shared" si="31"/>
        <v>582.1901676</v>
      </c>
      <c r="BD30"/>
      <c r="BF30" s="5">
        <f t="shared" si="32"/>
        <v>65.4362928</v>
      </c>
      <c r="BG30" s="5">
        <f t="shared" si="33"/>
        <v>65.4362928</v>
      </c>
      <c r="BH30" s="35">
        <f t="shared" si="34"/>
        <v>230.76004139999998</v>
      </c>
      <c r="BI30" s="35">
        <f t="shared" si="35"/>
        <v>123.2835228</v>
      </c>
      <c r="BJ30"/>
      <c r="BL30" s="5">
        <f t="shared" si="36"/>
        <v>1166.7754728</v>
      </c>
      <c r="BM30" s="5">
        <f t="shared" si="37"/>
        <v>1166.7754728</v>
      </c>
      <c r="BN30" s="35">
        <f t="shared" si="38"/>
        <v>4114.6150689</v>
      </c>
      <c r="BO30" s="35">
        <f t="shared" si="39"/>
        <v>2198.2325778</v>
      </c>
      <c r="BP30"/>
      <c r="BQ30" s="36"/>
      <c r="BR30" s="5">
        <f t="shared" si="40"/>
        <v>540.2263088</v>
      </c>
      <c r="BS30" s="36">
        <f t="shared" si="41"/>
        <v>540.2263088</v>
      </c>
      <c r="BT30" s="35">
        <f t="shared" si="42"/>
        <v>1905.0994494</v>
      </c>
      <c r="BU30" s="35">
        <f t="shared" si="43"/>
        <v>1017.7991387999999</v>
      </c>
      <c r="BV30"/>
      <c r="BX30" s="5">
        <f t="shared" si="44"/>
        <v>258.73002560000003</v>
      </c>
      <c r="BY30" s="5">
        <f t="shared" si="45"/>
        <v>258.73002560000003</v>
      </c>
      <c r="BZ30" s="35">
        <f t="shared" si="46"/>
        <v>912.4073028</v>
      </c>
      <c r="CA30" s="35">
        <f t="shared" si="47"/>
        <v>487.4534856</v>
      </c>
      <c r="CB30"/>
      <c r="CC30" s="5">
        <f t="shared" si="48"/>
        <v>0</v>
      </c>
      <c r="CD30" s="5">
        <f t="shared" si="49"/>
        <v>38.1759416</v>
      </c>
      <c r="CE30" s="5">
        <f t="shared" si="50"/>
        <v>38.1759416</v>
      </c>
      <c r="CF30" s="35">
        <f t="shared" si="51"/>
        <v>134.6268483</v>
      </c>
      <c r="CG30" s="35">
        <f t="shared" si="52"/>
        <v>71.9243766</v>
      </c>
      <c r="CH30"/>
      <c r="CJ30" s="5">
        <f t="shared" si="53"/>
        <v>169.25844239999998</v>
      </c>
      <c r="CK30" s="5">
        <f t="shared" si="54"/>
        <v>169.25844239999998</v>
      </c>
      <c r="CL30" s="35">
        <f t="shared" si="55"/>
        <v>596.8871937</v>
      </c>
      <c r="CM30" s="35">
        <f t="shared" si="56"/>
        <v>318.8869074</v>
      </c>
      <c r="CN30"/>
      <c r="CP30" s="5">
        <f t="shared" si="57"/>
        <v>23.310128799999998</v>
      </c>
      <c r="CQ30" s="5">
        <f t="shared" si="58"/>
        <v>23.310128799999998</v>
      </c>
      <c r="CR30" s="35">
        <f t="shared" si="59"/>
        <v>82.2027969</v>
      </c>
      <c r="CS30" s="35">
        <f t="shared" si="60"/>
        <v>43.91683379999999</v>
      </c>
      <c r="CT30"/>
      <c r="CV30" s="5">
        <f t="shared" si="61"/>
        <v>486.2781024</v>
      </c>
      <c r="CW30" s="5">
        <f t="shared" si="62"/>
        <v>486.2781024</v>
      </c>
      <c r="CX30" s="35">
        <f t="shared" si="63"/>
        <v>1714.8519612</v>
      </c>
      <c r="CY30" s="35">
        <f t="shared" si="64"/>
        <v>916.1594424</v>
      </c>
      <c r="CZ30"/>
      <c r="DB30" s="5">
        <f t="shared" si="65"/>
        <v>94.19467519999999</v>
      </c>
      <c r="DC30" s="5">
        <f t="shared" si="66"/>
        <v>94.19467519999999</v>
      </c>
      <c r="DD30" s="35">
        <f t="shared" si="67"/>
        <v>332.17601759999997</v>
      </c>
      <c r="DE30" s="35">
        <f t="shared" si="68"/>
        <v>177.46499519999998</v>
      </c>
      <c r="DF30"/>
      <c r="DH30" s="5">
        <f t="shared" si="69"/>
        <v>124.6228376</v>
      </c>
      <c r="DI30" s="36">
        <f t="shared" si="70"/>
        <v>124.6228376</v>
      </c>
      <c r="DJ30" s="35">
        <f t="shared" si="71"/>
        <v>439.4804463</v>
      </c>
      <c r="DK30" s="35">
        <f t="shared" si="72"/>
        <v>234.7923726</v>
      </c>
      <c r="DL30"/>
      <c r="DN30" s="5">
        <f t="shared" si="73"/>
        <v>405.1172528</v>
      </c>
      <c r="DO30" s="36">
        <f t="shared" si="74"/>
        <v>405.1172528</v>
      </c>
      <c r="DP30" s="35">
        <f t="shared" si="75"/>
        <v>1428.6395214</v>
      </c>
      <c r="DQ30" s="35">
        <f t="shared" si="76"/>
        <v>763.2504828</v>
      </c>
      <c r="DT30" s="5">
        <f t="shared" si="77"/>
        <v>238.16787759999997</v>
      </c>
      <c r="DU30" s="5">
        <f t="shared" si="78"/>
        <v>238.16787759999997</v>
      </c>
      <c r="DV30" s="35">
        <f t="shared" si="79"/>
        <v>839.8952162999999</v>
      </c>
      <c r="DW30" s="35">
        <f t="shared" si="80"/>
        <v>448.71391259999996</v>
      </c>
      <c r="DZ30" s="5">
        <f t="shared" si="81"/>
        <v>268.85366319999997</v>
      </c>
      <c r="EA30" s="5">
        <f t="shared" si="82"/>
        <v>268.85366319999997</v>
      </c>
      <c r="EB30" s="35">
        <f t="shared" si="83"/>
        <v>948.1081490999999</v>
      </c>
      <c r="EC30" s="35">
        <f t="shared" si="84"/>
        <v>506.5266582</v>
      </c>
      <c r="EF30" s="5">
        <f t="shared" si="85"/>
        <v>3112.7847928</v>
      </c>
      <c r="EG30" s="5">
        <f t="shared" si="86"/>
        <v>3112.7847928</v>
      </c>
      <c r="EH30" s="35">
        <f t="shared" si="87"/>
        <v>10977.1858539</v>
      </c>
      <c r="EI30" s="35">
        <f t="shared" si="88"/>
        <v>5864.5601478</v>
      </c>
      <c r="EL30" s="5">
        <f t="shared" si="89"/>
        <v>114.6136992</v>
      </c>
      <c r="EM30" s="36">
        <f t="shared" si="90"/>
        <v>114.6136992</v>
      </c>
      <c r="EN30" s="35">
        <f t="shared" si="91"/>
        <v>404.18337959999997</v>
      </c>
      <c r="EO30" s="35">
        <f t="shared" si="92"/>
        <v>215.9349192</v>
      </c>
      <c r="ER30" s="36">
        <f t="shared" si="93"/>
        <v>101.45583280000001</v>
      </c>
      <c r="ES30" s="36">
        <f t="shared" si="94"/>
        <v>101.45583280000001</v>
      </c>
      <c r="ET30" s="35">
        <f t="shared" si="95"/>
        <v>357.78237390000004</v>
      </c>
      <c r="EU30" s="35">
        <f t="shared" si="96"/>
        <v>191.14518780000003</v>
      </c>
      <c r="EV30"/>
    </row>
    <row r="31" spans="1:152" ht="12.75">
      <c r="A31" s="37">
        <v>11049</v>
      </c>
      <c r="C31" s="3">
        <v>8035000</v>
      </c>
      <c r="D31" s="3">
        <v>95416</v>
      </c>
      <c r="E31" s="35">
        <f t="shared" si="0"/>
        <v>8130416</v>
      </c>
      <c r="F31" s="35">
        <v>336483</v>
      </c>
      <c r="G31" s="35">
        <v>179766</v>
      </c>
      <c r="I31" s="46">
        <f t="shared" si="97"/>
        <v>1211051.27</v>
      </c>
      <c r="J31" s="36">
        <f t="shared" si="1"/>
        <v>14381.290351999998</v>
      </c>
      <c r="K31" s="36">
        <f t="shared" si="2"/>
        <v>1225432.560352</v>
      </c>
      <c r="L31" s="36">
        <f t="shared" si="3"/>
        <v>50715.390726000005</v>
      </c>
      <c r="M31" s="36">
        <f t="shared" si="3"/>
        <v>27094.691052000002</v>
      </c>
      <c r="N31"/>
      <c r="O31" s="5">
        <f t="shared" si="98"/>
        <v>503428.104</v>
      </c>
      <c r="P31" s="5">
        <f t="shared" si="4"/>
        <v>5978.2322304</v>
      </c>
      <c r="Q31" s="5">
        <f t="shared" si="5"/>
        <v>509406.3362304</v>
      </c>
      <c r="R31" s="35">
        <f t="shared" si="6"/>
        <v>21082.140475199998</v>
      </c>
      <c r="S31" s="35">
        <f t="shared" si="7"/>
        <v>11263.1308704</v>
      </c>
      <c r="T31"/>
      <c r="U31" s="5">
        <f t="shared" si="99"/>
        <v>222.5695</v>
      </c>
      <c r="V31" s="36">
        <f t="shared" si="8"/>
        <v>2.6430232</v>
      </c>
      <c r="W31" s="36">
        <f t="shared" si="9"/>
        <v>225.2125232</v>
      </c>
      <c r="X31" s="35">
        <f t="shared" si="10"/>
        <v>9.3205791</v>
      </c>
      <c r="Y31" s="35">
        <f t="shared" si="11"/>
        <v>4.9795182</v>
      </c>
      <c r="Z31"/>
      <c r="AA31" s="5">
        <f t="shared" si="100"/>
        <v>9965.8105</v>
      </c>
      <c r="AB31" s="5">
        <f t="shared" si="12"/>
        <v>118.3444648</v>
      </c>
      <c r="AC31" s="5">
        <f t="shared" si="13"/>
        <v>10084.1549648</v>
      </c>
      <c r="AD31" s="35">
        <f t="shared" si="14"/>
        <v>417.3398649</v>
      </c>
      <c r="AE31" s="35">
        <f t="shared" si="15"/>
        <v>222.9637698</v>
      </c>
      <c r="AF31"/>
      <c r="AG31" s="5">
        <f t="shared" si="101"/>
        <v>6001.3414999999995</v>
      </c>
      <c r="AH31" s="5">
        <f t="shared" si="16"/>
        <v>71.2662104</v>
      </c>
      <c r="AI31" s="5">
        <f t="shared" si="17"/>
        <v>6072.6077104</v>
      </c>
      <c r="AJ31" s="35">
        <f t="shared" si="18"/>
        <v>251.3191527</v>
      </c>
      <c r="AK31" s="35">
        <f t="shared" si="19"/>
        <v>134.2672254</v>
      </c>
      <c r="AL31"/>
      <c r="AM31" s="5">
        <f t="shared" si="102"/>
        <v>44602.285</v>
      </c>
      <c r="AN31" s="5">
        <f t="shared" si="20"/>
        <v>529.654216</v>
      </c>
      <c r="AO31" s="5">
        <f t="shared" si="21"/>
        <v>45131.939216000006</v>
      </c>
      <c r="AP31" s="35">
        <f t="shared" si="22"/>
        <v>1867.8171330000002</v>
      </c>
      <c r="AQ31" s="35">
        <f t="shared" si="23"/>
        <v>997.881066</v>
      </c>
      <c r="AR31"/>
      <c r="AS31" s="5">
        <f t="shared" si="103"/>
        <v>13821.807</v>
      </c>
      <c r="AT31" s="5">
        <f t="shared" si="24"/>
        <v>164.13460320000002</v>
      </c>
      <c r="AU31" s="5">
        <f t="shared" si="25"/>
        <v>13985.9416032</v>
      </c>
      <c r="AV31" s="35">
        <f t="shared" si="26"/>
        <v>578.8180566</v>
      </c>
      <c r="AW31" s="35">
        <f t="shared" si="27"/>
        <v>309.2334732</v>
      </c>
      <c r="AX31"/>
      <c r="AY31" s="5">
        <f t="shared" si="104"/>
        <v>26022.150999999998</v>
      </c>
      <c r="AZ31" s="5">
        <f t="shared" si="28"/>
        <v>309.0142576</v>
      </c>
      <c r="BA31" s="5">
        <f t="shared" si="29"/>
        <v>26331.165257599998</v>
      </c>
      <c r="BB31" s="35">
        <f t="shared" si="30"/>
        <v>1089.7338438</v>
      </c>
      <c r="BC31" s="35">
        <f t="shared" si="31"/>
        <v>582.1901676</v>
      </c>
      <c r="BD31"/>
      <c r="BE31" s="5">
        <f t="shared" si="105"/>
        <v>5510.402999999999</v>
      </c>
      <c r="BF31" s="5">
        <f t="shared" si="32"/>
        <v>65.4362928</v>
      </c>
      <c r="BG31" s="5">
        <f t="shared" si="33"/>
        <v>5575.839292799999</v>
      </c>
      <c r="BH31" s="35">
        <f t="shared" si="34"/>
        <v>230.76004139999998</v>
      </c>
      <c r="BI31" s="35">
        <f t="shared" si="35"/>
        <v>123.2835228</v>
      </c>
      <c r="BJ31"/>
      <c r="BK31" s="5">
        <f t="shared" si="106"/>
        <v>98254.3905</v>
      </c>
      <c r="BL31" s="5">
        <f t="shared" si="36"/>
        <v>1166.7754728</v>
      </c>
      <c r="BM31" s="5">
        <f t="shared" si="37"/>
        <v>99421.1659728</v>
      </c>
      <c r="BN31" s="35">
        <f t="shared" si="38"/>
        <v>4114.6150689</v>
      </c>
      <c r="BO31" s="35">
        <f t="shared" si="39"/>
        <v>2198.2325778</v>
      </c>
      <c r="BP31"/>
      <c r="BQ31" s="36">
        <f t="shared" si="107"/>
        <v>45492.563</v>
      </c>
      <c r="BR31" s="5">
        <f t="shared" si="40"/>
        <v>540.2263088</v>
      </c>
      <c r="BS31" s="36">
        <f t="shared" si="41"/>
        <v>46032.7893088</v>
      </c>
      <c r="BT31" s="35">
        <f t="shared" si="42"/>
        <v>1905.0994494</v>
      </c>
      <c r="BU31" s="35">
        <f t="shared" si="43"/>
        <v>1017.7991387999999</v>
      </c>
      <c r="BV31"/>
      <c r="BW31" s="5">
        <f t="shared" si="108"/>
        <v>21787.706000000002</v>
      </c>
      <c r="BX31" s="5">
        <f t="shared" si="44"/>
        <v>258.73002560000003</v>
      </c>
      <c r="BY31" s="5">
        <f t="shared" si="45"/>
        <v>22046.436025600004</v>
      </c>
      <c r="BZ31" s="35">
        <f t="shared" si="46"/>
        <v>912.4073028</v>
      </c>
      <c r="CA31" s="35">
        <f t="shared" si="47"/>
        <v>487.4534856</v>
      </c>
      <c r="CB31"/>
      <c r="CC31" s="5">
        <f t="shared" si="48"/>
        <v>3214.8035</v>
      </c>
      <c r="CD31" s="5">
        <f t="shared" si="49"/>
        <v>38.1759416</v>
      </c>
      <c r="CE31" s="5">
        <f t="shared" si="50"/>
        <v>3252.9794416</v>
      </c>
      <c r="CF31" s="35">
        <f t="shared" si="51"/>
        <v>134.6268483</v>
      </c>
      <c r="CG31" s="35">
        <f t="shared" si="52"/>
        <v>71.9243766</v>
      </c>
      <c r="CH31"/>
      <c r="CI31" s="5">
        <f t="shared" si="109"/>
        <v>14253.2865</v>
      </c>
      <c r="CJ31" s="5">
        <f t="shared" si="53"/>
        <v>169.25844239999998</v>
      </c>
      <c r="CK31" s="5">
        <f t="shared" si="54"/>
        <v>14422.5449424</v>
      </c>
      <c r="CL31" s="35">
        <f t="shared" si="55"/>
        <v>596.8871937</v>
      </c>
      <c r="CM31" s="35">
        <f t="shared" si="56"/>
        <v>318.8869074</v>
      </c>
      <c r="CN31"/>
      <c r="CO31" s="5">
        <f t="shared" si="110"/>
        <v>1962.9504999999997</v>
      </c>
      <c r="CP31" s="5">
        <f t="shared" si="57"/>
        <v>23.310128799999998</v>
      </c>
      <c r="CQ31" s="5">
        <f t="shared" si="58"/>
        <v>1986.2606287999997</v>
      </c>
      <c r="CR31" s="35">
        <f t="shared" si="59"/>
        <v>82.2027969</v>
      </c>
      <c r="CS31" s="35">
        <f t="shared" si="60"/>
        <v>43.91683379999999</v>
      </c>
      <c r="CT31"/>
      <c r="CU31" s="5">
        <f t="shared" si="111"/>
        <v>40949.574</v>
      </c>
      <c r="CV31" s="5">
        <f t="shared" si="61"/>
        <v>486.2781024</v>
      </c>
      <c r="CW31" s="5">
        <f t="shared" si="62"/>
        <v>41435.8521024</v>
      </c>
      <c r="CX31" s="35">
        <f t="shared" si="63"/>
        <v>1714.8519612</v>
      </c>
      <c r="CY31" s="35">
        <f t="shared" si="64"/>
        <v>916.1594424</v>
      </c>
      <c r="CZ31"/>
      <c r="DA31" s="5">
        <f t="shared" si="112"/>
        <v>7932.151999999999</v>
      </c>
      <c r="DB31" s="5">
        <f t="shared" si="65"/>
        <v>94.19467519999999</v>
      </c>
      <c r="DC31" s="5">
        <f t="shared" si="66"/>
        <v>8026.3466751999995</v>
      </c>
      <c r="DD31" s="35">
        <f t="shared" si="67"/>
        <v>332.17601759999997</v>
      </c>
      <c r="DE31" s="35">
        <f t="shared" si="68"/>
        <v>177.46499519999998</v>
      </c>
      <c r="DF31"/>
      <c r="DG31" s="5">
        <f t="shared" si="113"/>
        <v>10494.5135</v>
      </c>
      <c r="DH31" s="5">
        <f t="shared" si="69"/>
        <v>124.6228376</v>
      </c>
      <c r="DI31" s="36">
        <f t="shared" si="70"/>
        <v>10619.136337599999</v>
      </c>
      <c r="DJ31" s="35">
        <f t="shared" si="71"/>
        <v>439.4804463</v>
      </c>
      <c r="DK31" s="35">
        <f t="shared" si="72"/>
        <v>234.7923726</v>
      </c>
      <c r="DL31"/>
      <c r="DM31" s="5">
        <f t="shared" si="114"/>
        <v>34115.003000000004</v>
      </c>
      <c r="DN31" s="5">
        <f t="shared" si="73"/>
        <v>405.1172528</v>
      </c>
      <c r="DO31" s="36">
        <f t="shared" si="74"/>
        <v>34520.12025280001</v>
      </c>
      <c r="DP31" s="35">
        <f t="shared" si="75"/>
        <v>1428.6395214</v>
      </c>
      <c r="DQ31" s="35">
        <f t="shared" si="76"/>
        <v>763.2504828</v>
      </c>
      <c r="DS31" s="5">
        <f t="shared" si="115"/>
        <v>20056.1635</v>
      </c>
      <c r="DT31" s="5">
        <f t="shared" si="77"/>
        <v>238.16787759999997</v>
      </c>
      <c r="DU31" s="5">
        <f t="shared" si="78"/>
        <v>20294.3313776</v>
      </c>
      <c r="DV31" s="35">
        <f t="shared" si="79"/>
        <v>839.8952162999999</v>
      </c>
      <c r="DW31" s="35">
        <f t="shared" si="80"/>
        <v>448.71391259999996</v>
      </c>
      <c r="DY31" s="5">
        <f t="shared" si="116"/>
        <v>22640.2195</v>
      </c>
      <c r="DZ31" s="5">
        <f t="shared" si="81"/>
        <v>268.85366319999997</v>
      </c>
      <c r="EA31" s="5">
        <f t="shared" si="82"/>
        <v>22909.0731632</v>
      </c>
      <c r="EB31" s="35">
        <f t="shared" si="83"/>
        <v>948.1081490999999</v>
      </c>
      <c r="EC31" s="35">
        <f t="shared" si="84"/>
        <v>506.5266582</v>
      </c>
      <c r="EE31" s="5">
        <f t="shared" si="117"/>
        <v>262128.21550000002</v>
      </c>
      <c r="EF31" s="5">
        <f t="shared" si="85"/>
        <v>3112.7847928</v>
      </c>
      <c r="EG31" s="5">
        <f t="shared" si="86"/>
        <v>265241.0002928</v>
      </c>
      <c r="EH31" s="35">
        <f t="shared" si="87"/>
        <v>10977.1858539</v>
      </c>
      <c r="EI31" s="35">
        <f t="shared" si="88"/>
        <v>5864.5601478</v>
      </c>
      <c r="EK31" s="5">
        <f t="shared" si="118"/>
        <v>9651.642</v>
      </c>
      <c r="EL31" s="5">
        <f t="shared" si="89"/>
        <v>114.6136992</v>
      </c>
      <c r="EM31" s="36">
        <f t="shared" si="90"/>
        <v>9766.255699199999</v>
      </c>
      <c r="EN31" s="35">
        <f t="shared" si="91"/>
        <v>404.18337959999997</v>
      </c>
      <c r="EO31" s="35">
        <f t="shared" si="92"/>
        <v>215.9349192</v>
      </c>
      <c r="EQ31" s="5">
        <f t="shared" si="119"/>
        <v>8543.6155</v>
      </c>
      <c r="ER31" s="36">
        <f t="shared" si="93"/>
        <v>101.45583280000001</v>
      </c>
      <c r="ES31" s="36">
        <f t="shared" si="94"/>
        <v>8645.0713328</v>
      </c>
      <c r="ET31" s="35">
        <f t="shared" si="95"/>
        <v>357.78237390000004</v>
      </c>
      <c r="EU31" s="35">
        <f t="shared" si="96"/>
        <v>191.14518780000003</v>
      </c>
      <c r="EV31"/>
    </row>
    <row r="32" spans="1:152" ht="12.75">
      <c r="A32" s="37">
        <v>11232</v>
      </c>
      <c r="E32" s="35">
        <f t="shared" si="0"/>
        <v>0</v>
      </c>
      <c r="F32" s="35"/>
      <c r="G32" s="35"/>
      <c r="I32" s="46"/>
      <c r="J32" s="36">
        <f t="shared" si="1"/>
        <v>0</v>
      </c>
      <c r="K32" s="36">
        <f t="shared" si="2"/>
        <v>0</v>
      </c>
      <c r="L32" s="36">
        <f t="shared" si="3"/>
        <v>0</v>
      </c>
      <c r="M32" s="36">
        <f t="shared" si="3"/>
        <v>0</v>
      </c>
      <c r="N32"/>
      <c r="P32" s="5">
        <f t="shared" si="4"/>
        <v>0</v>
      </c>
      <c r="Q32" s="5">
        <f t="shared" si="5"/>
        <v>0</v>
      </c>
      <c r="R32" s="35">
        <f t="shared" si="6"/>
        <v>0</v>
      </c>
      <c r="S32" s="35"/>
      <c r="T32"/>
      <c r="V32" s="36">
        <f t="shared" si="8"/>
        <v>0</v>
      </c>
      <c r="W32" s="36">
        <f t="shared" si="9"/>
        <v>0</v>
      </c>
      <c r="X32" s="35">
        <f t="shared" si="10"/>
        <v>0</v>
      </c>
      <c r="Y32" s="35"/>
      <c r="Z32"/>
      <c r="AB32" s="5">
        <f t="shared" si="12"/>
        <v>0</v>
      </c>
      <c r="AC32" s="5">
        <f t="shared" si="13"/>
        <v>0</v>
      </c>
      <c r="AD32" s="35">
        <f t="shared" si="14"/>
        <v>0</v>
      </c>
      <c r="AE32" s="35"/>
      <c r="AF32"/>
      <c r="AH32" s="5">
        <f t="shared" si="16"/>
        <v>0</v>
      </c>
      <c r="AI32" s="5">
        <f t="shared" si="17"/>
        <v>0</v>
      </c>
      <c r="AJ32" s="35">
        <f t="shared" si="18"/>
        <v>0</v>
      </c>
      <c r="AK32" s="35"/>
      <c r="AL32"/>
      <c r="AN32" s="5">
        <f t="shared" si="20"/>
        <v>0</v>
      </c>
      <c r="AO32" s="5">
        <f t="shared" si="21"/>
        <v>0</v>
      </c>
      <c r="AP32" s="35">
        <f t="shared" si="22"/>
        <v>0</v>
      </c>
      <c r="AQ32" s="35"/>
      <c r="AR32"/>
      <c r="AT32" s="5">
        <f t="shared" si="24"/>
        <v>0</v>
      </c>
      <c r="AU32" s="5">
        <f t="shared" si="25"/>
        <v>0</v>
      </c>
      <c r="AV32" s="35">
        <f t="shared" si="26"/>
        <v>0</v>
      </c>
      <c r="AW32" s="35"/>
      <c r="AX32"/>
      <c r="AZ32" s="5">
        <f t="shared" si="28"/>
        <v>0</v>
      </c>
      <c r="BA32" s="5">
        <f t="shared" si="29"/>
        <v>0</v>
      </c>
      <c r="BB32" s="35">
        <f t="shared" si="30"/>
        <v>0</v>
      </c>
      <c r="BC32" s="35"/>
      <c r="BD32"/>
      <c r="BF32" s="5">
        <f t="shared" si="32"/>
        <v>0</v>
      </c>
      <c r="BG32" s="5">
        <f t="shared" si="33"/>
        <v>0</v>
      </c>
      <c r="BH32" s="35">
        <f t="shared" si="34"/>
        <v>0</v>
      </c>
      <c r="BI32" s="35"/>
      <c r="BJ32"/>
      <c r="BL32" s="5">
        <f t="shared" si="36"/>
        <v>0</v>
      </c>
      <c r="BM32" s="5">
        <f t="shared" si="37"/>
        <v>0</v>
      </c>
      <c r="BN32" s="35">
        <f t="shared" si="38"/>
        <v>0</v>
      </c>
      <c r="BO32" s="35"/>
      <c r="BP32"/>
      <c r="BQ32" s="36"/>
      <c r="BR32" s="5">
        <f t="shared" si="40"/>
        <v>0</v>
      </c>
      <c r="BS32" s="36">
        <f t="shared" si="41"/>
        <v>0</v>
      </c>
      <c r="BT32" s="35">
        <f t="shared" si="42"/>
        <v>0</v>
      </c>
      <c r="BU32" s="35"/>
      <c r="BV32"/>
      <c r="BX32" s="5">
        <f t="shared" si="44"/>
        <v>0</v>
      </c>
      <c r="BY32" s="5">
        <f t="shared" si="45"/>
        <v>0</v>
      </c>
      <c r="BZ32" s="35">
        <f t="shared" si="46"/>
        <v>0</v>
      </c>
      <c r="CA32" s="35"/>
      <c r="CB32"/>
      <c r="CC32" s="5">
        <f t="shared" si="48"/>
        <v>0</v>
      </c>
      <c r="CD32" s="5">
        <f t="shared" si="49"/>
        <v>0</v>
      </c>
      <c r="CE32" s="5">
        <f t="shared" si="50"/>
        <v>0</v>
      </c>
      <c r="CF32" s="35">
        <f t="shared" si="51"/>
        <v>0</v>
      </c>
      <c r="CG32" s="35"/>
      <c r="CH32"/>
      <c r="CJ32" s="5">
        <f t="shared" si="53"/>
        <v>0</v>
      </c>
      <c r="CK32" s="5">
        <f t="shared" si="54"/>
        <v>0</v>
      </c>
      <c r="CL32" s="35">
        <f t="shared" si="55"/>
        <v>0</v>
      </c>
      <c r="CM32" s="35"/>
      <c r="CN32"/>
      <c r="CP32" s="5">
        <f t="shared" si="57"/>
        <v>0</v>
      </c>
      <c r="CQ32" s="5">
        <f t="shared" si="58"/>
        <v>0</v>
      </c>
      <c r="CR32" s="35">
        <f t="shared" si="59"/>
        <v>0</v>
      </c>
      <c r="CS32" s="35"/>
      <c r="CT32"/>
      <c r="CV32" s="5">
        <f t="shared" si="61"/>
        <v>0</v>
      </c>
      <c r="CW32" s="5">
        <f t="shared" si="62"/>
        <v>0</v>
      </c>
      <c r="CX32" s="35">
        <f t="shared" si="63"/>
        <v>0</v>
      </c>
      <c r="CY32" s="35"/>
      <c r="CZ32"/>
      <c r="DB32" s="5">
        <f t="shared" si="65"/>
        <v>0</v>
      </c>
      <c r="DC32" s="5">
        <f t="shared" si="66"/>
        <v>0</v>
      </c>
      <c r="DD32" s="35">
        <f t="shared" si="67"/>
        <v>0</v>
      </c>
      <c r="DE32" s="35"/>
      <c r="DF32"/>
      <c r="DH32" s="5">
        <f t="shared" si="69"/>
        <v>0</v>
      </c>
      <c r="DI32" s="36">
        <f t="shared" si="70"/>
        <v>0</v>
      </c>
      <c r="DJ32" s="35">
        <f t="shared" si="71"/>
        <v>0</v>
      </c>
      <c r="DK32" s="35"/>
      <c r="DL32"/>
      <c r="DN32" s="5">
        <f t="shared" si="73"/>
        <v>0</v>
      </c>
      <c r="DO32" s="36">
        <f t="shared" si="74"/>
        <v>0</v>
      </c>
      <c r="DP32" s="35">
        <f t="shared" si="75"/>
        <v>0</v>
      </c>
      <c r="DQ32" s="35"/>
      <c r="DT32" s="5">
        <f t="shared" si="77"/>
        <v>0</v>
      </c>
      <c r="DU32" s="5">
        <f t="shared" si="78"/>
        <v>0</v>
      </c>
      <c r="DV32" s="35">
        <f t="shared" si="79"/>
        <v>0</v>
      </c>
      <c r="DW32" s="35"/>
      <c r="DZ32" s="5">
        <f t="shared" si="81"/>
        <v>0</v>
      </c>
      <c r="EA32" s="5">
        <f t="shared" si="82"/>
        <v>0</v>
      </c>
      <c r="EB32" s="35">
        <f t="shared" si="83"/>
        <v>0</v>
      </c>
      <c r="EC32" s="35"/>
      <c r="EF32" s="5">
        <f t="shared" si="85"/>
        <v>0</v>
      </c>
      <c r="EG32" s="5">
        <f t="shared" si="86"/>
        <v>0</v>
      </c>
      <c r="EH32" s="35">
        <f t="shared" si="87"/>
        <v>0</v>
      </c>
      <c r="EI32" s="35"/>
      <c r="EL32" s="5">
        <f t="shared" si="89"/>
        <v>0</v>
      </c>
      <c r="EM32" s="36">
        <f t="shared" si="90"/>
        <v>0</v>
      </c>
      <c r="EN32" s="35">
        <f t="shared" si="91"/>
        <v>0</v>
      </c>
      <c r="EO32" s="35"/>
      <c r="ER32" s="36">
        <f t="shared" si="93"/>
        <v>0</v>
      </c>
      <c r="ES32" s="36">
        <f t="shared" si="94"/>
        <v>0</v>
      </c>
      <c r="ET32" s="35">
        <f t="shared" si="95"/>
        <v>0</v>
      </c>
      <c r="EU32" s="35"/>
      <c r="EV32"/>
    </row>
    <row r="33" spans="1:152" ht="12.75">
      <c r="A33" s="37">
        <v>11414</v>
      </c>
      <c r="E33" s="35">
        <f t="shared" si="0"/>
        <v>0</v>
      </c>
      <c r="F33" s="35"/>
      <c r="G33" s="35"/>
      <c r="I33" s="46">
        <f t="shared" si="97"/>
        <v>0</v>
      </c>
      <c r="J33" s="36">
        <f t="shared" si="1"/>
        <v>0</v>
      </c>
      <c r="K33" s="36">
        <f t="shared" si="2"/>
        <v>0</v>
      </c>
      <c r="L33" s="36">
        <f t="shared" si="3"/>
        <v>0</v>
      </c>
      <c r="M33" s="36">
        <f t="shared" si="3"/>
        <v>0</v>
      </c>
      <c r="N33"/>
      <c r="O33" s="5">
        <f t="shared" si="98"/>
        <v>0</v>
      </c>
      <c r="P33" s="5">
        <f t="shared" si="4"/>
        <v>0</v>
      </c>
      <c r="Q33" s="5">
        <f t="shared" si="5"/>
        <v>0</v>
      </c>
      <c r="R33" s="35">
        <f t="shared" si="6"/>
        <v>0</v>
      </c>
      <c r="S33" s="35"/>
      <c r="T33"/>
      <c r="U33" s="5">
        <f t="shared" si="99"/>
        <v>0</v>
      </c>
      <c r="V33" s="36">
        <f t="shared" si="8"/>
        <v>0</v>
      </c>
      <c r="W33" s="36">
        <f t="shared" si="9"/>
        <v>0</v>
      </c>
      <c r="X33" s="35">
        <f t="shared" si="10"/>
        <v>0</v>
      </c>
      <c r="Y33" s="35"/>
      <c r="Z33"/>
      <c r="AA33" s="5">
        <f t="shared" si="100"/>
        <v>0</v>
      </c>
      <c r="AB33" s="5">
        <f t="shared" si="12"/>
        <v>0</v>
      </c>
      <c r="AC33" s="5">
        <f t="shared" si="13"/>
        <v>0</v>
      </c>
      <c r="AD33" s="35">
        <f t="shared" si="14"/>
        <v>0</v>
      </c>
      <c r="AE33" s="35"/>
      <c r="AF33"/>
      <c r="AG33" s="5">
        <f t="shared" si="101"/>
        <v>0</v>
      </c>
      <c r="AH33" s="5">
        <f t="shared" si="16"/>
        <v>0</v>
      </c>
      <c r="AI33" s="5">
        <f t="shared" si="17"/>
        <v>0</v>
      </c>
      <c r="AJ33" s="35">
        <f t="shared" si="18"/>
        <v>0</v>
      </c>
      <c r="AK33" s="35"/>
      <c r="AL33"/>
      <c r="AM33" s="5">
        <f t="shared" si="102"/>
        <v>0</v>
      </c>
      <c r="AN33" s="5">
        <f t="shared" si="20"/>
        <v>0</v>
      </c>
      <c r="AO33" s="5">
        <f t="shared" si="21"/>
        <v>0</v>
      </c>
      <c r="AP33" s="35">
        <f t="shared" si="22"/>
        <v>0</v>
      </c>
      <c r="AQ33" s="35"/>
      <c r="AR33"/>
      <c r="AS33" s="5">
        <f t="shared" si="103"/>
        <v>0</v>
      </c>
      <c r="AT33" s="5">
        <f t="shared" si="24"/>
        <v>0</v>
      </c>
      <c r="AU33" s="5">
        <f t="shared" si="25"/>
        <v>0</v>
      </c>
      <c r="AV33" s="35">
        <f t="shared" si="26"/>
        <v>0</v>
      </c>
      <c r="AW33" s="35"/>
      <c r="AX33"/>
      <c r="AY33" s="5">
        <f t="shared" si="104"/>
        <v>0</v>
      </c>
      <c r="AZ33" s="5">
        <f t="shared" si="28"/>
        <v>0</v>
      </c>
      <c r="BA33" s="5">
        <f t="shared" si="29"/>
        <v>0</v>
      </c>
      <c r="BB33" s="35">
        <f t="shared" si="30"/>
        <v>0</v>
      </c>
      <c r="BC33" s="35"/>
      <c r="BD33"/>
      <c r="BE33" s="5">
        <f t="shared" si="105"/>
        <v>0</v>
      </c>
      <c r="BF33" s="5">
        <f t="shared" si="32"/>
        <v>0</v>
      </c>
      <c r="BG33" s="5">
        <f t="shared" si="33"/>
        <v>0</v>
      </c>
      <c r="BH33" s="35">
        <f t="shared" si="34"/>
        <v>0</v>
      </c>
      <c r="BI33" s="35"/>
      <c r="BJ33"/>
      <c r="BK33" s="5">
        <f t="shared" si="106"/>
        <v>0</v>
      </c>
      <c r="BL33" s="5">
        <f t="shared" si="36"/>
        <v>0</v>
      </c>
      <c r="BM33" s="5">
        <f t="shared" si="37"/>
        <v>0</v>
      </c>
      <c r="BN33" s="35">
        <f t="shared" si="38"/>
        <v>0</v>
      </c>
      <c r="BO33" s="35"/>
      <c r="BP33"/>
      <c r="BQ33" s="36">
        <f t="shared" si="107"/>
        <v>0</v>
      </c>
      <c r="BR33" s="5">
        <f t="shared" si="40"/>
        <v>0</v>
      </c>
      <c r="BS33" s="36">
        <f t="shared" si="41"/>
        <v>0</v>
      </c>
      <c r="BT33" s="35">
        <f t="shared" si="42"/>
        <v>0</v>
      </c>
      <c r="BU33" s="35"/>
      <c r="BV33"/>
      <c r="BW33" s="5">
        <f t="shared" si="108"/>
        <v>0</v>
      </c>
      <c r="BX33" s="5">
        <f t="shared" si="44"/>
        <v>0</v>
      </c>
      <c r="BY33" s="5">
        <f t="shared" si="45"/>
        <v>0</v>
      </c>
      <c r="BZ33" s="35">
        <f t="shared" si="46"/>
        <v>0</v>
      </c>
      <c r="CA33" s="35"/>
      <c r="CB33"/>
      <c r="CC33" s="5">
        <f t="shared" si="48"/>
        <v>0</v>
      </c>
      <c r="CD33" s="5">
        <f t="shared" si="49"/>
        <v>0</v>
      </c>
      <c r="CE33" s="5">
        <f t="shared" si="50"/>
        <v>0</v>
      </c>
      <c r="CF33" s="35">
        <f t="shared" si="51"/>
        <v>0</v>
      </c>
      <c r="CG33" s="35"/>
      <c r="CH33"/>
      <c r="CI33" s="5">
        <f t="shared" si="109"/>
        <v>0</v>
      </c>
      <c r="CJ33" s="5">
        <f t="shared" si="53"/>
        <v>0</v>
      </c>
      <c r="CK33" s="5">
        <f t="shared" si="54"/>
        <v>0</v>
      </c>
      <c r="CL33" s="35">
        <f t="shared" si="55"/>
        <v>0</v>
      </c>
      <c r="CM33" s="35"/>
      <c r="CN33"/>
      <c r="CO33" s="5">
        <f t="shared" si="110"/>
        <v>0</v>
      </c>
      <c r="CP33" s="5">
        <f t="shared" si="57"/>
        <v>0</v>
      </c>
      <c r="CQ33" s="5">
        <f t="shared" si="58"/>
        <v>0</v>
      </c>
      <c r="CR33" s="35">
        <f t="shared" si="59"/>
        <v>0</v>
      </c>
      <c r="CS33" s="35"/>
      <c r="CT33"/>
      <c r="CU33" s="5">
        <f t="shared" si="111"/>
        <v>0</v>
      </c>
      <c r="CV33" s="5">
        <f t="shared" si="61"/>
        <v>0</v>
      </c>
      <c r="CW33" s="5">
        <f t="shared" si="62"/>
        <v>0</v>
      </c>
      <c r="CX33" s="35">
        <f t="shared" si="63"/>
        <v>0</v>
      </c>
      <c r="CY33" s="35"/>
      <c r="CZ33"/>
      <c r="DA33" s="5">
        <f t="shared" si="112"/>
        <v>0</v>
      </c>
      <c r="DB33" s="5">
        <f t="shared" si="65"/>
        <v>0</v>
      </c>
      <c r="DC33" s="5">
        <f t="shared" si="66"/>
        <v>0</v>
      </c>
      <c r="DD33" s="35">
        <f t="shared" si="67"/>
        <v>0</v>
      </c>
      <c r="DE33" s="35"/>
      <c r="DF33"/>
      <c r="DG33" s="5">
        <f t="shared" si="113"/>
        <v>0</v>
      </c>
      <c r="DH33" s="5">
        <f t="shared" si="69"/>
        <v>0</v>
      </c>
      <c r="DI33" s="36">
        <f t="shared" si="70"/>
        <v>0</v>
      </c>
      <c r="DJ33" s="35">
        <f t="shared" si="71"/>
        <v>0</v>
      </c>
      <c r="DK33" s="35"/>
      <c r="DL33"/>
      <c r="DM33" s="5">
        <f t="shared" si="114"/>
        <v>0</v>
      </c>
      <c r="DN33" s="5">
        <f t="shared" si="73"/>
        <v>0</v>
      </c>
      <c r="DO33" s="36">
        <f t="shared" si="74"/>
        <v>0</v>
      </c>
      <c r="DP33" s="35">
        <f t="shared" si="75"/>
        <v>0</v>
      </c>
      <c r="DQ33" s="35"/>
      <c r="DS33" s="5">
        <f t="shared" si="115"/>
        <v>0</v>
      </c>
      <c r="DT33" s="5">
        <f t="shared" si="77"/>
        <v>0</v>
      </c>
      <c r="DU33" s="5">
        <f t="shared" si="78"/>
        <v>0</v>
      </c>
      <c r="DV33" s="35">
        <f t="shared" si="79"/>
        <v>0</v>
      </c>
      <c r="DW33" s="35"/>
      <c r="DY33" s="5">
        <f t="shared" si="116"/>
        <v>0</v>
      </c>
      <c r="DZ33" s="5">
        <f t="shared" si="81"/>
        <v>0</v>
      </c>
      <c r="EA33" s="5">
        <f t="shared" si="82"/>
        <v>0</v>
      </c>
      <c r="EB33" s="35">
        <f t="shared" si="83"/>
        <v>0</v>
      </c>
      <c r="EC33" s="35"/>
      <c r="EE33" s="5">
        <f t="shared" si="117"/>
        <v>0</v>
      </c>
      <c r="EF33" s="5">
        <f t="shared" si="85"/>
        <v>0</v>
      </c>
      <c r="EG33" s="5">
        <f t="shared" si="86"/>
        <v>0</v>
      </c>
      <c r="EH33" s="35">
        <f t="shared" si="87"/>
        <v>0</v>
      </c>
      <c r="EI33" s="35"/>
      <c r="EK33" s="5">
        <f t="shared" si="118"/>
        <v>0</v>
      </c>
      <c r="EL33" s="5">
        <f t="shared" si="89"/>
        <v>0</v>
      </c>
      <c r="EM33" s="36">
        <f t="shared" si="90"/>
        <v>0</v>
      </c>
      <c r="EN33" s="35">
        <f t="shared" si="91"/>
        <v>0</v>
      </c>
      <c r="EO33" s="35"/>
      <c r="EQ33" s="5">
        <f t="shared" si="119"/>
        <v>0</v>
      </c>
      <c r="ER33" s="36">
        <f t="shared" si="93"/>
        <v>0</v>
      </c>
      <c r="ES33" s="36">
        <f t="shared" si="94"/>
        <v>0</v>
      </c>
      <c r="ET33" s="35">
        <f t="shared" si="95"/>
        <v>0</v>
      </c>
      <c r="EU33" s="35"/>
      <c r="EV33"/>
    </row>
    <row r="34" spans="2:152" ht="12.75">
      <c r="B34" s="34"/>
      <c r="C34" s="35"/>
      <c r="D34" s="35"/>
      <c r="E34" s="35"/>
      <c r="F34" s="35"/>
      <c r="G34" s="35"/>
      <c r="I34"/>
      <c r="J34"/>
      <c r="K34"/>
      <c r="L34" s="35"/>
      <c r="M34" s="35"/>
      <c r="N34"/>
      <c r="O34"/>
      <c r="P34"/>
      <c r="Q34"/>
      <c r="R34" s="35"/>
      <c r="S34" s="35"/>
      <c r="T34"/>
      <c r="U34"/>
      <c r="V34"/>
      <c r="W34"/>
      <c r="X34" s="35"/>
      <c r="Y34" s="35"/>
      <c r="Z34"/>
      <c r="AA34"/>
      <c r="AB34"/>
      <c r="AC34"/>
      <c r="AD34" s="35"/>
      <c r="AE34" s="35"/>
      <c r="AF34"/>
      <c r="AG34"/>
      <c r="AH34"/>
      <c r="AI34"/>
      <c r="AJ34" s="35"/>
      <c r="AK34" s="35"/>
      <c r="AL34"/>
      <c r="AM34"/>
      <c r="AN34"/>
      <c r="AO34"/>
      <c r="AP34" s="35"/>
      <c r="AQ34" s="35"/>
      <c r="AR34"/>
      <c r="AS34"/>
      <c r="AT34"/>
      <c r="AV34" s="35"/>
      <c r="AW34" s="35"/>
      <c r="AX34"/>
      <c r="AY34"/>
      <c r="AZ34"/>
      <c r="BA34"/>
      <c r="BB34" s="35"/>
      <c r="BC34" s="35"/>
      <c r="BD34"/>
      <c r="BE34"/>
      <c r="BF34"/>
      <c r="BG34"/>
      <c r="BH34" s="35"/>
      <c r="BI34" s="35"/>
      <c r="BJ34"/>
      <c r="BK34"/>
      <c r="BL34"/>
      <c r="BM34"/>
      <c r="BN34" s="35"/>
      <c r="BO34" s="35"/>
      <c r="BP34"/>
      <c r="BQ34"/>
      <c r="BR34"/>
      <c r="BS34"/>
      <c r="BT34" s="35"/>
      <c r="BU34" s="35"/>
      <c r="BV34"/>
      <c r="BW34"/>
      <c r="BX34"/>
      <c r="BY34"/>
      <c r="BZ34" s="35"/>
      <c r="CA34" s="35"/>
      <c r="CB34"/>
      <c r="CC34"/>
      <c r="CD34"/>
      <c r="CE34"/>
      <c r="CF34" s="35"/>
      <c r="CG34" s="35"/>
      <c r="CH34"/>
      <c r="CI34"/>
      <c r="CJ34"/>
      <c r="CK34"/>
      <c r="CL34" s="35"/>
      <c r="CM34" s="35"/>
      <c r="CN34"/>
      <c r="CO34"/>
      <c r="CP34"/>
      <c r="CQ34"/>
      <c r="CR34" s="35"/>
      <c r="CS34" s="35"/>
      <c r="CT34"/>
      <c r="CU34"/>
      <c r="CV34"/>
      <c r="CW34"/>
      <c r="CX34" s="35"/>
      <c r="CY34" s="35"/>
      <c r="CZ34"/>
      <c r="DA34"/>
      <c r="DB34"/>
      <c r="DC34"/>
      <c r="DD34" s="35"/>
      <c r="DE34" s="35"/>
      <c r="DF34"/>
      <c r="DG34"/>
      <c r="DH34"/>
      <c r="DJ34" s="35"/>
      <c r="DK34" s="35"/>
      <c r="DL34"/>
      <c r="DM34"/>
      <c r="DN34"/>
      <c r="DP34" s="35"/>
      <c r="DQ34" s="35"/>
      <c r="DV34" s="35"/>
      <c r="DW34" s="35"/>
      <c r="EB34" s="35"/>
      <c r="EC34" s="35"/>
      <c r="EH34" s="35"/>
      <c r="EI34" s="35"/>
      <c r="EN34" s="35"/>
      <c r="EO34" s="35"/>
      <c r="ET34" s="35"/>
      <c r="EU34" s="35"/>
      <c r="EV34"/>
    </row>
    <row r="35" spans="1:152" ht="13.5" thickBot="1">
      <c r="A35" s="38" t="s">
        <v>16</v>
      </c>
      <c r="C35" s="39">
        <f>SUM(C8:C34)</f>
        <v>47275000</v>
      </c>
      <c r="D35" s="39">
        <f>SUM(D8:D34)</f>
        <v>15993784</v>
      </c>
      <c r="E35" s="39">
        <f>SUM(E8:E34)</f>
        <v>63268784</v>
      </c>
      <c r="F35" s="39">
        <f>SUM(F8:F34)</f>
        <v>8075592</v>
      </c>
      <c r="G35" s="39">
        <f>SUM(G8:G34)</f>
        <v>4314384</v>
      </c>
      <c r="I35" s="39">
        <f>SUM(I8:I34)</f>
        <v>7125382.550000001</v>
      </c>
      <c r="J35" s="39">
        <f>SUM(J8:J34)</f>
        <v>2410615.1120479996</v>
      </c>
      <c r="K35" s="39">
        <f>SUM(K8:K34)</f>
        <v>9535997.662048003</v>
      </c>
      <c r="L35" s="39">
        <f>SUM(L8:L34)</f>
        <v>1217169.3774239998</v>
      </c>
      <c r="M35" s="39">
        <f>SUM(M8:M34)</f>
        <v>650272.585248</v>
      </c>
      <c r="O35" s="39">
        <f>SUM(O8:O34)</f>
        <v>2961986.76</v>
      </c>
      <c r="P35" s="39">
        <f>SUM(P8:P34)</f>
        <v>1002080.9402496</v>
      </c>
      <c r="Q35" s="39">
        <f>SUM(Q8:Q34)</f>
        <v>3964067.7002496</v>
      </c>
      <c r="R35" s="39">
        <f>SUM(R8:R34)</f>
        <v>505971.3714048002</v>
      </c>
      <c r="S35" s="39">
        <f>SUM(S8:S34)</f>
        <v>270315.1408896</v>
      </c>
      <c r="U35" s="39">
        <f>SUM(U8:U34)</f>
        <v>1309.5175</v>
      </c>
      <c r="V35" s="39">
        <f>SUM(V8:V34)</f>
        <v>443.02781679999987</v>
      </c>
      <c r="W35" s="39">
        <f>SUM(W8:W34)</f>
        <v>1752.5453168000001</v>
      </c>
      <c r="X35" s="39">
        <f>SUM(X8:X34)</f>
        <v>223.69389840000005</v>
      </c>
      <c r="Y35" s="39">
        <f>SUM(Y8:Y34)</f>
        <v>119.50843680000001</v>
      </c>
      <c r="AA35" s="39">
        <f>SUM(AA8:AA34)</f>
        <v>58635.182499999995</v>
      </c>
      <c r="AB35" s="39">
        <f>SUM(AB8:AB34)</f>
        <v>19837.0902952</v>
      </c>
      <c r="AC35" s="39">
        <f>SUM(AC8:AC34)</f>
        <v>78472.2727952</v>
      </c>
      <c r="AD35" s="39">
        <f>SUM(AD8:AD34)</f>
        <v>10016.156757599996</v>
      </c>
      <c r="AE35" s="39">
        <f>SUM(AE8:AE34)</f>
        <v>5351.130475199999</v>
      </c>
      <c r="AG35" s="39">
        <f>SUM(AG8:AG34)</f>
        <v>35309.6975</v>
      </c>
      <c r="AH35" s="39">
        <f>SUM(AH8:AH34)</f>
        <v>11945.757269599997</v>
      </c>
      <c r="AI35" s="39">
        <f>SUM(AI8:AI34)</f>
        <v>47255.4547696</v>
      </c>
      <c r="AJ35" s="39">
        <f>SUM(AJ8:AJ34)</f>
        <v>6031.659664799999</v>
      </c>
      <c r="AK35" s="39">
        <f>SUM(AK8:AK34)</f>
        <v>3222.413409599999</v>
      </c>
      <c r="AM35" s="39">
        <f>SUM(AM8:AM34)</f>
        <v>262423.525</v>
      </c>
      <c r="AN35" s="39">
        <f>SUM(AN8:AN34)</f>
        <v>88781.49498400002</v>
      </c>
      <c r="AO35" s="39">
        <f>SUM(AO8:AO34)</f>
        <v>351205.019984</v>
      </c>
      <c r="AP35" s="39">
        <f>SUM(AP8:AP34)</f>
        <v>44827.61119199998</v>
      </c>
      <c r="AQ35" s="39">
        <f>SUM(AQ8:AQ34)</f>
        <v>23949.145584000013</v>
      </c>
      <c r="AS35" s="39">
        <f>SUM(AS8:AS34)</f>
        <v>81322.455</v>
      </c>
      <c r="AT35" s="39">
        <f>SUM(AT8:AT34)</f>
        <v>27512.5072368</v>
      </c>
      <c r="AU35" s="39">
        <f>SUM(AU8:AU34)</f>
        <v>108834.9622368</v>
      </c>
      <c r="AV35" s="39">
        <f>SUM(AV8:AV34)</f>
        <v>13891.633358399993</v>
      </c>
      <c r="AW35" s="39">
        <f>SUM(AW8:AW34)</f>
        <v>7421.603356799999</v>
      </c>
      <c r="AY35" s="39">
        <f>SUM(AY8:AY34)</f>
        <v>153104.815</v>
      </c>
      <c r="AZ35" s="39">
        <f>SUM(AZ8:AZ34)</f>
        <v>51797.46886240002</v>
      </c>
      <c r="BA35" s="39">
        <f>SUM(BA8:BA34)</f>
        <v>204902.28386239999</v>
      </c>
      <c r="BB35" s="39">
        <f>SUM(BB8:BB34)</f>
        <v>26153.612251200007</v>
      </c>
      <c r="BC35" s="39">
        <f>SUM(BC8:BC34)</f>
        <v>13972.564022399996</v>
      </c>
      <c r="BE35" s="39">
        <f>SUM(BE8:BE34)</f>
        <v>32421.195</v>
      </c>
      <c r="BF35" s="39">
        <f>SUM(BF8:BF34)</f>
        <v>10968.537067199997</v>
      </c>
      <c r="BG35" s="39">
        <f>SUM(BG8:BG34)</f>
        <v>43389.73206719999</v>
      </c>
      <c r="BH35" s="39">
        <f>SUM(BH8:BH34)</f>
        <v>5538.240993599998</v>
      </c>
      <c r="BI35" s="39">
        <f>SUM(BI8:BI34)</f>
        <v>2958.8045471999985</v>
      </c>
      <c r="BK35" s="39">
        <f>SUM(BK8:BK34)</f>
        <v>578092.8825</v>
      </c>
      <c r="BL35" s="39">
        <f>SUM(BL8:BL34)</f>
        <v>195576.78888719995</v>
      </c>
      <c r="BM35" s="39">
        <f>SUM(BM8:BM34)</f>
        <v>773669.6713872</v>
      </c>
      <c r="BN35" s="39">
        <f>SUM(BN8:BN34)</f>
        <v>98750.76165360004</v>
      </c>
      <c r="BO35" s="39">
        <f>SUM(BO8:BO34)</f>
        <v>52757.58186720002</v>
      </c>
      <c r="BQ35" s="39">
        <f>SUM(BQ8:BQ34)</f>
        <v>267661.595</v>
      </c>
      <c r="BR35" s="39">
        <f>SUM(BR8:BR34)</f>
        <v>90553.6062512</v>
      </c>
      <c r="BS35" s="39">
        <f>SUM(BS8:BS34)</f>
        <v>358215.2012512</v>
      </c>
      <c r="BT35" s="39">
        <f>SUM(BT8:BT34)</f>
        <v>45722.386785599985</v>
      </c>
      <c r="BU35" s="39">
        <f>SUM(BU8:BU34)</f>
        <v>24427.1793312</v>
      </c>
      <c r="BW35" s="39">
        <f>SUM(BW8:BW34)</f>
        <v>128190.89000000001</v>
      </c>
      <c r="BX35" s="39">
        <f>SUM(BX8:BX34)</f>
        <v>43368.74469440001</v>
      </c>
      <c r="BY35" s="39">
        <f>SUM(BY8:BY34)</f>
        <v>171559.6346944</v>
      </c>
      <c r="BZ35" s="39">
        <f>SUM(BZ8:BZ34)</f>
        <v>21897.77526719999</v>
      </c>
      <c r="CA35" s="39">
        <f>SUM(CA8:CA34)</f>
        <v>11698.883654399993</v>
      </c>
      <c r="CC35" s="39">
        <f>SUM(CC8:CC34)</f>
        <v>18914.7275</v>
      </c>
      <c r="CD35" s="39">
        <f>SUM(CD8:CD34)</f>
        <v>6399.112978399999</v>
      </c>
      <c r="CE35" s="39">
        <f>SUM(CE8:CE34)</f>
        <v>25313.840478400005</v>
      </c>
      <c r="CF35" s="39">
        <f>SUM(CF8:CF34)</f>
        <v>3231.0443591999983</v>
      </c>
      <c r="CG35" s="39">
        <f>SUM(CG8:CG34)</f>
        <v>1726.1850383999995</v>
      </c>
      <c r="CI35" s="39">
        <f>SUM(CI8:CI34)</f>
        <v>83861.1225</v>
      </c>
      <c r="CJ35" s="39">
        <f>SUM(CJ8:CJ34)</f>
        <v>28371.3734376</v>
      </c>
      <c r="CK35" s="39">
        <f>SUM(CK8:CK34)</f>
        <v>112232.4959376</v>
      </c>
      <c r="CL35" s="39">
        <f>SUM(CL8:CL34)</f>
        <v>14325.292648800005</v>
      </c>
      <c r="CM35" s="39">
        <f>SUM(CM8:CM34)</f>
        <v>7653.285777600004</v>
      </c>
      <c r="CO35" s="39">
        <f>SUM(CO8:CO34)</f>
        <v>11549.282499999998</v>
      </c>
      <c r="CP35" s="39">
        <f>SUM(CP8:CP34)</f>
        <v>3907.2814312</v>
      </c>
      <c r="CQ35" s="39">
        <f>SUM(CQ8:CQ34)</f>
        <v>15456.563931199998</v>
      </c>
      <c r="CR35" s="39">
        <f>SUM(CR8:CR34)</f>
        <v>1972.8671256000005</v>
      </c>
      <c r="CS35" s="39">
        <f>SUM(CS8:CS34)</f>
        <v>1054.0040111999995</v>
      </c>
      <c r="CU35" s="39">
        <f>SUM(CU8:CU34)</f>
        <v>240932.31</v>
      </c>
      <c r="CV35" s="39">
        <f>SUM(CV8:CV34)</f>
        <v>81510.72077759999</v>
      </c>
      <c r="CW35" s="39">
        <f>SUM(CW8:CW34)</f>
        <v>322443.0307776</v>
      </c>
      <c r="CX35" s="39">
        <f>SUM(CX8:CX34)</f>
        <v>41156.44706880002</v>
      </c>
      <c r="CY35" s="39">
        <f>SUM(CY8:CY34)</f>
        <v>21987.826617599992</v>
      </c>
      <c r="DA35" s="39">
        <f>SUM(DA8:DA34)</f>
        <v>46669.880000000005</v>
      </c>
      <c r="DB35" s="39">
        <f>SUM(DB8:DB34)</f>
        <v>15789.063564799997</v>
      </c>
      <c r="DC35" s="39">
        <f>SUM(DC8:DC34)</f>
        <v>62458.94356480001</v>
      </c>
      <c r="DD35" s="39">
        <f>SUM(DD8:DD34)</f>
        <v>7972.224422399997</v>
      </c>
      <c r="DE35" s="39">
        <f>SUM(DE8:DE34)</f>
        <v>4259.159884799999</v>
      </c>
      <c r="DG35" s="39">
        <f>SUM(DG8:DG34)</f>
        <v>61745.8775</v>
      </c>
      <c r="DH35" s="39">
        <f>SUM(DH8:DH34)</f>
        <v>20889.481282399996</v>
      </c>
      <c r="DI35" s="39">
        <f>SUM(DI8:DI34)</f>
        <v>82635.3587824</v>
      </c>
      <c r="DJ35" s="39">
        <f>SUM(DJ8:DJ34)</f>
        <v>10547.5307112</v>
      </c>
      <c r="DK35" s="39">
        <f>SUM(DK8:DK34)</f>
        <v>5635.016942399999</v>
      </c>
      <c r="DM35" s="39">
        <f>SUM(DM8:DM34)</f>
        <v>200720.19500000004</v>
      </c>
      <c r="DN35" s="39">
        <f>SUM(DN8:DN34)</f>
        <v>67906.40810720001</v>
      </c>
      <c r="DO35" s="39">
        <f>SUM(DO8:DO34)</f>
        <v>268626.60310719995</v>
      </c>
      <c r="DP35" s="39">
        <f>SUM(DP8:DP34)</f>
        <v>34287.3485136</v>
      </c>
      <c r="DQ35" s="39">
        <f>SUM(DQ8:DQ34)</f>
        <v>18318.011587199995</v>
      </c>
      <c r="DS35" s="39">
        <f>SUM(DS8:DS34)</f>
        <v>118003.12749999999</v>
      </c>
      <c r="DT35" s="39">
        <f>SUM(DT8:DT34)</f>
        <v>39922.08424239999</v>
      </c>
      <c r="DU35" s="39">
        <f>SUM(DU8:DU34)</f>
        <v>157925.21174240002</v>
      </c>
      <c r="DV35" s="39">
        <f>SUM(DV8:DV34)</f>
        <v>20157.48519119999</v>
      </c>
      <c r="DW35" s="39">
        <f>SUM(DW8:DW34)</f>
        <v>10769.133902400003</v>
      </c>
      <c r="DY35" s="39">
        <f>SUM(DY8:DY34)</f>
        <v>133206.7675</v>
      </c>
      <c r="DZ35" s="39">
        <f>SUM(DZ8:DZ34)</f>
        <v>45065.68517680001</v>
      </c>
      <c r="EA35" s="39">
        <f>SUM(EA8:EA34)</f>
        <v>178272.45267679996</v>
      </c>
      <c r="EB35" s="39">
        <f>SUM(EB8:EB34)</f>
        <v>22754.595578400003</v>
      </c>
      <c r="EC35" s="39">
        <f>SUM(EC8:EC34)</f>
        <v>12156.639796800006</v>
      </c>
      <c r="EE35" s="39">
        <f>SUM(EE8:EE34)</f>
        <v>1542266.5075</v>
      </c>
      <c r="EF35" s="39">
        <f>SUM(EF8:EF34)</f>
        <v>521770.01356720016</v>
      </c>
      <c r="EG35" s="39">
        <f>SUM(EG8:EG34)</f>
        <v>2064036.5210672002</v>
      </c>
      <c r="EH35" s="39">
        <f>SUM(EH8:EH34)</f>
        <v>263452.46049360005</v>
      </c>
      <c r="EI35" s="39">
        <f>SUM(EI8:EI34)</f>
        <v>140749.44354720003</v>
      </c>
      <c r="EK35" s="39">
        <f>SUM(EK8:EK34)</f>
        <v>56786.73</v>
      </c>
      <c r="EL35" s="39">
        <f>SUM(EL8:EL34)</f>
        <v>19211.733340799994</v>
      </c>
      <c r="EM35" s="39">
        <f>SUM(EM8:EM34)</f>
        <v>75998.4633408</v>
      </c>
      <c r="EN35" s="39">
        <f>SUM(EN8:EN34)</f>
        <v>9700.401110399998</v>
      </c>
      <c r="EO35" s="39">
        <f>SUM(EO8:EO34)</f>
        <v>5182.4380608</v>
      </c>
      <c r="EQ35" s="39">
        <f>SUM(EQ8:EQ34)</f>
        <v>50267.50750000001</v>
      </c>
      <c r="ER35" s="39">
        <f>SUM(ER8:ER34)</f>
        <v>17006.190527199993</v>
      </c>
      <c r="ES35" s="39">
        <f>SUM(ES8:ES34)</f>
        <v>67273.69802720001</v>
      </c>
      <c r="ET35" s="39">
        <f>SUM(ET8:ET34)</f>
        <v>8586.776973599995</v>
      </c>
      <c r="EU35" s="39">
        <f>SUM(EU8:EU34)</f>
        <v>4587.484507199998</v>
      </c>
      <c r="EV35"/>
    </row>
    <row r="36" spans="9:152" ht="13.5" thickTop="1">
      <c r="I36"/>
      <c r="J36"/>
      <c r="K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L36"/>
      <c r="DM36"/>
      <c r="DN36"/>
      <c r="EV36"/>
    </row>
    <row r="37" spans="9:152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L37"/>
      <c r="DM37"/>
      <c r="DN37"/>
      <c r="EV37"/>
    </row>
    <row r="38" spans="9:152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L38"/>
      <c r="DM38"/>
      <c r="DN38"/>
      <c r="EV38"/>
    </row>
    <row r="39" spans="9:152" ht="12.7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L39"/>
      <c r="DM39"/>
      <c r="DN39"/>
      <c r="EV39"/>
    </row>
    <row r="40" spans="9:152" ht="12.7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L40"/>
      <c r="DM40"/>
      <c r="DN40"/>
      <c r="EV40"/>
    </row>
    <row r="41" spans="9:152" ht="12.75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L41"/>
      <c r="DM41"/>
      <c r="DN41"/>
      <c r="EV41"/>
    </row>
    <row r="42" spans="9:152" ht="12.75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L42"/>
      <c r="DM42"/>
      <c r="DN42"/>
      <c r="EV42"/>
    </row>
    <row r="43" spans="1:152" ht="12.75">
      <c r="A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3:152" ht="12.75"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3:152" ht="12.75"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3:152" ht="12.75"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3:152" ht="12.75"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3:152" ht="12.75"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2.75">
      <c r="A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</sheetData>
  <sheetProtection/>
  <printOptions/>
  <pageMargins left="0.75" right="0.75" top="1" bottom="1" header="0.3" footer="0.3"/>
  <pageSetup orientation="landscape" scale="94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1.7109375" style="48" customWidth="1"/>
    <col min="12" max="14" width="12.7109375" style="48" customWidth="1"/>
    <col min="15" max="16" width="13.7109375" style="48" customWidth="1"/>
    <col min="17" max="17" width="10.7109375" style="48" customWidth="1"/>
    <col min="18" max="18" width="14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125406224.21</v>
      </c>
      <c r="E5" s="56">
        <f aca="true" t="shared" si="0" ref="E5:R5">SUM(E6:E49)</f>
        <v>29239976.089999996</v>
      </c>
      <c r="F5" s="56">
        <f t="shared" si="0"/>
        <v>1320521.33</v>
      </c>
      <c r="G5" s="56">
        <f t="shared" si="0"/>
        <v>146920.64</v>
      </c>
      <c r="H5" s="56">
        <f t="shared" si="0"/>
        <v>51769.26</v>
      </c>
      <c r="I5" s="56">
        <f t="shared" si="0"/>
        <v>6976822.91</v>
      </c>
      <c r="J5" s="56">
        <f t="shared" si="0"/>
        <v>174964.44</v>
      </c>
      <c r="K5" s="56">
        <f t="shared" si="0"/>
        <v>312.92</v>
      </c>
      <c r="L5" s="56">
        <f t="shared" si="0"/>
        <v>8211389.31</v>
      </c>
      <c r="M5" s="56">
        <f t="shared" si="0"/>
        <v>646359.1400000001</v>
      </c>
      <c r="N5" s="56">
        <f t="shared" si="0"/>
        <v>214932.91</v>
      </c>
      <c r="O5" s="56">
        <f t="shared" si="0"/>
        <v>3532451.82</v>
      </c>
      <c r="P5" s="56">
        <f t="shared" si="0"/>
        <v>42588843.9</v>
      </c>
      <c r="Q5" s="56">
        <f t="shared" si="0"/>
        <v>124944</v>
      </c>
      <c r="R5" s="56">
        <f t="shared" si="0"/>
        <v>32176015.540000007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47">SUM(E7:Q7)</f>
        <v>6559633.109999999</v>
      </c>
      <c r="E7" s="62">
        <f>4565988.59+1199698.72+793945.8</f>
        <v>6559633.109999999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47">D7/$D$5</f>
        <v>0.05230707766957016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2.657523596611282E-05</v>
      </c>
    </row>
    <row r="9" spans="1:19" ht="12.75">
      <c r="A9" s="60" t="s">
        <v>35</v>
      </c>
      <c r="B9" s="60" t="s">
        <v>140</v>
      </c>
      <c r="C9" s="60" t="s">
        <v>50</v>
      </c>
      <c r="D9" s="48">
        <f t="shared" si="1"/>
        <v>624661.5900000001</v>
      </c>
      <c r="E9" s="62"/>
      <c r="F9" s="62">
        <f>270598.94+1242.65+285000+67820</f>
        <v>624661.5900000001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0.004981105155944796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81490.91</v>
      </c>
      <c r="E10" s="62"/>
      <c r="F10" s="62">
        <f>72123.91+9367</f>
        <v>81490.91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0.0006498155136505725</v>
      </c>
    </row>
    <row r="11" spans="1:19" ht="12.75">
      <c r="A11" s="60" t="s">
        <v>35</v>
      </c>
      <c r="B11" s="60" t="s">
        <v>141</v>
      </c>
      <c r="C11" s="60" t="s">
        <v>53</v>
      </c>
      <c r="D11" s="48">
        <f t="shared" si="1"/>
        <v>368521.91000000003</v>
      </c>
      <c r="E11" s="62"/>
      <c r="F11" s="62">
        <f>241566.91+90000+36955</f>
        <v>368521.91000000003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0.0029386253538970183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146920.64</v>
      </c>
      <c r="E13" s="62"/>
      <c r="F13" s="62"/>
      <c r="G13" s="62">
        <f>78320.64+68600</f>
        <v>146920.64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0.0011715577988694794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51769.26</v>
      </c>
      <c r="E14" s="62"/>
      <c r="F14" s="62"/>
      <c r="G14" s="61"/>
      <c r="H14" s="62">
        <f>3812.47+22676.79+25280</f>
        <v>51769.26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0.00041281252446696246</v>
      </c>
    </row>
    <row r="15" spans="1:19" ht="12.75">
      <c r="A15" s="60" t="s">
        <v>38</v>
      </c>
      <c r="B15" s="60" t="s">
        <v>109</v>
      </c>
      <c r="C15" s="60" t="s">
        <v>50</v>
      </c>
      <c r="D15" s="48">
        <f t="shared" si="1"/>
        <v>972693.8500000001</v>
      </c>
      <c r="E15" s="62"/>
      <c r="F15" s="62"/>
      <c r="G15" s="61"/>
      <c r="H15" s="62"/>
      <c r="I15" s="62">
        <f>149657.79+405510.11+126348.17+185692.49+103399.29+2086</f>
        <v>972693.8500000001</v>
      </c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0.007756344281374486</v>
      </c>
    </row>
    <row r="16" spans="1:19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0.005440017066916842</v>
      </c>
    </row>
    <row r="17" spans="1:19" ht="12.75">
      <c r="A17" s="60" t="s">
        <v>39</v>
      </c>
      <c r="B17" s="60" t="s">
        <v>137</v>
      </c>
      <c r="C17" s="60" t="s">
        <v>50</v>
      </c>
      <c r="D17" s="48">
        <f t="shared" si="1"/>
        <v>174964.44</v>
      </c>
      <c r="E17" s="62"/>
      <c r="F17" s="62"/>
      <c r="G17" s="61"/>
      <c r="H17" s="62"/>
      <c r="I17" s="61"/>
      <c r="J17" s="62">
        <f>96131.62+21270.28+57562.54</f>
        <v>174964.44</v>
      </c>
      <c r="K17" s="62"/>
      <c r="L17" s="61"/>
      <c r="M17" s="61"/>
      <c r="N17" s="61"/>
      <c r="O17" s="61"/>
      <c r="P17" s="61"/>
      <c r="Q17" s="61"/>
      <c r="R17" s="61"/>
      <c r="S17" s="8">
        <f t="shared" si="2"/>
        <v>0.0013951814680825722</v>
      </c>
    </row>
    <row r="18" spans="1:19" ht="12.75">
      <c r="A18" s="60" t="s">
        <v>41</v>
      </c>
      <c r="B18" s="60" t="s">
        <v>106</v>
      </c>
      <c r="C18" s="60" t="s">
        <v>50</v>
      </c>
      <c r="D18" s="48">
        <f t="shared" si="1"/>
        <v>199971.84</v>
      </c>
      <c r="E18" s="62"/>
      <c r="F18" s="62"/>
      <c r="G18" s="61"/>
      <c r="H18" s="62"/>
      <c r="I18" s="61"/>
      <c r="J18" s="62"/>
      <c r="K18" s="62"/>
      <c r="L18" s="62">
        <f>195053.08+4918.76</f>
        <v>199971.84</v>
      </c>
      <c r="M18" s="61"/>
      <c r="N18" s="61"/>
      <c r="O18" s="61"/>
      <c r="P18" s="61"/>
      <c r="Q18" s="61"/>
      <c r="R18" s="61"/>
      <c r="S18" s="8">
        <f t="shared" si="2"/>
        <v>0.001594592622971692</v>
      </c>
    </row>
    <row r="19" spans="1:19" ht="12.75">
      <c r="A19" s="60" t="s">
        <v>41</v>
      </c>
      <c r="B19" s="60" t="s">
        <v>49</v>
      </c>
      <c r="C19" s="60" t="s">
        <v>58</v>
      </c>
      <c r="D19" s="48">
        <f t="shared" si="1"/>
        <v>10216.91</v>
      </c>
      <c r="E19" s="62"/>
      <c r="F19" s="61"/>
      <c r="G19" s="61"/>
      <c r="H19" s="61"/>
      <c r="I19" s="61"/>
      <c r="J19" s="61"/>
      <c r="K19" s="61"/>
      <c r="L19" s="62">
        <f>10216.91</f>
        <v>10216.91</v>
      </c>
      <c r="M19" s="61"/>
      <c r="N19" s="61"/>
      <c r="O19" s="61"/>
      <c r="P19" s="61"/>
      <c r="Q19" s="61"/>
      <c r="R19" s="61"/>
      <c r="S19" s="8">
        <f t="shared" si="2"/>
        <v>8.147051762671039E-05</v>
      </c>
    </row>
    <row r="20" spans="1:19" ht="12.75">
      <c r="A20" s="60" t="s">
        <v>42</v>
      </c>
      <c r="B20" s="60" t="s">
        <v>139</v>
      </c>
      <c r="C20" s="60" t="s">
        <v>50</v>
      </c>
      <c r="D20" s="48">
        <f t="shared" si="1"/>
        <v>462624.08</v>
      </c>
      <c r="E20" s="62"/>
      <c r="F20" s="61"/>
      <c r="G20" s="61"/>
      <c r="H20" s="61"/>
      <c r="I20" s="61"/>
      <c r="J20" s="61"/>
      <c r="K20" s="61"/>
      <c r="L20" s="62"/>
      <c r="M20" s="62">
        <f>187308+221454.79+53861.29</f>
        <v>462624.08</v>
      </c>
      <c r="N20" s="61"/>
      <c r="O20" s="61"/>
      <c r="P20" s="61"/>
      <c r="Q20" s="61"/>
      <c r="R20" s="61"/>
      <c r="S20" s="8">
        <f t="shared" si="2"/>
        <v>0.003689004137667913</v>
      </c>
    </row>
    <row r="21" spans="1:19" ht="12.75">
      <c r="A21" s="60" t="s">
        <v>42</v>
      </c>
      <c r="B21" s="60" t="s">
        <v>57</v>
      </c>
      <c r="C21" s="60" t="s">
        <v>59</v>
      </c>
      <c r="D21" s="48">
        <f t="shared" si="1"/>
        <v>84038.95</v>
      </c>
      <c r="E21" s="62"/>
      <c r="F21" s="61"/>
      <c r="G21" s="61"/>
      <c r="H21" s="61"/>
      <c r="I21" s="61"/>
      <c r="J21" s="61"/>
      <c r="K21" s="61"/>
      <c r="L21" s="62"/>
      <c r="M21" s="62">
        <f>84038.95</f>
        <v>84038.95</v>
      </c>
      <c r="N21" s="61"/>
      <c r="O21" s="61"/>
      <c r="P21" s="61"/>
      <c r="Q21" s="61"/>
      <c r="R21" s="61"/>
      <c r="S21" s="8">
        <f t="shared" si="2"/>
        <v>0.0006701338034009532</v>
      </c>
    </row>
    <row r="22" spans="1:19" ht="12.75">
      <c r="A22" s="60" t="s">
        <v>42</v>
      </c>
      <c r="B22" s="60" t="s">
        <v>60</v>
      </c>
      <c r="C22" s="60" t="s">
        <v>53</v>
      </c>
      <c r="D22" s="48">
        <f t="shared" si="1"/>
        <v>97827.81</v>
      </c>
      <c r="E22" s="62"/>
      <c r="F22" s="61"/>
      <c r="G22" s="61"/>
      <c r="H22" s="61"/>
      <c r="I22" s="61"/>
      <c r="J22" s="61"/>
      <c r="K22" s="61"/>
      <c r="L22" s="62"/>
      <c r="M22" s="62">
        <f>97827.81</f>
        <v>97827.81</v>
      </c>
      <c r="N22" s="61"/>
      <c r="O22" s="61"/>
      <c r="P22" s="61"/>
      <c r="Q22" s="61"/>
      <c r="R22" s="61"/>
      <c r="S22" s="8">
        <f t="shared" si="2"/>
        <v>0.0007800873570372525</v>
      </c>
    </row>
    <row r="23" spans="1:19" ht="12.75">
      <c r="A23" s="60" t="s">
        <v>43</v>
      </c>
      <c r="B23" s="60" t="s">
        <v>104</v>
      </c>
      <c r="C23" s="60" t="s">
        <v>50</v>
      </c>
      <c r="D23" s="48">
        <f t="shared" si="1"/>
        <v>214932.91</v>
      </c>
      <c r="E23" s="62"/>
      <c r="F23" s="61"/>
      <c r="G23" s="61"/>
      <c r="H23" s="61"/>
      <c r="I23" s="61"/>
      <c r="J23" s="61"/>
      <c r="K23" s="61"/>
      <c r="L23" s="62"/>
      <c r="M23" s="62"/>
      <c r="N23" s="62">
        <f>214932.91</f>
        <v>214932.91</v>
      </c>
      <c r="O23" s="61"/>
      <c r="P23" s="61"/>
      <c r="Q23" s="61"/>
      <c r="R23" s="61"/>
      <c r="S23" s="8">
        <f t="shared" si="2"/>
        <v>0.001713893479801149</v>
      </c>
    </row>
    <row r="24" spans="1:19" ht="12.75">
      <c r="A24" s="60" t="s">
        <v>44</v>
      </c>
      <c r="B24" s="60" t="s">
        <v>105</v>
      </c>
      <c r="C24" s="60" t="s">
        <v>50</v>
      </c>
      <c r="D24" s="48">
        <f t="shared" si="1"/>
        <v>199881.25</v>
      </c>
      <c r="E24" s="62"/>
      <c r="F24" s="61"/>
      <c r="G24" s="61"/>
      <c r="H24" s="61"/>
      <c r="I24" s="61"/>
      <c r="J24" s="61"/>
      <c r="K24" s="61"/>
      <c r="L24" s="62"/>
      <c r="M24" s="62"/>
      <c r="N24" s="62"/>
      <c r="O24" s="62">
        <f>196180.58+3700.67</f>
        <v>199881.25</v>
      </c>
      <c r="P24" s="61"/>
      <c r="Q24" s="61"/>
      <c r="R24" s="61"/>
      <c r="S24" s="8">
        <f t="shared" si="2"/>
        <v>0.0015938702505330776</v>
      </c>
    </row>
    <row r="25" spans="1:19" ht="12.75">
      <c r="A25" s="60" t="s">
        <v>45</v>
      </c>
      <c r="B25" s="60" t="s">
        <v>138</v>
      </c>
      <c r="C25" s="60" t="s">
        <v>50</v>
      </c>
      <c r="D25" s="48">
        <f t="shared" si="1"/>
        <v>241331.1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1"/>
      <c r="P25" s="62">
        <f>11101.4+227321.1+2483.6+425</f>
        <v>241331.1</v>
      </c>
      <c r="Q25" s="61"/>
      <c r="R25" s="61"/>
      <c r="S25" s="8">
        <f t="shared" si="2"/>
        <v>0.0019243949135720495</v>
      </c>
    </row>
    <row r="26" spans="1:19" ht="12.75">
      <c r="A26" s="60" t="s">
        <v>45</v>
      </c>
      <c r="B26" s="60" t="s">
        <v>104</v>
      </c>
      <c r="C26" s="60" t="s">
        <v>82</v>
      </c>
      <c r="D26" s="48">
        <f t="shared" si="1"/>
        <v>3401727.55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685640.92+936498+1779588.63</f>
        <v>3401727.55</v>
      </c>
      <c r="Q26" s="61"/>
      <c r="R26" s="61"/>
      <c r="S26" s="8">
        <f t="shared" si="2"/>
        <v>0.02712566757694267</v>
      </c>
    </row>
    <row r="27" spans="1:19" ht="12.75">
      <c r="A27" s="60" t="s">
        <v>45</v>
      </c>
      <c r="B27" s="60" t="s">
        <v>51</v>
      </c>
      <c r="C27" s="60" t="s">
        <v>110</v>
      </c>
      <c r="D27" s="48">
        <f t="shared" si="1"/>
        <v>144740.3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144740.3</f>
        <v>144740.3</v>
      </c>
      <c r="Q27" s="61"/>
      <c r="R27" s="61"/>
      <c r="S27" s="8">
        <f t="shared" si="2"/>
        <v>0.0011541715804920811</v>
      </c>
    </row>
    <row r="28" spans="1:20" ht="12.75">
      <c r="A28" s="60" t="s">
        <v>46</v>
      </c>
      <c r="B28" s="60" t="s">
        <v>86</v>
      </c>
      <c r="C28" s="60" t="s">
        <v>50</v>
      </c>
      <c r="D28" s="48">
        <f t="shared" si="1"/>
        <v>124944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/>
      <c r="Q28" s="62">
        <f>124944</f>
        <v>124944</v>
      </c>
      <c r="R28" s="62"/>
      <c r="S28" s="8">
        <f t="shared" si="2"/>
        <v>0.0009963141844600474</v>
      </c>
      <c r="T28" s="8"/>
    </row>
    <row r="29" spans="1:20" ht="12.75">
      <c r="A29" s="60" t="s">
        <v>34</v>
      </c>
      <c r="B29" s="60" t="s">
        <v>113</v>
      </c>
      <c r="C29" s="60" t="s">
        <v>114</v>
      </c>
      <c r="D29" s="48">
        <f t="shared" si="1"/>
        <v>2826210.31</v>
      </c>
      <c r="E29" s="62">
        <f>2826210.31</f>
        <v>2826210.31</v>
      </c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/>
      <c r="R29" s="62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8">
        <f t="shared" si="1"/>
        <v>8020095.99</v>
      </c>
      <c r="E30" s="48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3" t="s">
        <v>63</v>
      </c>
      <c r="D31" s="48">
        <f t="shared" si="1"/>
        <v>6743452.4</v>
      </c>
      <c r="E31" s="48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3" t="s">
        <v>63</v>
      </c>
      <c r="D32" s="48">
        <f t="shared" si="1"/>
        <v>5087251.58</v>
      </c>
      <c r="E32" s="48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3" t="s">
        <v>142</v>
      </c>
      <c r="D33" s="48">
        <f t="shared" si="1"/>
        <v>204417.40999999997</v>
      </c>
      <c r="F33" s="48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3" t="s">
        <v>144</v>
      </c>
      <c r="D34" s="48">
        <f t="shared" si="1"/>
        <v>41429.51</v>
      </c>
      <c r="F34" s="48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8">
        <f t="shared" si="1"/>
        <v>5321917.06</v>
      </c>
      <c r="I35" s="48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8">
        <f t="shared" si="1"/>
        <v>312.92</v>
      </c>
      <c r="K36" s="48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8">
        <f t="shared" si="1"/>
        <v>8001200.56</v>
      </c>
      <c r="L37" s="48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8">
        <f t="shared" si="1"/>
        <v>1868.3</v>
      </c>
      <c r="M38" s="48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8">
        <f t="shared" si="1"/>
        <v>2685498.1599999997</v>
      </c>
      <c r="O39" s="48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8">
        <f t="shared" si="1"/>
        <v>23833.49</v>
      </c>
      <c r="O40" s="48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8">
        <f t="shared" si="1"/>
        <v>623238.92</v>
      </c>
      <c r="O41" s="48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8">
        <f t="shared" si="1"/>
        <v>309587.12</v>
      </c>
      <c r="P42" s="48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8">
        <f t="shared" si="1"/>
        <v>1596427.84</v>
      </c>
      <c r="P43" s="48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8">
        <f t="shared" si="1"/>
        <v>11859331.13</v>
      </c>
      <c r="P44" s="48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8">
        <f t="shared" si="1"/>
        <v>22308780.25</v>
      </c>
      <c r="P45" s="48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8">
        <f t="shared" si="1"/>
        <v>1289481.39</v>
      </c>
      <c r="P46" s="48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8">
        <f t="shared" si="1"/>
        <v>1437437.22</v>
      </c>
      <c r="P47" s="48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8">
        <f>SUM(E48:R48)</f>
        <v>32176015.540000007</v>
      </c>
      <c r="R48" s="48">
        <f>125774432.62-93598417.08</f>
        <v>32176015.540000007</v>
      </c>
      <c r="S48" s="8">
        <f>R48/$D$5</f>
        <v>0.2565743107464858</v>
      </c>
      <c r="T48" s="8"/>
    </row>
    <row r="49" spans="5:19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/>
    </row>
    <row r="50" spans="2:19" s="8" customFormat="1" ht="13.5" thickBot="1">
      <c r="B50" s="66"/>
      <c r="C50" s="67" t="s">
        <v>81</v>
      </c>
      <c r="D50" s="68">
        <f>SUM(E50:R50)</f>
        <v>1</v>
      </c>
      <c r="E50" s="69">
        <f>E5/D5</f>
        <v>0.23316208006578654</v>
      </c>
      <c r="F50" s="69">
        <f>F5/D5</f>
        <v>0.010529950473500506</v>
      </c>
      <c r="G50" s="69">
        <f>G5/D5</f>
        <v>0.0011715577988694794</v>
      </c>
      <c r="H50" s="69">
        <f>H5/D5</f>
        <v>0.00041281252446696246</v>
      </c>
      <c r="I50" s="69">
        <f>I5/D5</f>
        <v>0.05563378495725145</v>
      </c>
      <c r="J50" s="69">
        <f>J5/D5</f>
        <v>0.0013951814680825722</v>
      </c>
      <c r="K50" s="69">
        <f>K5/D5</f>
        <v>2.4952509492351617E-06</v>
      </c>
      <c r="L50" s="69">
        <f>L5/D5</f>
        <v>0.06547832343831317</v>
      </c>
      <c r="M50" s="69">
        <f>M5/D5</f>
        <v>0.005154123282729845</v>
      </c>
      <c r="N50" s="69">
        <f>N5/D5</f>
        <v>0.001713893479801149</v>
      </c>
      <c r="O50" s="69">
        <f>O5/D5</f>
        <v>0.02816807413071224</v>
      </c>
      <c r="P50" s="69">
        <f>P5/D5</f>
        <v>0.3396070981985911</v>
      </c>
      <c r="Q50" s="69">
        <f>Q5/D5</f>
        <v>0.0009963141844600474</v>
      </c>
      <c r="R50" s="69">
        <f>R5/D5</f>
        <v>0.2565743107464858</v>
      </c>
      <c r="S50" s="69">
        <f>SUM(S6:S49)</f>
        <v>1</v>
      </c>
    </row>
    <row r="51" spans="1:19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5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99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124</v>
      </c>
      <c r="S3" s="51" t="s">
        <v>30</v>
      </c>
    </row>
    <row r="4" spans="1:19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3" t="s">
        <v>125</v>
      </c>
      <c r="S4" s="54" t="s">
        <v>47</v>
      </c>
    </row>
    <row r="5" spans="1:19" s="58" customFormat="1" ht="13.5" thickBot="1">
      <c r="A5" s="55"/>
      <c r="B5" s="55"/>
      <c r="C5" s="55" t="s">
        <v>48</v>
      </c>
      <c r="D5" s="56">
        <f>SUM(E5:R5)</f>
        <v>125774432.62</v>
      </c>
      <c r="E5" s="56">
        <f aca="true" t="shared" si="0" ref="E5:R5">SUM(E6:E54)</f>
        <v>5931685.87</v>
      </c>
      <c r="F5" s="56">
        <f t="shared" si="0"/>
        <v>382240.38</v>
      </c>
      <c r="G5" s="56">
        <f t="shared" si="0"/>
        <v>4673</v>
      </c>
      <c r="H5" s="56">
        <f t="shared" si="0"/>
        <v>6600.539999999999</v>
      </c>
      <c r="I5" s="56">
        <f t="shared" si="0"/>
        <v>804929.2699999999</v>
      </c>
      <c r="J5" s="56">
        <f t="shared" si="0"/>
        <v>57899.96</v>
      </c>
      <c r="K5" s="56">
        <f t="shared" si="0"/>
        <v>312.92</v>
      </c>
      <c r="L5" s="56">
        <f t="shared" si="0"/>
        <v>511971.02</v>
      </c>
      <c r="M5" s="56">
        <f t="shared" si="0"/>
        <v>88222.44</v>
      </c>
      <c r="N5" s="56">
        <f t="shared" si="0"/>
        <v>138181.69</v>
      </c>
      <c r="O5" s="56">
        <f t="shared" si="0"/>
        <v>1174964.25</v>
      </c>
      <c r="P5" s="56">
        <f t="shared" si="0"/>
        <v>11849991.819999998</v>
      </c>
      <c r="Q5" s="56">
        <f t="shared" si="0"/>
        <v>56784</v>
      </c>
      <c r="R5" s="56">
        <f t="shared" si="0"/>
        <v>104765975.46000001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34</v>
      </c>
      <c r="B7" s="60" t="s">
        <v>102</v>
      </c>
      <c r="C7" s="60" t="s">
        <v>50</v>
      </c>
      <c r="D7" s="48">
        <f aca="true" t="shared" si="1" ref="D7:D52">SUM(E7:Q7)</f>
        <v>1263500.31</v>
      </c>
      <c r="E7" s="62">
        <f>583838.06+515479.07+164183.18</f>
        <v>1263500.31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52">D7/$D$5</f>
        <v>0.010045764339222983</v>
      </c>
    </row>
    <row r="8" spans="1:19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2.6497436168676867E-05</v>
      </c>
    </row>
    <row r="9" spans="1:19" ht="12.75">
      <c r="A9" s="60" t="s">
        <v>35</v>
      </c>
      <c r="B9" s="60" t="s">
        <v>111</v>
      </c>
      <c r="C9" s="60" t="s">
        <v>50</v>
      </c>
      <c r="D9" s="48">
        <f t="shared" si="1"/>
        <v>212125.56</v>
      </c>
      <c r="E9" s="62"/>
      <c r="F9" s="62">
        <f>201112.91+1242.65+9770</f>
        <v>212125.56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0.001686555491296797</v>
      </c>
    </row>
    <row r="10" spans="1:19" ht="12.75">
      <c r="A10" s="60" t="s">
        <v>35</v>
      </c>
      <c r="B10" s="60" t="s">
        <v>51</v>
      </c>
      <c r="C10" s="60" t="s">
        <v>55</v>
      </c>
      <c r="D10" s="48">
        <f t="shared" si="1"/>
        <v>34246.84</v>
      </c>
      <c r="E10" s="62"/>
      <c r="F10" s="62">
        <f>34246.84</f>
        <v>34246.84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0.00027228777174029755</v>
      </c>
    </row>
    <row r="11" spans="1:19" ht="12.75">
      <c r="A11" s="60" t="s">
        <v>35</v>
      </c>
      <c r="B11" s="60" t="s">
        <v>108</v>
      </c>
      <c r="C11" s="60" t="s">
        <v>53</v>
      </c>
      <c r="D11" s="48">
        <f t="shared" si="1"/>
        <v>135867.97999999998</v>
      </c>
      <c r="E11" s="62"/>
      <c r="F11" s="62">
        <f>101852.98+34015</f>
        <v>135867.97999999998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0.00108025118595045</v>
      </c>
    </row>
    <row r="12" spans="1:19" ht="12.75">
      <c r="A12" s="60" t="s">
        <v>35</v>
      </c>
      <c r="B12" s="60" t="s">
        <v>84</v>
      </c>
      <c r="C12" s="60" t="s">
        <v>85</v>
      </c>
      <c r="D12" s="48">
        <f t="shared" si="1"/>
        <v>0</v>
      </c>
      <c r="E12" s="62"/>
      <c r="F12" s="6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</v>
      </c>
    </row>
    <row r="13" spans="1:19" ht="12.75">
      <c r="A13" s="60" t="s">
        <v>36</v>
      </c>
      <c r="B13" s="60" t="s">
        <v>54</v>
      </c>
      <c r="C13" s="60" t="s">
        <v>50</v>
      </c>
      <c r="D13" s="48">
        <f t="shared" si="1"/>
        <v>4673</v>
      </c>
      <c r="E13" s="62"/>
      <c r="F13" s="62"/>
      <c r="G13" s="62">
        <f>4673</f>
        <v>4673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3.715381498971615E-05</v>
      </c>
    </row>
    <row r="14" spans="1:19" ht="12.75">
      <c r="A14" s="60" t="s">
        <v>37</v>
      </c>
      <c r="B14" s="60" t="s">
        <v>83</v>
      </c>
      <c r="C14" s="60" t="s">
        <v>50</v>
      </c>
      <c r="D14" s="48">
        <f t="shared" si="1"/>
        <v>6600.539999999999</v>
      </c>
      <c r="E14" s="62"/>
      <c r="F14" s="62"/>
      <c r="G14" s="61"/>
      <c r="H14" s="62">
        <f>2159.97+4440.57</f>
        <v>6600.539999999999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5.247918724421592E-05</v>
      </c>
    </row>
    <row r="15" spans="1:19" ht="12.75">
      <c r="A15" s="60" t="s">
        <v>37</v>
      </c>
      <c r="B15" s="60" t="s">
        <v>60</v>
      </c>
      <c r="C15" s="60" t="s">
        <v>87</v>
      </c>
      <c r="D15" s="48">
        <f t="shared" si="1"/>
        <v>0</v>
      </c>
      <c r="E15" s="62"/>
      <c r="F15" s="62"/>
      <c r="G15" s="61"/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</v>
      </c>
    </row>
    <row r="16" spans="1:19" ht="12.75">
      <c r="A16" s="60" t="s">
        <v>38</v>
      </c>
      <c r="B16" s="60" t="s">
        <v>109</v>
      </c>
      <c r="C16" s="60" t="s">
        <v>50</v>
      </c>
      <c r="D16" s="48">
        <f t="shared" si="1"/>
        <v>31243.46</v>
      </c>
      <c r="E16" s="62"/>
      <c r="F16" s="62"/>
      <c r="G16" s="61"/>
      <c r="H16" s="62"/>
      <c r="I16" s="62">
        <f>16890.77+7375+6977.69</f>
        <v>31243.46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0.00024840867375959703</v>
      </c>
    </row>
    <row r="17" spans="1:19" ht="12.75">
      <c r="A17" s="60" t="s">
        <v>38</v>
      </c>
      <c r="B17" s="60" t="s">
        <v>100</v>
      </c>
      <c r="C17" s="60" t="s">
        <v>101</v>
      </c>
      <c r="D17" s="48">
        <f t="shared" si="1"/>
        <v>682212</v>
      </c>
      <c r="E17" s="62"/>
      <c r="F17" s="62"/>
      <c r="G17" s="61"/>
      <c r="H17" s="62"/>
      <c r="I17" s="62">
        <f>682212</f>
        <v>682212</v>
      </c>
      <c r="J17" s="61"/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0.005424091254389949</v>
      </c>
    </row>
    <row r="18" spans="1:19" ht="12.75">
      <c r="A18" s="60" t="s">
        <v>39</v>
      </c>
      <c r="B18" s="60" t="s">
        <v>103</v>
      </c>
      <c r="C18" s="60" t="s">
        <v>50</v>
      </c>
      <c r="D18" s="48">
        <f t="shared" si="1"/>
        <v>57899.96</v>
      </c>
      <c r="E18" s="62"/>
      <c r="F18" s="62"/>
      <c r="G18" s="61"/>
      <c r="H18" s="62"/>
      <c r="I18" s="61"/>
      <c r="J18" s="62">
        <f>337.42+57562.54</f>
        <v>57899.96</v>
      </c>
      <c r="K18" s="62"/>
      <c r="L18" s="61"/>
      <c r="M18" s="61"/>
      <c r="N18" s="61"/>
      <c r="O18" s="61"/>
      <c r="P18" s="61"/>
      <c r="Q18" s="61"/>
      <c r="R18" s="61"/>
      <c r="S18" s="8">
        <f t="shared" si="2"/>
        <v>0.0004603476143274054</v>
      </c>
    </row>
    <row r="19" spans="1:19" ht="12.75">
      <c r="A19" s="60" t="s">
        <v>39</v>
      </c>
      <c r="B19" s="60" t="s">
        <v>84</v>
      </c>
      <c r="C19" s="60" t="s">
        <v>53</v>
      </c>
      <c r="D19" s="48">
        <f t="shared" si="1"/>
        <v>0</v>
      </c>
      <c r="E19" s="62"/>
      <c r="F19" s="62"/>
      <c r="G19" s="61"/>
      <c r="H19" s="62"/>
      <c r="I19" s="61"/>
      <c r="J19" s="62"/>
      <c r="K19" s="62"/>
      <c r="L19" s="61"/>
      <c r="M19" s="61"/>
      <c r="N19" s="61"/>
      <c r="O19" s="61"/>
      <c r="P19" s="61"/>
      <c r="Q19" s="61"/>
      <c r="R19" s="61"/>
      <c r="S19" s="8">
        <f t="shared" si="2"/>
        <v>0</v>
      </c>
    </row>
    <row r="20" spans="1:19" ht="12.75">
      <c r="A20" s="60" t="s">
        <v>40</v>
      </c>
      <c r="B20" s="60" t="s">
        <v>52</v>
      </c>
      <c r="C20" s="60" t="s">
        <v>56</v>
      </c>
      <c r="D20" s="48">
        <f t="shared" si="1"/>
        <v>0</v>
      </c>
      <c r="E20" s="62"/>
      <c r="F20" s="62"/>
      <c r="G20" s="61"/>
      <c r="H20" s="62"/>
      <c r="I20" s="61"/>
      <c r="J20" s="62"/>
      <c r="K20" s="62"/>
      <c r="L20" s="61"/>
      <c r="M20" s="61"/>
      <c r="N20" s="61"/>
      <c r="O20" s="61"/>
      <c r="P20" s="61"/>
      <c r="Q20" s="61"/>
      <c r="R20" s="61"/>
      <c r="S20" s="8">
        <f t="shared" si="2"/>
        <v>0</v>
      </c>
    </row>
    <row r="21" spans="1:19" ht="12.75">
      <c r="A21" s="60" t="s">
        <v>41</v>
      </c>
      <c r="B21" s="60" t="s">
        <v>106</v>
      </c>
      <c r="C21" s="60" t="s">
        <v>50</v>
      </c>
      <c r="D21" s="48">
        <f t="shared" si="1"/>
        <v>107002.34</v>
      </c>
      <c r="E21" s="62"/>
      <c r="F21" s="62"/>
      <c r="G21" s="61"/>
      <c r="H21" s="62"/>
      <c r="I21" s="61"/>
      <c r="J21" s="62"/>
      <c r="K21" s="62"/>
      <c r="L21" s="62">
        <f>102684.58+4317.76</f>
        <v>107002.34</v>
      </c>
      <c r="M21" s="61"/>
      <c r="N21" s="61"/>
      <c r="O21" s="61"/>
      <c r="P21" s="61"/>
      <c r="Q21" s="61"/>
      <c r="R21" s="61"/>
      <c r="S21" s="8">
        <f t="shared" si="2"/>
        <v>0.0008507479443241395</v>
      </c>
    </row>
    <row r="22" spans="1:19" ht="12.75">
      <c r="A22" s="60" t="s">
        <v>41</v>
      </c>
      <c r="B22" s="60" t="s">
        <v>49</v>
      </c>
      <c r="C22" s="60" t="s">
        <v>53</v>
      </c>
      <c r="D22" s="48">
        <f t="shared" si="1"/>
        <v>0</v>
      </c>
      <c r="E22" s="62"/>
      <c r="F22" s="62"/>
      <c r="G22" s="61"/>
      <c r="H22" s="62"/>
      <c r="I22" s="61"/>
      <c r="J22" s="62"/>
      <c r="K22" s="62"/>
      <c r="L22" s="62"/>
      <c r="M22" s="61"/>
      <c r="N22" s="61"/>
      <c r="O22" s="61"/>
      <c r="P22" s="61"/>
      <c r="Q22" s="61"/>
      <c r="R22" s="61"/>
      <c r="S22" s="8">
        <f t="shared" si="2"/>
        <v>0</v>
      </c>
    </row>
    <row r="23" spans="1:19" ht="12.75">
      <c r="A23" s="60" t="s">
        <v>41</v>
      </c>
      <c r="B23" s="60" t="s">
        <v>49</v>
      </c>
      <c r="C23" s="60" t="s">
        <v>58</v>
      </c>
      <c r="D23" s="48">
        <f t="shared" si="1"/>
        <v>5597.48</v>
      </c>
      <c r="E23" s="62"/>
      <c r="F23" s="61"/>
      <c r="G23" s="61"/>
      <c r="H23" s="61"/>
      <c r="I23" s="61"/>
      <c r="J23" s="61"/>
      <c r="K23" s="61"/>
      <c r="L23" s="62">
        <f>5597.48</f>
        <v>5597.48</v>
      </c>
      <c r="M23" s="61"/>
      <c r="N23" s="61"/>
      <c r="O23" s="61"/>
      <c r="P23" s="61"/>
      <c r="Q23" s="61"/>
      <c r="R23" s="61"/>
      <c r="S23" s="8">
        <f t="shared" si="2"/>
        <v>4.450411648376553E-05</v>
      </c>
    </row>
    <row r="24" spans="1:19" ht="12.75">
      <c r="A24" s="60" t="s">
        <v>42</v>
      </c>
      <c r="B24" s="60" t="s">
        <v>54</v>
      </c>
      <c r="C24" s="60" t="s">
        <v>50</v>
      </c>
      <c r="D24" s="48">
        <f t="shared" si="1"/>
        <v>14055.29</v>
      </c>
      <c r="E24" s="62"/>
      <c r="F24" s="61"/>
      <c r="G24" s="61"/>
      <c r="H24" s="61"/>
      <c r="I24" s="61"/>
      <c r="J24" s="61"/>
      <c r="K24" s="61"/>
      <c r="L24" s="62"/>
      <c r="M24" s="62">
        <f>14055.29</f>
        <v>14055.29</v>
      </c>
      <c r="N24" s="61"/>
      <c r="O24" s="61"/>
      <c r="P24" s="61"/>
      <c r="Q24" s="61"/>
      <c r="R24" s="61"/>
      <c r="S24" s="8">
        <f t="shared" si="2"/>
        <v>0.00011174997737787449</v>
      </c>
    </row>
    <row r="25" spans="1:19" ht="12.75">
      <c r="A25" s="60" t="s">
        <v>42</v>
      </c>
      <c r="B25" s="60" t="s">
        <v>57</v>
      </c>
      <c r="C25" s="60" t="s">
        <v>59</v>
      </c>
      <c r="D25" s="48">
        <f t="shared" si="1"/>
        <v>74167.15</v>
      </c>
      <c r="E25" s="62"/>
      <c r="F25" s="61"/>
      <c r="G25" s="61"/>
      <c r="H25" s="61"/>
      <c r="I25" s="61"/>
      <c r="J25" s="61"/>
      <c r="K25" s="61"/>
      <c r="L25" s="62"/>
      <c r="M25" s="62">
        <f>74167.15</f>
        <v>74167.15</v>
      </c>
      <c r="N25" s="61"/>
      <c r="O25" s="61"/>
      <c r="P25" s="61"/>
      <c r="Q25" s="61"/>
      <c r="R25" s="61"/>
      <c r="S25" s="8">
        <f t="shared" si="2"/>
        <v>0.0005896838368102987</v>
      </c>
    </row>
    <row r="26" spans="1:19" ht="12.75">
      <c r="A26" s="60" t="s">
        <v>42</v>
      </c>
      <c r="B26" s="60" t="s">
        <v>60</v>
      </c>
      <c r="C26" s="60" t="s">
        <v>53</v>
      </c>
      <c r="D26" s="48">
        <f t="shared" si="1"/>
        <v>0</v>
      </c>
      <c r="E26" s="62"/>
      <c r="F26" s="61"/>
      <c r="G26" s="61"/>
      <c r="H26" s="61"/>
      <c r="I26" s="61"/>
      <c r="J26" s="61"/>
      <c r="K26" s="61"/>
      <c r="L26" s="62"/>
      <c r="M26" s="62"/>
      <c r="N26" s="61"/>
      <c r="O26" s="61"/>
      <c r="P26" s="61"/>
      <c r="Q26" s="61"/>
      <c r="R26" s="61"/>
      <c r="S26" s="8">
        <f t="shared" si="2"/>
        <v>0</v>
      </c>
    </row>
    <row r="27" spans="1:19" ht="12.75">
      <c r="A27" s="60" t="s">
        <v>43</v>
      </c>
      <c r="B27" s="60" t="s">
        <v>104</v>
      </c>
      <c r="C27" s="60" t="s">
        <v>50</v>
      </c>
      <c r="D27" s="48">
        <f t="shared" si="1"/>
        <v>138181.69</v>
      </c>
      <c r="E27" s="62"/>
      <c r="F27" s="61"/>
      <c r="G27" s="61"/>
      <c r="H27" s="61"/>
      <c r="I27" s="61"/>
      <c r="J27" s="61"/>
      <c r="K27" s="61"/>
      <c r="L27" s="62"/>
      <c r="M27" s="62"/>
      <c r="N27" s="62">
        <f>138181.69</f>
        <v>138181.69</v>
      </c>
      <c r="O27" s="61"/>
      <c r="P27" s="61"/>
      <c r="Q27" s="61"/>
      <c r="R27" s="61"/>
      <c r="S27" s="8">
        <f t="shared" si="2"/>
        <v>0.0010986468960467173</v>
      </c>
    </row>
    <row r="28" spans="1:19" ht="12.75">
      <c r="A28" s="60" t="s">
        <v>43</v>
      </c>
      <c r="B28" s="60" t="s">
        <v>49</v>
      </c>
      <c r="C28" s="60" t="s">
        <v>53</v>
      </c>
      <c r="D28" s="48">
        <f t="shared" si="1"/>
        <v>0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1"/>
      <c r="Q28" s="61"/>
      <c r="R28" s="61"/>
      <c r="S28" s="8">
        <f t="shared" si="2"/>
        <v>0</v>
      </c>
    </row>
    <row r="29" spans="1:19" ht="12.75">
      <c r="A29" s="60" t="s">
        <v>44</v>
      </c>
      <c r="B29" s="60" t="s">
        <v>105</v>
      </c>
      <c r="C29" s="60" t="s">
        <v>50</v>
      </c>
      <c r="D29" s="48">
        <f t="shared" si="1"/>
        <v>199881.25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2">
        <f>196180.58+3700.67</f>
        <v>199881.25</v>
      </c>
      <c r="P29" s="61"/>
      <c r="Q29" s="61"/>
      <c r="R29" s="61"/>
      <c r="S29" s="8">
        <f t="shared" si="2"/>
        <v>0.0015892041477451747</v>
      </c>
    </row>
    <row r="30" spans="1:19" ht="12.75">
      <c r="A30" s="60" t="s">
        <v>45</v>
      </c>
      <c r="B30" s="60" t="s">
        <v>107</v>
      </c>
      <c r="C30" s="60" t="s">
        <v>50</v>
      </c>
      <c r="D30" s="48">
        <f t="shared" si="1"/>
        <v>44210.86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>
        <f>44210.86</f>
        <v>44210.86</v>
      </c>
      <c r="Q30" s="61"/>
      <c r="R30" s="61"/>
      <c r="S30" s="8">
        <f t="shared" si="2"/>
        <v>0.00035150911897629833</v>
      </c>
    </row>
    <row r="31" spans="1:19" ht="12.75">
      <c r="A31" s="60" t="s">
        <v>45</v>
      </c>
      <c r="B31" s="60" t="s">
        <v>103</v>
      </c>
      <c r="C31" s="60" t="s">
        <v>82</v>
      </c>
      <c r="D31" s="48">
        <f t="shared" si="1"/>
        <v>256250</v>
      </c>
      <c r="E31" s="62"/>
      <c r="F31" s="61"/>
      <c r="G31" s="61"/>
      <c r="H31" s="61"/>
      <c r="I31" s="61"/>
      <c r="J31" s="61"/>
      <c r="K31" s="61"/>
      <c r="L31" s="62"/>
      <c r="M31" s="62"/>
      <c r="N31" s="62"/>
      <c r="O31" s="61"/>
      <c r="P31" s="62">
        <f>256250</f>
        <v>256250</v>
      </c>
      <c r="Q31" s="61"/>
      <c r="R31" s="61"/>
      <c r="S31" s="8">
        <f t="shared" si="2"/>
        <v>0.002037377507193401</v>
      </c>
    </row>
    <row r="32" spans="1:19" ht="12.75">
      <c r="A32" s="60" t="s">
        <v>45</v>
      </c>
      <c r="B32" s="60" t="s">
        <v>51</v>
      </c>
      <c r="C32" s="60" t="s">
        <v>110</v>
      </c>
      <c r="D32" s="48">
        <f t="shared" si="1"/>
        <v>144740.3</v>
      </c>
      <c r="E32" s="62"/>
      <c r="F32" s="61"/>
      <c r="G32" s="61"/>
      <c r="H32" s="61"/>
      <c r="I32" s="61"/>
      <c r="J32" s="61"/>
      <c r="K32" s="61"/>
      <c r="L32" s="62"/>
      <c r="M32" s="62"/>
      <c r="N32" s="62"/>
      <c r="O32" s="61"/>
      <c r="P32" s="62">
        <f>144740.3</f>
        <v>144740.3</v>
      </c>
      <c r="Q32" s="61"/>
      <c r="R32" s="61"/>
      <c r="S32" s="8">
        <f t="shared" si="2"/>
        <v>0.0011507927087001952</v>
      </c>
    </row>
    <row r="33" spans="1:20" ht="12.75">
      <c r="A33" s="60" t="s">
        <v>46</v>
      </c>
      <c r="B33" s="60" t="s">
        <v>86</v>
      </c>
      <c r="C33" s="60" t="s">
        <v>50</v>
      </c>
      <c r="D33" s="48">
        <f t="shared" si="1"/>
        <v>56784</v>
      </c>
      <c r="E33" s="62"/>
      <c r="F33" s="61"/>
      <c r="G33" s="61"/>
      <c r="H33" s="61"/>
      <c r="I33" s="61"/>
      <c r="J33" s="61"/>
      <c r="K33" s="61"/>
      <c r="L33" s="62"/>
      <c r="M33" s="62"/>
      <c r="N33" s="62"/>
      <c r="O33" s="61"/>
      <c r="P33" s="62"/>
      <c r="Q33" s="62">
        <f>56784</f>
        <v>56784</v>
      </c>
      <c r="R33" s="62"/>
      <c r="S33" s="8">
        <f t="shared" si="2"/>
        <v>0.0004514749048525662</v>
      </c>
      <c r="T33" s="8"/>
    </row>
    <row r="34" spans="1:20" ht="12.75">
      <c r="A34" s="60" t="s">
        <v>34</v>
      </c>
      <c r="B34" s="60" t="s">
        <v>113</v>
      </c>
      <c r="C34" s="60" t="s">
        <v>114</v>
      </c>
      <c r="D34" s="48">
        <f t="shared" si="1"/>
        <v>346849.3</v>
      </c>
      <c r="E34" s="62">
        <f>346849.3</f>
        <v>346849.3</v>
      </c>
      <c r="F34" s="61"/>
      <c r="G34" s="61"/>
      <c r="H34" s="61"/>
      <c r="I34" s="61"/>
      <c r="J34" s="61"/>
      <c r="K34" s="61"/>
      <c r="L34" s="62"/>
      <c r="M34" s="62"/>
      <c r="N34" s="62"/>
      <c r="O34" s="61"/>
      <c r="P34" s="62"/>
      <c r="Q34" s="62"/>
      <c r="R34" s="62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8">
        <f t="shared" si="1"/>
        <v>3960919.18</v>
      </c>
      <c r="E35" s="48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3" t="s">
        <v>63</v>
      </c>
      <c r="D36" s="48">
        <f t="shared" si="1"/>
        <v>357084.38</v>
      </c>
      <c r="E36" s="48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8">
        <f t="shared" si="1"/>
        <v>-20450</v>
      </c>
      <c r="I37" s="48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8">
        <f t="shared" si="1"/>
        <v>472889.81000000006</v>
      </c>
      <c r="I38" s="48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8">
        <f t="shared" si="1"/>
        <v>-106036.85</v>
      </c>
      <c r="I39" s="48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8">
        <f t="shared" si="1"/>
        <v>-254929.15</v>
      </c>
      <c r="I40" s="48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8">
        <f t="shared" si="1"/>
        <v>312.92</v>
      </c>
      <c r="K41" s="48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8">
        <f t="shared" si="1"/>
        <v>399371.2</v>
      </c>
      <c r="L42" s="48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8">
        <f t="shared" si="1"/>
        <v>905896.54</v>
      </c>
      <c r="O43" s="48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8">
        <f t="shared" si="1"/>
        <v>10888.22</v>
      </c>
      <c r="O44" s="48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8">
        <f t="shared" si="1"/>
        <v>58298.24</v>
      </c>
      <c r="O45" s="48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8">
        <f t="shared" si="1"/>
        <v>265675.02</v>
      </c>
      <c r="P46" s="48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8">
        <f t="shared" si="1"/>
        <v>1444230.52</v>
      </c>
      <c r="P47" s="48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8">
        <f t="shared" si="1"/>
        <v>4300033.9399999995</v>
      </c>
      <c r="P48" s="48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8">
        <f t="shared" si="1"/>
        <v>4085992.21</v>
      </c>
      <c r="P49" s="48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8">
        <f t="shared" si="1"/>
        <v>-209416.4</v>
      </c>
      <c r="P50" s="48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8">
        <f t="shared" si="1"/>
        <v>983757.18</v>
      </c>
      <c r="P51" s="48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8">
        <f t="shared" si="1"/>
        <v>534518.19</v>
      </c>
      <c r="P52" s="48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8">
        <f>SUM(E53:R53)</f>
        <v>104765975.46000001</v>
      </c>
      <c r="R53" s="48">
        <f>125774432.62-21008457.16</f>
        <v>104765975.46000001</v>
      </c>
      <c r="S53" s="8">
        <f>R53/$D$5</f>
        <v>0.8329671879858725</v>
      </c>
      <c r="T53" s="8"/>
    </row>
    <row r="54" spans="5:19" ht="12.75"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/>
    </row>
    <row r="55" spans="2:19" s="8" customFormat="1" ht="13.5" thickBot="1">
      <c r="B55" s="66"/>
      <c r="C55" s="67" t="s">
        <v>81</v>
      </c>
      <c r="D55" s="68">
        <f>SUM(E55:R55)</f>
        <v>1</v>
      </c>
      <c r="E55" s="69">
        <f>E5/D5</f>
        <v>0.04716130096107286</v>
      </c>
      <c r="F55" s="69">
        <f>F5/D5</f>
        <v>0.003039094448987545</v>
      </c>
      <c r="G55" s="69">
        <f>G5/D5</f>
        <v>3.715381498971615E-05</v>
      </c>
      <c r="H55" s="69">
        <f>H5/D5</f>
        <v>5.247918724421592E-05</v>
      </c>
      <c r="I55" s="69">
        <f>I5/D5</f>
        <v>0.006399784544700893</v>
      </c>
      <c r="J55" s="69">
        <f>J5/D5</f>
        <v>0.0004603476143274054</v>
      </c>
      <c r="K55" s="69">
        <f>K5/D5</f>
        <v>2.487946027515938E-06</v>
      </c>
      <c r="L55" s="69">
        <f>L5/D5</f>
        <v>0.004070549231152636</v>
      </c>
      <c r="M55" s="69">
        <f>M5/D5</f>
        <v>0.0007014338141881733</v>
      </c>
      <c r="N55" s="69">
        <f>N5/D5</f>
        <v>0.0010986468960467173</v>
      </c>
      <c r="O55" s="69">
        <f>O5/D5</f>
        <v>0.00934183701348825</v>
      </c>
      <c r="P55" s="69">
        <f>P5/D5</f>
        <v>0.09421622163704894</v>
      </c>
      <c r="Q55" s="69">
        <f>Q5/D5</f>
        <v>0.0004514749048525662</v>
      </c>
      <c r="R55" s="69">
        <f>R5/D5</f>
        <v>0.8329671879858725</v>
      </c>
      <c r="S55" s="69">
        <f>SUM(S6:S54)</f>
        <v>1</v>
      </c>
    </row>
    <row r="56" spans="1:19" s="8" customFormat="1" ht="13.5" thickTop="1">
      <c r="A56" s="70"/>
      <c r="C56" s="6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7" width="11.7109375" style="48" customWidth="1"/>
    <col min="8" max="8" width="10.7109375" style="48" customWidth="1"/>
    <col min="9" max="9" width="13.7109375" style="48" customWidth="1"/>
    <col min="10" max="10" width="11.7109375" style="48" customWidth="1"/>
    <col min="11" max="11" width="12.7109375" style="48" customWidth="1"/>
    <col min="12" max="12" width="13.7109375" style="48" customWidth="1"/>
    <col min="13" max="13" width="12.7109375" style="48" customWidth="1"/>
    <col min="14" max="16" width="13.7109375" style="48" customWidth="1"/>
    <col min="17" max="17" width="11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99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30</v>
      </c>
    </row>
    <row r="4" spans="1:18" ht="12.75">
      <c r="A4" s="52" t="s">
        <v>31</v>
      </c>
      <c r="B4" s="52" t="s">
        <v>32</v>
      </c>
      <c r="C4" s="52" t="s">
        <v>33</v>
      </c>
      <c r="D4" s="53" t="s">
        <v>16</v>
      </c>
      <c r="E4" s="53" t="s">
        <v>34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  <c r="K4" s="53" t="s">
        <v>40</v>
      </c>
      <c r="L4" s="53" t="s">
        <v>41</v>
      </c>
      <c r="M4" s="53" t="s">
        <v>42</v>
      </c>
      <c r="N4" s="53" t="s">
        <v>43</v>
      </c>
      <c r="O4" s="53" t="s">
        <v>44</v>
      </c>
      <c r="P4" s="53" t="s">
        <v>45</v>
      </c>
      <c r="Q4" s="53" t="s">
        <v>46</v>
      </c>
      <c r="R4" s="54" t="s">
        <v>47</v>
      </c>
    </row>
    <row r="5" spans="1:18" s="58" customFormat="1" ht="13.5" thickBot="1">
      <c r="A5" s="55"/>
      <c r="B5" s="55"/>
      <c r="C5" s="55" t="s">
        <v>48</v>
      </c>
      <c r="D5" s="56">
        <f>SUM(E5:Q5)</f>
        <v>120493905.11000001</v>
      </c>
      <c r="E5" s="56">
        <f aca="true" t="shared" si="0" ref="E5:Q5">SUM(E6:E49)</f>
        <v>35297726</v>
      </c>
      <c r="F5" s="56">
        <f t="shared" si="0"/>
        <v>1788122.8199999998</v>
      </c>
      <c r="G5" s="56">
        <f t="shared" si="0"/>
        <v>239444.97</v>
      </c>
      <c r="H5" s="56">
        <f t="shared" si="0"/>
        <v>82629.26</v>
      </c>
      <c r="I5" s="56">
        <f t="shared" si="0"/>
        <v>10971655.21</v>
      </c>
      <c r="J5" s="56">
        <f t="shared" si="0"/>
        <v>374939.49</v>
      </c>
      <c r="K5" s="56">
        <f t="shared" si="0"/>
        <v>312.92</v>
      </c>
      <c r="L5" s="56">
        <f t="shared" si="0"/>
        <v>11503936.99</v>
      </c>
      <c r="M5" s="56">
        <f t="shared" si="0"/>
        <v>916986.1900000001</v>
      </c>
      <c r="N5" s="56">
        <f t="shared" si="0"/>
        <v>511589.39</v>
      </c>
      <c r="O5" s="56">
        <f t="shared" si="0"/>
        <v>5972990.77</v>
      </c>
      <c r="P5" s="56">
        <f t="shared" si="0"/>
        <v>52705455.10000001</v>
      </c>
      <c r="Q5" s="56">
        <f t="shared" si="0"/>
        <v>128116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34</v>
      </c>
      <c r="B7" s="60" t="s">
        <v>102</v>
      </c>
      <c r="C7" s="60" t="s">
        <v>50</v>
      </c>
      <c r="D7" s="48">
        <f aca="true" t="shared" si="1" ref="D7:D48">SUM(E7:Q7)</f>
        <v>7549474.93</v>
      </c>
      <c r="E7" s="62">
        <f>5465039.68+1290489.45+793945.8</f>
        <v>7549474.93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8">D7/$D$5</f>
        <v>0.06265441329258947</v>
      </c>
    </row>
    <row r="8" spans="1:18" ht="12.75">
      <c r="A8" s="60" t="s">
        <v>34</v>
      </c>
      <c r="B8" s="60" t="s">
        <v>112</v>
      </c>
      <c r="C8" s="60" t="s">
        <v>53</v>
      </c>
      <c r="D8" s="48">
        <f t="shared" si="1"/>
        <v>3332.7</v>
      </c>
      <c r="E8" s="62">
        <f>3332.7</f>
        <v>3332.7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2.765866038583069E-05</v>
      </c>
    </row>
    <row r="9" spans="1:18" ht="12.75">
      <c r="A9" s="60" t="s">
        <v>35</v>
      </c>
      <c r="B9" s="60" t="s">
        <v>140</v>
      </c>
      <c r="C9" s="60" t="s">
        <v>50</v>
      </c>
      <c r="D9" s="48">
        <f t="shared" si="1"/>
        <v>668855.7699999999</v>
      </c>
      <c r="E9" s="62"/>
      <c r="F9" s="62">
        <f>271847.12+1242.65+320603.41+75162.59</f>
        <v>668855.7699999999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0.0055509510575609215</v>
      </c>
    </row>
    <row r="10" spans="1:18" ht="12.75">
      <c r="A10" s="60" t="s">
        <v>35</v>
      </c>
      <c r="B10" s="60" t="s">
        <v>51</v>
      </c>
      <c r="C10" s="60" t="s">
        <v>55</v>
      </c>
      <c r="D10" s="48">
        <f t="shared" si="1"/>
        <v>207272.78</v>
      </c>
      <c r="E10" s="62"/>
      <c r="F10" s="62">
        <f>207272.78</f>
        <v>207272.78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0.001720193065456537</v>
      </c>
    </row>
    <row r="11" spans="1:18" ht="12.75">
      <c r="A11" s="60" t="s">
        <v>35</v>
      </c>
      <c r="B11" s="60" t="s">
        <v>108</v>
      </c>
      <c r="C11" s="60" t="s">
        <v>53</v>
      </c>
      <c r="D11" s="48">
        <f t="shared" si="1"/>
        <v>390235.72</v>
      </c>
      <c r="E11" s="62"/>
      <c r="F11" s="62">
        <f>353280.72+36955</f>
        <v>390235.72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0.0032386345155279855</v>
      </c>
    </row>
    <row r="12" spans="1:18" ht="12.75">
      <c r="A12" s="60" t="s">
        <v>36</v>
      </c>
      <c r="B12" s="60" t="s">
        <v>54</v>
      </c>
      <c r="C12" s="60" t="s">
        <v>50</v>
      </c>
      <c r="D12" s="48">
        <f t="shared" si="1"/>
        <v>149444.97</v>
      </c>
      <c r="E12" s="62"/>
      <c r="F12" s="62"/>
      <c r="G12" s="62">
        <f>78749.97+70695</f>
        <v>149444.97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0.0012402699527712235</v>
      </c>
    </row>
    <row r="13" spans="1:18" ht="12.75">
      <c r="A13" s="60" t="s">
        <v>36</v>
      </c>
      <c r="B13" s="60" t="s">
        <v>84</v>
      </c>
      <c r="C13" s="60" t="s">
        <v>53</v>
      </c>
      <c r="D13" s="48">
        <f t="shared" si="1"/>
        <v>90000</v>
      </c>
      <c r="E13" s="62"/>
      <c r="F13" s="62"/>
      <c r="G13" s="62">
        <f>90000</f>
        <v>90000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0.0007469257463092275</v>
      </c>
    </row>
    <row r="14" spans="1:18" ht="12.75">
      <c r="A14" s="60" t="s">
        <v>37</v>
      </c>
      <c r="B14" s="60" t="s">
        <v>83</v>
      </c>
      <c r="C14" s="60" t="s">
        <v>50</v>
      </c>
      <c r="D14" s="48">
        <f t="shared" si="1"/>
        <v>82629.26</v>
      </c>
      <c r="E14" s="62"/>
      <c r="F14" s="62"/>
      <c r="G14" s="61"/>
      <c r="H14" s="62">
        <f>35172.5+22176.76+25280</f>
        <v>82629.26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0.000685754685471991</v>
      </c>
    </row>
    <row r="15" spans="1:18" ht="12.75">
      <c r="A15" s="60" t="s">
        <v>38</v>
      </c>
      <c r="B15" s="60" t="s">
        <v>151</v>
      </c>
      <c r="C15" s="60" t="s">
        <v>50</v>
      </c>
      <c r="D15" s="48">
        <f t="shared" si="1"/>
        <v>1473440.1500000001</v>
      </c>
      <c r="E15" s="62"/>
      <c r="F15" s="62"/>
      <c r="G15" s="61"/>
      <c r="H15" s="62"/>
      <c r="I15" s="62">
        <f>9700+376900.74+600591.65+130744.47+355503.29</f>
        <v>1473440.1500000001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0.012228337596452558</v>
      </c>
    </row>
    <row r="16" spans="1:18" ht="12.75">
      <c r="A16" s="60" t="s">
        <v>38</v>
      </c>
      <c r="B16" s="60" t="s">
        <v>100</v>
      </c>
      <c r="C16" s="60" t="s">
        <v>101</v>
      </c>
      <c r="D16" s="48">
        <f t="shared" si="1"/>
        <v>682212</v>
      </c>
      <c r="E16" s="62"/>
      <c r="F16" s="62"/>
      <c r="G16" s="61"/>
      <c r="H16" s="62"/>
      <c r="I16" s="62">
        <f>682212</f>
        <v>682212</v>
      </c>
      <c r="J16" s="61"/>
      <c r="K16" s="61"/>
      <c r="L16" s="61"/>
      <c r="M16" s="61"/>
      <c r="N16" s="61"/>
      <c r="O16" s="61"/>
      <c r="P16" s="61"/>
      <c r="Q16" s="61"/>
      <c r="R16" s="8">
        <f t="shared" si="2"/>
        <v>0.005661796747123452</v>
      </c>
    </row>
    <row r="17" spans="1:18" ht="12.75">
      <c r="A17" s="60" t="s">
        <v>39</v>
      </c>
      <c r="B17" s="60" t="s">
        <v>152</v>
      </c>
      <c r="C17" s="60" t="s">
        <v>50</v>
      </c>
      <c r="D17" s="48">
        <f t="shared" si="1"/>
        <v>326727.49</v>
      </c>
      <c r="E17" s="62"/>
      <c r="F17" s="62"/>
      <c r="G17" s="61"/>
      <c r="H17" s="62"/>
      <c r="I17" s="61"/>
      <c r="J17" s="62">
        <f>74674+155066.67+39424.28+57562.54</f>
        <v>326727.49</v>
      </c>
      <c r="K17" s="62"/>
      <c r="L17" s="61"/>
      <c r="M17" s="61"/>
      <c r="N17" s="61"/>
      <c r="O17" s="61"/>
      <c r="P17" s="61"/>
      <c r="Q17" s="61"/>
      <c r="R17" s="8">
        <f t="shared" si="2"/>
        <v>0.0027115686034221184</v>
      </c>
    </row>
    <row r="18" spans="1:18" ht="12.75">
      <c r="A18" s="60" t="s">
        <v>39</v>
      </c>
      <c r="B18" s="60" t="s">
        <v>84</v>
      </c>
      <c r="C18" s="60" t="s">
        <v>53</v>
      </c>
      <c r="D18" s="48">
        <f t="shared" si="1"/>
        <v>48212</v>
      </c>
      <c r="E18" s="62"/>
      <c r="F18" s="62"/>
      <c r="G18" s="61"/>
      <c r="H18" s="62"/>
      <c r="I18" s="61"/>
      <c r="J18" s="62">
        <f>48212</f>
        <v>48212</v>
      </c>
      <c r="K18" s="62"/>
      <c r="L18" s="61"/>
      <c r="M18" s="61"/>
      <c r="N18" s="61"/>
      <c r="O18" s="61"/>
      <c r="P18" s="61"/>
      <c r="Q18" s="61"/>
      <c r="R18" s="8">
        <f t="shared" si="2"/>
        <v>0.00040011982312289417</v>
      </c>
    </row>
    <row r="19" spans="1:18" ht="12.75">
      <c r="A19" s="60" t="s">
        <v>41</v>
      </c>
      <c r="B19" s="60" t="s">
        <v>153</v>
      </c>
      <c r="C19" s="60" t="s">
        <v>50</v>
      </c>
      <c r="D19" s="48">
        <f t="shared" si="1"/>
        <v>213746.84</v>
      </c>
      <c r="E19" s="62"/>
      <c r="F19" s="62"/>
      <c r="G19" s="61"/>
      <c r="H19" s="62"/>
      <c r="I19" s="61"/>
      <c r="J19" s="62"/>
      <c r="K19" s="62"/>
      <c r="L19" s="62">
        <f>13775+195053.08+4918.76</f>
        <v>213746.84</v>
      </c>
      <c r="M19" s="61"/>
      <c r="N19" s="61"/>
      <c r="O19" s="61"/>
      <c r="P19" s="61"/>
      <c r="Q19" s="61"/>
      <c r="R19" s="8">
        <f t="shared" si="2"/>
        <v>0.001773922422091545</v>
      </c>
    </row>
    <row r="20" spans="1:18" ht="12.75">
      <c r="A20" s="60" t="s">
        <v>41</v>
      </c>
      <c r="B20" s="60" t="s">
        <v>49</v>
      </c>
      <c r="C20" s="60" t="s">
        <v>58</v>
      </c>
      <c r="D20" s="48">
        <f t="shared" si="1"/>
        <v>29432.82</v>
      </c>
      <c r="E20" s="62"/>
      <c r="F20" s="61"/>
      <c r="G20" s="61"/>
      <c r="H20" s="61"/>
      <c r="I20" s="61"/>
      <c r="J20" s="61"/>
      <c r="K20" s="61"/>
      <c r="L20" s="62">
        <f>29432.82</f>
        <v>29432.82</v>
      </c>
      <c r="M20" s="61"/>
      <c r="N20" s="61"/>
      <c r="O20" s="61"/>
      <c r="P20" s="61"/>
      <c r="Q20" s="61"/>
      <c r="R20" s="8">
        <f t="shared" si="2"/>
        <v>0.00024426812271650174</v>
      </c>
    </row>
    <row r="21" spans="1:18" ht="12.75">
      <c r="A21" s="60" t="s">
        <v>42</v>
      </c>
      <c r="B21" s="60" t="s">
        <v>139</v>
      </c>
      <c r="C21" s="60" t="s">
        <v>50</v>
      </c>
      <c r="D21" s="48">
        <f t="shared" si="1"/>
        <v>614082.79</v>
      </c>
      <c r="E21" s="62"/>
      <c r="F21" s="61"/>
      <c r="G21" s="61"/>
      <c r="H21" s="61"/>
      <c r="I21" s="61"/>
      <c r="J21" s="61"/>
      <c r="K21" s="61"/>
      <c r="L21" s="62"/>
      <c r="M21" s="62">
        <f>241560+286501.5+68444.01+17577.28</f>
        <v>614082.79</v>
      </c>
      <c r="N21" s="61"/>
      <c r="O21" s="61"/>
      <c r="P21" s="61"/>
      <c r="Q21" s="61"/>
      <c r="R21" s="8">
        <f t="shared" si="2"/>
        <v>0.005096380513515585</v>
      </c>
    </row>
    <row r="22" spans="1:18" ht="12.75">
      <c r="A22" s="60" t="s">
        <v>42</v>
      </c>
      <c r="B22" s="60" t="s">
        <v>57</v>
      </c>
      <c r="C22" s="60" t="s">
        <v>59</v>
      </c>
      <c r="D22" s="48">
        <f t="shared" si="1"/>
        <v>118957.11</v>
      </c>
      <c r="E22" s="62"/>
      <c r="F22" s="61"/>
      <c r="G22" s="61"/>
      <c r="H22" s="61"/>
      <c r="I22" s="61"/>
      <c r="J22" s="61"/>
      <c r="K22" s="61"/>
      <c r="L22" s="62"/>
      <c r="M22" s="62">
        <f>118957.11</f>
        <v>118957.11</v>
      </c>
      <c r="N22" s="61"/>
      <c r="O22" s="61"/>
      <c r="P22" s="61"/>
      <c r="Q22" s="61"/>
      <c r="R22" s="8">
        <f t="shared" si="2"/>
        <v>0.0009872458685059875</v>
      </c>
    </row>
    <row r="23" spans="1:18" ht="12.75">
      <c r="A23" s="60" t="s">
        <v>42</v>
      </c>
      <c r="B23" s="60" t="s">
        <v>60</v>
      </c>
      <c r="C23" s="60" t="s">
        <v>53</v>
      </c>
      <c r="D23" s="48">
        <f t="shared" si="1"/>
        <v>157373.79</v>
      </c>
      <c r="E23" s="62"/>
      <c r="F23" s="61"/>
      <c r="G23" s="61"/>
      <c r="H23" s="61"/>
      <c r="I23" s="61"/>
      <c r="J23" s="61"/>
      <c r="K23" s="61"/>
      <c r="L23" s="62"/>
      <c r="M23" s="62">
        <f>157373.79</f>
        <v>157373.79</v>
      </c>
      <c r="N23" s="61"/>
      <c r="O23" s="61"/>
      <c r="P23" s="61"/>
      <c r="Q23" s="61"/>
      <c r="R23" s="8">
        <f t="shared" si="2"/>
        <v>0.0013060726171695738</v>
      </c>
    </row>
    <row r="24" spans="1:18" ht="12.75">
      <c r="A24" s="60" t="s">
        <v>43</v>
      </c>
      <c r="B24" s="60" t="s">
        <v>154</v>
      </c>
      <c r="C24" s="60" t="s">
        <v>50</v>
      </c>
      <c r="D24" s="48">
        <f t="shared" si="1"/>
        <v>511589.39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49796.39+149747.86+312045.14</f>
        <v>511589.39</v>
      </c>
      <c r="O24" s="61"/>
      <c r="P24" s="61"/>
      <c r="Q24" s="61"/>
      <c r="R24" s="8">
        <f t="shared" si="2"/>
        <v>0.004245769854773694</v>
      </c>
    </row>
    <row r="25" spans="1:18" ht="12.75">
      <c r="A25" s="60" t="s">
        <v>44</v>
      </c>
      <c r="B25" s="60" t="s">
        <v>155</v>
      </c>
      <c r="C25" s="60" t="s">
        <v>50</v>
      </c>
      <c r="D25" s="48">
        <f t="shared" si="1"/>
        <v>300769.35</v>
      </c>
      <c r="E25" s="62"/>
      <c r="F25" s="61"/>
      <c r="G25" s="61"/>
      <c r="H25" s="61"/>
      <c r="I25" s="61"/>
      <c r="J25" s="61"/>
      <c r="K25" s="61"/>
      <c r="L25" s="62"/>
      <c r="M25" s="62"/>
      <c r="N25" s="62"/>
      <c r="O25" s="62">
        <f>9769.18+287299.5+3700.67</f>
        <v>300769.35</v>
      </c>
      <c r="P25" s="61"/>
      <c r="Q25" s="61"/>
      <c r="R25" s="8">
        <f t="shared" si="2"/>
        <v>0.002496137457952125</v>
      </c>
    </row>
    <row r="26" spans="1:18" ht="12.75">
      <c r="A26" s="60" t="s">
        <v>45</v>
      </c>
      <c r="B26" s="60" t="s">
        <v>138</v>
      </c>
      <c r="C26" s="60" t="s">
        <v>50</v>
      </c>
      <c r="D26" s="48">
        <f t="shared" si="1"/>
        <v>339520.73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1"/>
      <c r="P26" s="62">
        <f>13876.75+322735.38+2483.6+425</f>
        <v>339520.73</v>
      </c>
      <c r="Q26" s="61"/>
      <c r="R26" s="8">
        <f t="shared" si="2"/>
        <v>0.0028177419404744855</v>
      </c>
    </row>
    <row r="27" spans="1:18" ht="12.75">
      <c r="A27" s="60" t="s">
        <v>45</v>
      </c>
      <c r="B27" s="60" t="s">
        <v>111</v>
      </c>
      <c r="C27" s="60" t="s">
        <v>82</v>
      </c>
      <c r="D27" s="48">
        <f t="shared" si="1"/>
        <v>3930914.5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685640.92+936498+2308775.58</f>
        <v>3930914.5</v>
      </c>
      <c r="Q27" s="61"/>
      <c r="R27" s="8">
        <f t="shared" si="2"/>
        <v>0.032623347184336265</v>
      </c>
    </row>
    <row r="28" spans="1:18" ht="12.75">
      <c r="A28" s="60" t="s">
        <v>45</v>
      </c>
      <c r="B28" s="60" t="s">
        <v>51</v>
      </c>
      <c r="C28" s="60" t="s">
        <v>110</v>
      </c>
      <c r="D28" s="48">
        <f t="shared" si="1"/>
        <v>144740.3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144740.3</f>
        <v>144740.3</v>
      </c>
      <c r="Q28" s="61"/>
      <c r="R28" s="8">
        <f t="shared" si="2"/>
        <v>0.0012012250733169053</v>
      </c>
    </row>
    <row r="29" spans="1:19" ht="12.75">
      <c r="A29" s="60" t="s">
        <v>46</v>
      </c>
      <c r="B29" s="60" t="s">
        <v>86</v>
      </c>
      <c r="C29" s="60" t="s">
        <v>50</v>
      </c>
      <c r="D29" s="48">
        <f t="shared" si="1"/>
        <v>128116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/>
      <c r="Q29" s="62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0" t="s">
        <v>34</v>
      </c>
      <c r="B30" s="60" t="s">
        <v>113</v>
      </c>
      <c r="C30" s="60" t="s">
        <v>114</v>
      </c>
      <c r="D30" s="48">
        <f t="shared" si="1"/>
        <v>4618537.79</v>
      </c>
      <c r="E30" s="62">
        <f>4618537.79</f>
        <v>4618537.79</v>
      </c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8">
        <f t="shared" si="1"/>
        <v>8368993.14</v>
      </c>
      <c r="E31" s="48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3" t="s">
        <v>63</v>
      </c>
      <c r="D32" s="48">
        <f t="shared" si="1"/>
        <v>8013935.04</v>
      </c>
      <c r="E32" s="48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3" t="s">
        <v>63</v>
      </c>
      <c r="D33" s="48">
        <f t="shared" si="1"/>
        <v>6743452.4</v>
      </c>
      <c r="E33" s="48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3" t="s">
        <v>142</v>
      </c>
      <c r="D34" s="48">
        <f t="shared" si="1"/>
        <v>478671.86</v>
      </c>
      <c r="F34" s="48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3" t="s">
        <v>156</v>
      </c>
      <c r="D35" s="48">
        <f t="shared" si="1"/>
        <v>43086.69</v>
      </c>
      <c r="F35" s="48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8">
        <f t="shared" si="1"/>
        <v>8816003.06</v>
      </c>
      <c r="I36" s="48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8">
        <f t="shared" si="1"/>
        <v>312.92</v>
      </c>
      <c r="K37" s="48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8">
        <f t="shared" si="1"/>
        <v>11260757.33</v>
      </c>
      <c r="L38" s="48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8">
        <f t="shared" si="1"/>
        <v>26572.5</v>
      </c>
      <c r="M39" s="48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8">
        <f t="shared" si="1"/>
        <v>4721712.95</v>
      </c>
      <c r="O40" s="48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8">
        <f t="shared" si="1"/>
        <v>23833.49</v>
      </c>
      <c r="O41" s="48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8">
        <f t="shared" si="1"/>
        <v>926674.98</v>
      </c>
      <c r="O42" s="48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8">
        <f t="shared" si="1"/>
        <v>493340.12</v>
      </c>
      <c r="P43" s="48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8">
        <f t="shared" si="1"/>
        <v>1607556.62</v>
      </c>
      <c r="P44" s="48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8">
        <f t="shared" si="1"/>
        <v>14150528.64</v>
      </c>
      <c r="P45" s="48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8">
        <f t="shared" si="1"/>
        <v>29296366.57</v>
      </c>
      <c r="P46" s="48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8">
        <f t="shared" si="1"/>
        <v>1300233.84</v>
      </c>
      <c r="P47" s="48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8">
        <f t="shared" si="1"/>
        <v>1442253.78</v>
      </c>
      <c r="P48" s="48">
        <f>1442253.78</f>
        <v>1442253.78</v>
      </c>
      <c r="R48" s="8">
        <f t="shared" si="2"/>
        <v>0.011969516455486716</v>
      </c>
      <c r="S48" s="8"/>
    </row>
    <row r="49" spans="5:18" ht="12.75"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0" spans="2:18" s="8" customFormat="1" ht="13.5" thickBot="1">
      <c r="B50" s="66"/>
      <c r="C50" s="67" t="s">
        <v>81</v>
      </c>
      <c r="D50" s="68">
        <f>SUM(E50:Q50)</f>
        <v>1</v>
      </c>
      <c r="E50" s="69">
        <f>E5/D5</f>
        <v>0.29294200372854023</v>
      </c>
      <c r="F50" s="69">
        <f>F5/D5</f>
        <v>0.014839944131345114</v>
      </c>
      <c r="G50" s="69">
        <f>G5/D5</f>
        <v>0.001987195699080451</v>
      </c>
      <c r="H50" s="69">
        <f>H5/D5</f>
        <v>0.000685754685471991</v>
      </c>
      <c r="I50" s="69">
        <f>I5/D5</f>
        <v>0.09105568617751972</v>
      </c>
      <c r="J50" s="69">
        <f>J5/D5</f>
        <v>0.0031116884265450125</v>
      </c>
      <c r="K50" s="69">
        <f>K5/D5</f>
        <v>2.5969778281675943E-06</v>
      </c>
      <c r="L50" s="69">
        <f>L5/D5</f>
        <v>0.0954731857972231</v>
      </c>
      <c r="M50" s="69">
        <f>M5/D5</f>
        <v>0.007610228825788946</v>
      </c>
      <c r="N50" s="69">
        <f>N5/D5</f>
        <v>0.004245769854773694</v>
      </c>
      <c r="O50" s="69">
        <f>O5/D5</f>
        <v>0.04957089542867085</v>
      </c>
      <c r="P50" s="69">
        <f>P5/D5</f>
        <v>0.43741179316816653</v>
      </c>
      <c r="Q50" s="69">
        <f>Q5/D5</f>
        <v>0.0010632570990461443</v>
      </c>
      <c r="R50" s="69">
        <f>SUM(R6:R49)</f>
        <v>1</v>
      </c>
    </row>
    <row r="51" spans="1:18" s="8" customFormat="1" ht="13.5" thickTop="1">
      <c r="A51" s="70"/>
      <c r="C51" s="6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2019-02-07T14:29:01Z</cp:lastPrinted>
  <dcterms:created xsi:type="dcterms:W3CDTF">2011-02-21T16:49:07Z</dcterms:created>
  <dcterms:modified xsi:type="dcterms:W3CDTF">2019-02-07T14:36:22Z</dcterms:modified>
  <cp:category/>
  <cp:version/>
  <cp:contentType/>
  <cp:contentStatus/>
</cp:coreProperties>
</file>