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708" activeTab="0"/>
  </bookViews>
  <sheets>
    <sheet name="2010C" sheetId="1" r:id="rId1"/>
    <sheet name="2010C Academic" sheetId="2" r:id="rId2"/>
    <sheet name="2011B" sheetId="3" r:id="rId3"/>
    <sheet name="2011B Academic" sheetId="4" r:id="rId4"/>
    <sheet name="Percentage" sheetId="5" r:id="rId5"/>
  </sheets>
  <definedNames>
    <definedName name="_xlnm.Print_Titles" localSheetId="0">'2010C'!$A:$A</definedName>
    <definedName name="_xlnm.Print_Titles" localSheetId="1">'2010C Academic'!$A:$A</definedName>
    <definedName name="_xlnm.Print_Titles" localSheetId="2">'2011B'!$A:$A</definedName>
    <definedName name="_xlnm.Print_Titles" localSheetId="3">'2011B Academic'!$A:$A</definedName>
  </definedNames>
  <calcPr fullCalcOnLoad="1"/>
</workbook>
</file>

<file path=xl/sharedStrings.xml><?xml version="1.0" encoding="utf-8"?>
<sst xmlns="http://schemas.openxmlformats.org/spreadsheetml/2006/main" count="1326" uniqueCount="182">
  <si>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</si>
  <si>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</si>
  <si>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</si>
  <si>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</si>
  <si>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</si>
  <si>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</si>
  <si>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</si>
  <si>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</si>
  <si>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</si>
  <si>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</si>
  <si>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</si>
  <si>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</si>
  <si>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</si>
  <si>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>18th Aux</t>
  </si>
  <si>
    <t xml:space="preserve">  Debt Svc from Earnings and Accrued Interest</t>
  </si>
  <si>
    <t>Stamp Student Union</t>
  </si>
  <si>
    <t>2003 Series A Bonds</t>
  </si>
  <si>
    <t>UMB</t>
  </si>
  <si>
    <t>New Dental School</t>
  </si>
  <si>
    <t>22th Acad</t>
  </si>
  <si>
    <t>UMES</t>
  </si>
  <si>
    <t>Utilities Upgrade/Site Improve</t>
  </si>
  <si>
    <t>CSC</t>
  </si>
  <si>
    <t>Upgrade Utilities/Security Sys</t>
  </si>
  <si>
    <t>Facilities Renewal</t>
  </si>
  <si>
    <t>UMBC</t>
  </si>
  <si>
    <t>UMCES</t>
  </si>
  <si>
    <t>BSU</t>
  </si>
  <si>
    <t>FSU</t>
  </si>
  <si>
    <t>SU</t>
  </si>
  <si>
    <t>TU</t>
  </si>
  <si>
    <t>UB</t>
  </si>
  <si>
    <t>21,22th Acad</t>
  </si>
  <si>
    <t>21th Acad</t>
  </si>
  <si>
    <t>Eqip Information Tech Bldg</t>
  </si>
  <si>
    <t>Aquaculture Building</t>
  </si>
  <si>
    <t>Equip Compton Sci Center</t>
  </si>
  <si>
    <t>Health/Human Service Bldg</t>
  </si>
  <si>
    <t>20th Acad</t>
  </si>
  <si>
    <t>Hornbake/McKeldin Libraries</t>
  </si>
  <si>
    <t>Howard Hall PH IV</t>
  </si>
  <si>
    <t>Social Sci/Education/Health</t>
  </si>
  <si>
    <t>20,21,22th Acad</t>
  </si>
  <si>
    <t>Emergency Fund Projects</t>
  </si>
  <si>
    <t>19,20th Acad</t>
  </si>
  <si>
    <t>19th Acad</t>
  </si>
  <si>
    <t>7800 York Road Renovation</t>
  </si>
  <si>
    <t>19,20,21,22th Acad</t>
  </si>
  <si>
    <t>18th Acad</t>
  </si>
  <si>
    <t>17th Acad</t>
  </si>
  <si>
    <t>Performing Arts Center</t>
  </si>
  <si>
    <t>School of Nursing Equipment</t>
  </si>
  <si>
    <t>School of Law:Marshall Libr</t>
  </si>
  <si>
    <t>15th Acad</t>
  </si>
  <si>
    <t>Steam Plant Improvements</t>
  </si>
  <si>
    <t>17,18,19,20,21,22 Acad</t>
  </si>
  <si>
    <t>22th Aux</t>
  </si>
  <si>
    <t>New Parking Lot</t>
  </si>
  <si>
    <t>Resident Hall Renovations</t>
  </si>
  <si>
    <t>Dining Hall: HVAC Upgrade</t>
  </si>
  <si>
    <t>New Student Center</t>
  </si>
  <si>
    <t>USMO</t>
  </si>
  <si>
    <t>21th Aux</t>
  </si>
  <si>
    <t>Health Center Addition/Renov</t>
  </si>
  <si>
    <t>Queen Anne's Hall Renovation</t>
  </si>
  <si>
    <t>New Campus Center Bldg</t>
  </si>
  <si>
    <t>New Recreation &amp; Athletic Fac</t>
  </si>
  <si>
    <t>UMUC</t>
  </si>
  <si>
    <t>Hotel Addition at Inn &amp; Conference</t>
  </si>
  <si>
    <t>Land Acquisition at Shady Grove Parking</t>
  </si>
  <si>
    <t>20th Aux</t>
  </si>
  <si>
    <t>South Campus Parking Garage #5</t>
  </si>
  <si>
    <t>Saratoga Street Garage</t>
  </si>
  <si>
    <t>Murphy Hall Annex Renovation</t>
  </si>
  <si>
    <t>New Dining Hall</t>
  </si>
  <si>
    <t>Prettyman/Scarborough HVAC/Fire Protection</t>
  </si>
  <si>
    <t>Interim Fitness Center</t>
  </si>
  <si>
    <t>20,22th Aux</t>
  </si>
  <si>
    <t>19th Aux</t>
  </si>
  <si>
    <t>Housing Cetral Utility Plant</t>
  </si>
  <si>
    <t>7800 York Road Garage</t>
  </si>
  <si>
    <t>North Campus Parking Garage #4</t>
  </si>
  <si>
    <t>New Residence Hall</t>
  </si>
  <si>
    <t>16th Aux</t>
  </si>
  <si>
    <t>Student Service Center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</si>
  <si>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</si>
  <si>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</si>
  <si>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</si>
  <si>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</si>
  <si>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</si>
  <si>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</si>
  <si>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</si>
  <si>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</si>
  <si>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</si>
  <si>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</si>
  <si>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</si>
  <si>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</si>
  <si>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</si>
  <si>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</si>
  <si>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</si>
  <si>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</si>
  <si>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</si>
  <si>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</si>
  <si>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</si>
  <si>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</si>
  <si>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</si>
  <si>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</si>
  <si>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</si>
  <si>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</si>
  <si>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</si>
  <si>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</si>
  <si>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</si>
  <si>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</si>
  <si>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</si>
  <si>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</si>
  <si>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</si>
  <si>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</si>
  <si>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</si>
  <si>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</si>
  <si>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</si>
  <si>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</si>
  <si>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</si>
  <si>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</si>
  <si>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</si>
  <si>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</si>
  <si>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</si>
  <si>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</si>
  <si>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</si>
  <si>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</si>
  <si>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</si>
  <si>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</si>
  <si>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</si>
  <si>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</si>
  <si>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</si>
  <si>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</si>
  <si>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</si>
  <si>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</si>
  <si>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</si>
  <si>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>Engineering/Applied Sciences Building</t>
  </si>
  <si>
    <t>Temporary Building #2/Pine Street Annex</t>
  </si>
  <si>
    <t>Par Amount</t>
  </si>
  <si>
    <t>Net Premium/OID</t>
  </si>
  <si>
    <t xml:space="preserve"> UMCP Engineering/Applied Sci Bldg (Academic)</t>
  </si>
  <si>
    <t>Shady Grove Parking Lot 2</t>
  </si>
  <si>
    <t xml:space="preserve">  USMO Shady Grove Parking Lot 2 (Auxiliary)</t>
  </si>
  <si>
    <t>22, 24th Acad</t>
  </si>
  <si>
    <t>Chemical/Nuclear Engineering</t>
  </si>
  <si>
    <t>15,17,18,19,20,21,22,24 Acad</t>
  </si>
  <si>
    <t>18,19,20,21,22, 24th Acad</t>
  </si>
  <si>
    <t>19,21,22th Acad</t>
  </si>
  <si>
    <t>USM</t>
  </si>
  <si>
    <t>15, 19th Acad</t>
  </si>
  <si>
    <t>21, 22th Aux</t>
  </si>
  <si>
    <t>21,22,24th Aux</t>
  </si>
  <si>
    <t>18,21,22,24th Acad</t>
  </si>
  <si>
    <t>19,20,21,22,24th Acad</t>
  </si>
  <si>
    <t>cost of issue</t>
  </si>
  <si>
    <t>disbursement</t>
  </si>
  <si>
    <t>pay debt service from earning</t>
  </si>
  <si>
    <t>Interest Earning in FY04</t>
  </si>
  <si>
    <t>Interest Earning in FY05</t>
  </si>
  <si>
    <t>Different</t>
  </si>
  <si>
    <t>Different transfer from 2003B</t>
  </si>
  <si>
    <t>Different transfer from 2004B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</si>
  <si>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</si>
  <si>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</si>
  <si>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</si>
  <si>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17,18,19th Acad</t>
  </si>
  <si>
    <t>Amort of</t>
  </si>
  <si>
    <t>Premium</t>
  </si>
  <si>
    <t>Loss on Refunding</t>
  </si>
  <si>
    <t xml:space="preserve">                University System of Maryland</t>
  </si>
  <si>
    <t xml:space="preserve">            2003 Series A Bond Funded Projects</t>
  </si>
  <si>
    <t xml:space="preserve">Amort of </t>
  </si>
  <si>
    <t xml:space="preserve">  USM (Paid off by UMUC) (Auxiliary)</t>
  </si>
  <si>
    <t>Distribution of Debt Services after 2010C Bond Issue</t>
  </si>
  <si>
    <t>Revised 2003A debt after 2010C</t>
  </si>
  <si>
    <t>2003A Refinanced on 2010C</t>
  </si>
  <si>
    <t>Distribution of Debt Services after 2011B Bond Issue</t>
  </si>
  <si>
    <t>Revised 2003A debt after 2011B</t>
  </si>
  <si>
    <t>2003A Refinanced on 2011B</t>
  </si>
  <si>
    <t>Gain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</si>
</sst>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38" fontId="0" fillId="0" borderId="13" xfId="0" applyNumberFormat="1" applyBorder="1" applyAlignment="1">
      <alignment/>
    </xf>
    <xf numFmtId="172" fontId="0" fillId="0" borderId="20" xfId="0" applyNumberFormat="1" applyBorder="1" applyAlignment="1">
      <alignment/>
    </xf>
    <xf numFmtId="175" fontId="0" fillId="0" borderId="15" xfId="0" applyNumberFormat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33" borderId="10" xfId="0" applyNumberFormat="1" applyFill="1" applyBorder="1" applyAlignment="1">
      <alignment horizontal="centerContinuous"/>
    </xf>
    <xf numFmtId="38" fontId="0" fillId="33" borderId="15" xfId="0" applyNumberFormat="1" applyFill="1" applyBorder="1" applyAlignment="1">
      <alignment horizontal="centerContinuous"/>
    </xf>
    <xf numFmtId="38" fontId="0" fillId="33" borderId="16" xfId="0" applyNumberFormat="1" applyFill="1" applyBorder="1" applyAlignment="1">
      <alignment horizontal="centerContinuous"/>
    </xf>
    <xf numFmtId="38" fontId="0" fillId="0" borderId="10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33" borderId="10" xfId="0" applyNumberFormat="1" applyFill="1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38" fontId="0" fillId="0" borderId="17" xfId="0" applyNumberFormat="1" applyBorder="1" applyAlignment="1">
      <alignment horizontal="center"/>
    </xf>
    <xf numFmtId="38" fontId="41" fillId="0" borderId="18" xfId="0" applyNumberFormat="1" applyFont="1" applyBorder="1" applyAlignment="1">
      <alignment horizontal="center"/>
    </xf>
    <xf numFmtId="38" fontId="4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59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9" sqref="D1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175</v>
      </c>
      <c r="G2" s="45"/>
      <c r="H2" s="45"/>
      <c r="I2" s="36"/>
      <c r="K2" s="45"/>
      <c r="O2" s="43" t="str">
        <f>E2</f>
        <v>Distribution of Debt Services after 2010C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2010C Bond Issue</v>
      </c>
      <c r="AB2" s="33"/>
      <c r="AC2" s="33"/>
      <c r="AD2" s="33"/>
      <c r="AH2" s="33"/>
      <c r="AI2" s="45"/>
      <c r="AM2" s="43" t="str">
        <f>AA2</f>
        <v>Distribution of Debt Services after 2010C Bond Issue</v>
      </c>
      <c r="AR2"/>
      <c r="AS2"/>
      <c r="AT2"/>
      <c r="AU2" s="45"/>
      <c r="AV2"/>
      <c r="AW2"/>
      <c r="AY2" s="43" t="str">
        <f>AM2</f>
        <v>Distribution of Debt Services after 2010C Bond Issue</v>
      </c>
      <c r="BG2" s="45"/>
      <c r="BK2" s="43" t="str">
        <f>AY2</f>
        <v>Distribution of Debt Services after 2010C Bond Issue</v>
      </c>
      <c r="BS2" s="45"/>
      <c r="BW2" s="43" t="str">
        <f>BK2</f>
        <v>Distribution of Debt Services after 2010C Bond Issue</v>
      </c>
      <c r="CE2" s="45"/>
      <c r="CI2" s="43" t="str">
        <f>BW2</f>
        <v>Distribution of Debt Services after 2010C Bond Issue</v>
      </c>
      <c r="CQ2" s="45"/>
      <c r="CU2" s="43" t="str">
        <f>CI2</f>
        <v>Distribution of Debt Services after 2010C Bond Issue</v>
      </c>
      <c r="DC2" s="45"/>
      <c r="DG2" s="43" t="str">
        <f>CU2</f>
        <v>Distribution of Debt Services after 2010C Bond Issue</v>
      </c>
      <c r="DM2" s="20"/>
      <c r="DN2" s="20"/>
      <c r="DO2" s="45"/>
      <c r="DP2" s="20"/>
      <c r="DQ2" s="20"/>
      <c r="DS2" s="43" t="str">
        <f>DG2</f>
        <v>Distribution of Debt Services after 2010C Bond Issue</v>
      </c>
      <c r="EA2" s="45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172</v>
      </c>
      <c r="AB3" s="33"/>
      <c r="AC3" s="33"/>
      <c r="AD3" s="33"/>
      <c r="AF3" s="12"/>
      <c r="AH3" s="33"/>
      <c r="AI3" s="45"/>
      <c r="AM3" s="45" t="s">
        <v>172</v>
      </c>
      <c r="AR3"/>
      <c r="AS3"/>
      <c r="AT3"/>
      <c r="AU3" s="45"/>
      <c r="AV3"/>
      <c r="AW3"/>
      <c r="AY3" s="45" t="s">
        <v>172</v>
      </c>
      <c r="BG3" s="45"/>
      <c r="BK3" s="45" t="s">
        <v>172</v>
      </c>
      <c r="BS3" s="45"/>
      <c r="BW3" s="45" t="s">
        <v>172</v>
      </c>
      <c r="CE3" s="45"/>
      <c r="CI3" s="45" t="s">
        <v>172</v>
      </c>
      <c r="CQ3" s="45"/>
      <c r="CU3" s="45" t="s">
        <v>172</v>
      </c>
      <c r="DC3" s="45"/>
      <c r="DG3" s="45" t="s">
        <v>172</v>
      </c>
      <c r="DM3" s="20"/>
      <c r="DN3" s="20"/>
      <c r="DO3" s="45"/>
      <c r="DP3" s="20"/>
      <c r="DQ3" s="20"/>
      <c r="DS3" s="45" t="s">
        <v>172</v>
      </c>
      <c r="EA3" s="45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176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174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177</v>
      </c>
      <c r="D6" s="74"/>
      <c r="E6" s="75"/>
      <c r="F6" s="41" t="s">
        <v>168</v>
      </c>
      <c r="G6" s="41" t="s">
        <v>173</v>
      </c>
      <c r="H6" s="33"/>
      <c r="I6" s="40"/>
      <c r="J6" s="67">
        <v>0.5428259</v>
      </c>
      <c r="K6" s="39"/>
      <c r="L6" s="41" t="s">
        <v>168</v>
      </c>
      <c r="M6" s="41" t="s">
        <v>173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173</v>
      </c>
      <c r="T6" s="33"/>
      <c r="U6" s="47"/>
      <c r="V6" s="32">
        <v>0.081724</v>
      </c>
      <c r="W6" s="48"/>
      <c r="X6" s="41" t="s">
        <v>168</v>
      </c>
      <c r="Y6" s="41" t="s">
        <v>173</v>
      </c>
      <c r="AA6" s="47"/>
      <c r="AB6" s="32">
        <v>0.0595646</v>
      </c>
      <c r="AC6" s="48"/>
      <c r="AD6" s="41" t="s">
        <v>168</v>
      </c>
      <c r="AE6" s="41" t="s">
        <v>173</v>
      </c>
      <c r="AG6" s="47"/>
      <c r="AH6" s="32">
        <v>0.0315804</v>
      </c>
      <c r="AI6" s="48"/>
      <c r="AJ6" s="41" t="s">
        <v>168</v>
      </c>
      <c r="AK6" s="41" t="s">
        <v>173</v>
      </c>
      <c r="AM6" s="47"/>
      <c r="AN6" s="32">
        <v>0.022968</v>
      </c>
      <c r="AO6" s="48"/>
      <c r="AP6" s="41" t="s">
        <v>168</v>
      </c>
      <c r="AQ6" s="41" t="s">
        <v>173</v>
      </c>
      <c r="AS6" s="47"/>
      <c r="AT6" s="32">
        <v>0.0026309</v>
      </c>
      <c r="AU6" s="48"/>
      <c r="AV6" s="41" t="s">
        <v>168</v>
      </c>
      <c r="AW6" s="41" t="s">
        <v>173</v>
      </c>
      <c r="AY6" s="47"/>
      <c r="AZ6" s="32">
        <v>0.0416229</v>
      </c>
      <c r="BA6" s="48"/>
      <c r="BB6" s="41" t="s">
        <v>168</v>
      </c>
      <c r="BC6" s="41" t="s">
        <v>173</v>
      </c>
      <c r="BE6" s="47"/>
      <c r="BF6" s="32">
        <v>0.0045121</v>
      </c>
      <c r="BG6" s="48"/>
      <c r="BH6" s="41" t="s">
        <v>168</v>
      </c>
      <c r="BI6" s="41" t="s">
        <v>173</v>
      </c>
      <c r="BK6" s="47"/>
      <c r="BL6" s="32">
        <v>0.0141147</v>
      </c>
      <c r="BM6" s="48"/>
      <c r="BN6" s="41" t="s">
        <v>168</v>
      </c>
      <c r="BO6" s="41" t="s">
        <v>173</v>
      </c>
      <c r="BQ6" s="47"/>
      <c r="BR6" s="32">
        <v>0.0071579</v>
      </c>
      <c r="BS6" s="48"/>
      <c r="BT6" s="41" t="s">
        <v>168</v>
      </c>
      <c r="BU6" s="41" t="s">
        <v>173</v>
      </c>
      <c r="BW6" s="47"/>
      <c r="BX6" s="32">
        <v>0.0013901</v>
      </c>
      <c r="BY6" s="48"/>
      <c r="BZ6" s="41" t="s">
        <v>168</v>
      </c>
      <c r="CA6" s="41" t="s">
        <v>173</v>
      </c>
      <c r="CC6" s="47"/>
      <c r="CD6" s="32">
        <v>0.0055234</v>
      </c>
      <c r="CE6" s="48"/>
      <c r="CF6" s="41" t="s">
        <v>168</v>
      </c>
      <c r="CG6" s="41" t="s">
        <v>173</v>
      </c>
      <c r="CI6" s="47"/>
      <c r="CJ6" s="32">
        <v>0.0134713</v>
      </c>
      <c r="CK6" s="48"/>
      <c r="CL6" s="41" t="s">
        <v>168</v>
      </c>
      <c r="CM6" s="41" t="s">
        <v>173</v>
      </c>
      <c r="CO6" s="47"/>
      <c r="CP6" s="32">
        <v>0.0301524</v>
      </c>
      <c r="CQ6" s="48"/>
      <c r="CR6" s="41" t="s">
        <v>168</v>
      </c>
      <c r="CS6" s="41" t="s">
        <v>173</v>
      </c>
      <c r="CU6" s="47"/>
      <c r="CV6" s="32">
        <v>0.0045619</v>
      </c>
      <c r="CW6" s="48"/>
      <c r="CX6" s="41" t="s">
        <v>168</v>
      </c>
      <c r="CY6" s="41" t="s">
        <v>173</v>
      </c>
      <c r="DA6" s="47"/>
      <c r="DB6" s="32">
        <v>0.0131079</v>
      </c>
      <c r="DC6" s="48"/>
      <c r="DD6" s="41" t="s">
        <v>168</v>
      </c>
      <c r="DE6" s="41" t="s">
        <v>173</v>
      </c>
      <c r="DG6" s="47"/>
      <c r="DH6" s="32">
        <v>0.0005051</v>
      </c>
      <c r="DI6" s="48"/>
      <c r="DJ6" s="41" t="s">
        <v>168</v>
      </c>
      <c r="DK6" s="41" t="s">
        <v>173</v>
      </c>
      <c r="DM6" s="86"/>
      <c r="DN6" s="87">
        <v>0.0276518</v>
      </c>
      <c r="DO6" s="88"/>
      <c r="DP6" s="85" t="s">
        <v>168</v>
      </c>
      <c r="DQ6" s="85" t="s">
        <v>173</v>
      </c>
      <c r="DS6" s="47"/>
      <c r="DT6" s="32">
        <v>0.0043534</v>
      </c>
      <c r="DU6" s="48"/>
      <c r="DV6" s="41" t="s">
        <v>168</v>
      </c>
      <c r="DW6" s="41" t="s">
        <v>173</v>
      </c>
      <c r="DY6" s="47"/>
      <c r="DZ6" s="32">
        <v>0.0224029</v>
      </c>
      <c r="EA6" s="48"/>
      <c r="EB6" s="41" t="s">
        <v>168</v>
      </c>
      <c r="EC6" s="41" t="s">
        <v>173</v>
      </c>
      <c r="EE6" s="47"/>
      <c r="EF6" s="32">
        <v>0.0063958</v>
      </c>
      <c r="EG6" s="48"/>
      <c r="EH6" s="41" t="s">
        <v>168</v>
      </c>
      <c r="EI6" s="41" t="s">
        <v>173</v>
      </c>
      <c r="EK6" s="47"/>
      <c r="EL6" s="32">
        <v>6.42E-05</v>
      </c>
      <c r="EM6" s="48"/>
      <c r="EN6" s="41" t="s">
        <v>168</v>
      </c>
      <c r="EO6" s="41" t="s">
        <v>173</v>
      </c>
      <c r="EQ6" s="47"/>
      <c r="ER6" s="32">
        <v>0.0001192</v>
      </c>
      <c r="ES6" s="48"/>
      <c r="ET6" s="41" t="s">
        <v>168</v>
      </c>
      <c r="EU6" s="41" t="s">
        <v>173</v>
      </c>
      <c r="EW6" s="47"/>
      <c r="EX6" s="32">
        <v>0.0215476</v>
      </c>
      <c r="EY6" s="48"/>
      <c r="EZ6" s="41" t="s">
        <v>168</v>
      </c>
      <c r="FA6" s="41" t="s">
        <v>173</v>
      </c>
      <c r="FC6" s="47"/>
      <c r="FD6" s="32">
        <v>0.0400516</v>
      </c>
      <c r="FE6" s="48"/>
      <c r="FF6" s="41" t="s">
        <v>168</v>
      </c>
      <c r="FG6" s="41" t="s">
        <v>173</v>
      </c>
      <c r="FI6" s="47"/>
      <c r="FJ6" s="32"/>
      <c r="FK6" s="48"/>
      <c r="FL6" s="41" t="s">
        <v>168</v>
      </c>
      <c r="FM6" s="41" t="s">
        <v>173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s="52" customFormat="1" ht="12.75">
      <c r="A8" s="51">
        <v>43739</v>
      </c>
      <c r="C8" s="42"/>
      <c r="D8" s="42">
        <v>236800</v>
      </c>
      <c r="E8" s="77">
        <f aca="true" t="shared" si="0" ref="E8:E17">C8+D8</f>
        <v>236800</v>
      </c>
      <c r="F8" s="77">
        <v>110239</v>
      </c>
      <c r="G8" s="77">
        <v>6590</v>
      </c>
      <c r="H8" s="79"/>
      <c r="I8" s="79">
        <f>'2010C Academic'!I8</f>
        <v>0</v>
      </c>
      <c r="J8" s="79">
        <f>'2010C Academic'!J8</f>
        <v>128541.17312</v>
      </c>
      <c r="K8" s="79">
        <f aca="true" t="shared" si="1" ref="K8:K17">I8+J8</f>
        <v>128541.17312</v>
      </c>
      <c r="L8" s="79">
        <f>'2010C Academic'!L8</f>
        <v>59840.5843901</v>
      </c>
      <c r="M8" s="79">
        <f>'2010C Academic'!M8</f>
        <v>3577.2226809999993</v>
      </c>
      <c r="N8" s="79"/>
      <c r="O8" s="78">
        <f aca="true" t="shared" si="2" ref="O8:P17">U8+AA8+AG8+AM8+AS8+AY8+BE8+BK8+BQ8+BW8+CC8+CI8+CO8+CU8+DA8+DG8+DM8+DS8+DY8+EE8+EK8+EQ8+EW8+FC8</f>
        <v>0</v>
      </c>
      <c r="P8" s="80">
        <f t="shared" si="2"/>
        <v>108258.82688000001</v>
      </c>
      <c r="Q8" s="78">
        <f aca="true" t="shared" si="3" ref="Q8:Q17">O8+P8</f>
        <v>108258.82688000001</v>
      </c>
      <c r="R8" s="78">
        <f aca="true" t="shared" si="4" ref="R8:S17">X8+AD8+AJ8+AP8+AV8+BB8+BH8+BN8+BT8+BZ8+CF8+CL8+CR8+CX8+DD8+DJ8+DP8+DV8+EB8+EH8+EN8+ET8+EZ8+FF8+FL8</f>
        <v>50398.41560990002</v>
      </c>
      <c r="S8" s="78">
        <f t="shared" si="4"/>
        <v>3012.7773190000007</v>
      </c>
      <c r="T8" s="79"/>
      <c r="U8" s="78"/>
      <c r="V8" s="77">
        <f aca="true" t="shared" si="5" ref="V8:V17">D8*8.1724/100</f>
        <v>19352.243199999997</v>
      </c>
      <c r="W8" s="78">
        <f aca="true" t="shared" si="6" ref="W8:W17">U8+V8</f>
        <v>19352.243199999997</v>
      </c>
      <c r="X8" s="78">
        <f aca="true" t="shared" si="7" ref="X8:X17">V$6*$F8</f>
        <v>9009.172036</v>
      </c>
      <c r="Y8" s="77">
        <f aca="true" t="shared" si="8" ref="Y8:Y17">V$6*$G8</f>
        <v>538.5611600000001</v>
      </c>
      <c r="Z8" s="79"/>
      <c r="AA8" s="78"/>
      <c r="AB8" s="78">
        <f aca="true" t="shared" si="9" ref="AB8:AB17">D8*5.95646/100</f>
        <v>14104.89728</v>
      </c>
      <c r="AC8" s="78">
        <f aca="true" t="shared" si="10" ref="AC8:AC17">AA8+AB8</f>
        <v>14104.89728</v>
      </c>
      <c r="AD8" s="78">
        <f aca="true" t="shared" si="11" ref="AD8:AD17">AB$6*$F8</f>
        <v>6566.3419394</v>
      </c>
      <c r="AE8" s="77">
        <f aca="true" t="shared" si="12" ref="AE8:AE17">AB$6*$G8</f>
        <v>392.530714</v>
      </c>
      <c r="AF8" s="79"/>
      <c r="AG8" s="78"/>
      <c r="AH8" s="78">
        <f aca="true" t="shared" si="13" ref="AH8:AH17">D8*3.15804/100</f>
        <v>7478.238720000001</v>
      </c>
      <c r="AI8" s="78">
        <f aca="true" t="shared" si="14" ref="AI8:AI17">AG8+AH8</f>
        <v>7478.238720000001</v>
      </c>
      <c r="AJ8" s="78">
        <f aca="true" t="shared" si="15" ref="AJ8:AJ17">AH$6*$F8</f>
        <v>3481.3917156</v>
      </c>
      <c r="AK8" s="77">
        <f aca="true" t="shared" si="16" ref="AK8:AK17">AH$6*$G8</f>
        <v>208.114836</v>
      </c>
      <c r="AL8" s="79"/>
      <c r="AM8" s="78"/>
      <c r="AN8" s="78">
        <f aca="true" t="shared" si="17" ref="AN8:AN17">D8*2.2968/100</f>
        <v>5438.8224</v>
      </c>
      <c r="AO8" s="78">
        <f aca="true" t="shared" si="18" ref="AO8:AO17">AM8+AN8</f>
        <v>5438.8224</v>
      </c>
      <c r="AP8" s="78">
        <f aca="true" t="shared" si="19" ref="AP8:AP17">AN$6*$F8</f>
        <v>2531.969352</v>
      </c>
      <c r="AQ8" s="77">
        <f aca="true" t="shared" si="20" ref="AQ8:AQ17">AN$6*$G8</f>
        <v>151.35912</v>
      </c>
      <c r="AR8" s="79"/>
      <c r="AS8" s="78"/>
      <c r="AT8" s="78">
        <f aca="true" t="shared" si="21" ref="AT8:AT17">D8*0.26309/100</f>
        <v>622.99712</v>
      </c>
      <c r="AU8" s="78">
        <f aca="true" t="shared" si="22" ref="AU8:AU17">AS8+AT8</f>
        <v>622.99712</v>
      </c>
      <c r="AV8" s="78">
        <f aca="true" t="shared" si="23" ref="AV8:AV17">AT$6*$F8</f>
        <v>290.02778509999996</v>
      </c>
      <c r="AW8" s="77">
        <f aca="true" t="shared" si="24" ref="AW8:AW17">AT$6*$G8</f>
        <v>17.337631</v>
      </c>
      <c r="AX8" s="79"/>
      <c r="AY8" s="78"/>
      <c r="AZ8" s="78">
        <f aca="true" t="shared" si="25" ref="AZ8:AZ17">D8*4.16229/100</f>
        <v>9856.30272</v>
      </c>
      <c r="BA8" s="78">
        <f aca="true" t="shared" si="26" ref="BA8:BA17">AY8+AZ8</f>
        <v>9856.30272</v>
      </c>
      <c r="BB8" s="78">
        <f aca="true" t="shared" si="27" ref="BB8:BB17">AZ$6*$F8</f>
        <v>4588.4668731</v>
      </c>
      <c r="BC8" s="77">
        <f aca="true" t="shared" si="28" ref="BC8:BC17">AZ$6*$G8</f>
        <v>274.29491099999996</v>
      </c>
      <c r="BD8" s="79"/>
      <c r="BE8" s="78"/>
      <c r="BF8" s="78">
        <f aca="true" t="shared" si="29" ref="BF8:BF17">D8*0.45121/100</f>
        <v>1068.4652800000001</v>
      </c>
      <c r="BG8" s="78">
        <f aca="true" t="shared" si="30" ref="BG8:BG17">BE8+BF8</f>
        <v>1068.4652800000001</v>
      </c>
      <c r="BH8" s="78">
        <f aca="true" t="shared" si="31" ref="BH8:BH17">BF$6*$F8</f>
        <v>497.4093919</v>
      </c>
      <c r="BI8" s="77">
        <f aca="true" t="shared" si="32" ref="BI8:BI17">BF$6*$G8</f>
        <v>29.734738999999998</v>
      </c>
      <c r="BJ8" s="79"/>
      <c r="BK8" s="78"/>
      <c r="BL8" s="78">
        <f aca="true" t="shared" si="33" ref="BL8:BL17">D8*1.41147/100</f>
        <v>3342.36096</v>
      </c>
      <c r="BM8" s="78">
        <f aca="true" t="shared" si="34" ref="BM8:BM17">BK8+BL8</f>
        <v>3342.36096</v>
      </c>
      <c r="BN8" s="78">
        <f aca="true" t="shared" si="35" ref="BN8:BN17">BL$6*$F8</f>
        <v>1555.9904133</v>
      </c>
      <c r="BO8" s="77">
        <f aca="true" t="shared" si="36" ref="BO8:BO17">BL$6*$G8</f>
        <v>93.015873</v>
      </c>
      <c r="BP8" s="79"/>
      <c r="BQ8" s="78"/>
      <c r="BR8" s="78">
        <f aca="true" t="shared" si="37" ref="BR8:BR17">D8*0.71579/100</f>
        <v>1694.9907200000002</v>
      </c>
      <c r="BS8" s="78">
        <f aca="true" t="shared" si="38" ref="BS8:BS17">BQ8+BR8</f>
        <v>1694.9907200000002</v>
      </c>
      <c r="BT8" s="78">
        <f aca="true" t="shared" si="39" ref="BT8:BT17">BR$6*$F8</f>
        <v>789.0797381</v>
      </c>
      <c r="BU8" s="77">
        <f aca="true" t="shared" si="40" ref="BU8:BU17">BR$6*$G8</f>
        <v>47.170561</v>
      </c>
      <c r="BV8" s="79"/>
      <c r="BW8" s="78"/>
      <c r="BX8" s="78">
        <f aca="true" t="shared" si="41" ref="BX8:BX17">D8*0.13901/100</f>
        <v>329.17568</v>
      </c>
      <c r="BY8" s="78">
        <f aca="true" t="shared" si="42" ref="BY8:BY17">BW8+BX8</f>
        <v>329.17568</v>
      </c>
      <c r="BZ8" s="78">
        <f aca="true" t="shared" si="43" ref="BZ8:BZ17">BX$6*$F8</f>
        <v>153.2432339</v>
      </c>
      <c r="CA8" s="77">
        <f aca="true" t="shared" si="44" ref="CA8:CA17">BX$6*$G8</f>
        <v>9.160759</v>
      </c>
      <c r="CB8" s="79"/>
      <c r="CC8" s="78"/>
      <c r="CD8" s="78">
        <f aca="true" t="shared" si="45" ref="CD8:CD17">D8*0.55234/100</f>
        <v>1307.9411200000002</v>
      </c>
      <c r="CE8" s="78">
        <f aca="true" t="shared" si="46" ref="CE8:CE17">CC8+CD8</f>
        <v>1307.9411200000002</v>
      </c>
      <c r="CF8" s="78">
        <f aca="true" t="shared" si="47" ref="CF8:CF17">CD$6*$F8</f>
        <v>608.8940926</v>
      </c>
      <c r="CG8" s="77">
        <f aca="true" t="shared" si="48" ref="CG8:CG17">CD$6*$G8</f>
        <v>36.399206</v>
      </c>
      <c r="CH8" s="79"/>
      <c r="CI8" s="78"/>
      <c r="CJ8" s="78">
        <f aca="true" t="shared" si="49" ref="CJ8:CJ17">D8*1.34713/100</f>
        <v>3190.0038399999994</v>
      </c>
      <c r="CK8" s="78">
        <f aca="true" t="shared" si="50" ref="CK8:CK17">CI8+CJ8</f>
        <v>3190.0038399999994</v>
      </c>
      <c r="CL8" s="78">
        <f aca="true" t="shared" si="51" ref="CL8:CL17">CJ$6*$F8</f>
        <v>1485.0626407</v>
      </c>
      <c r="CM8" s="77">
        <f aca="true" t="shared" si="52" ref="CM8:CM17">CJ$6*$G8</f>
        <v>88.775867</v>
      </c>
      <c r="CN8" s="79"/>
      <c r="CO8" s="78"/>
      <c r="CP8" s="78">
        <f aca="true" t="shared" si="53" ref="CP8:CP17">D8*3.01524/100</f>
        <v>7140.088319999999</v>
      </c>
      <c r="CQ8" s="78">
        <f aca="true" t="shared" si="54" ref="CQ8:CQ17">CO8+CP8</f>
        <v>7140.088319999999</v>
      </c>
      <c r="CR8" s="78">
        <f aca="true" t="shared" si="55" ref="CR8:CR17">CP$6*$F8</f>
        <v>3323.9704236</v>
      </c>
      <c r="CS8" s="77">
        <f aca="true" t="shared" si="56" ref="CS8:CS17">CP$6*$G8</f>
        <v>198.704316</v>
      </c>
      <c r="CT8" s="79"/>
      <c r="CU8" s="78"/>
      <c r="CV8" s="78">
        <f aca="true" t="shared" si="57" ref="CV8:CV17">D8*0.45619/100</f>
        <v>1080.25792</v>
      </c>
      <c r="CW8" s="78">
        <f aca="true" t="shared" si="58" ref="CW8:CW17">CU8+CV8</f>
        <v>1080.25792</v>
      </c>
      <c r="CX8" s="78">
        <f aca="true" t="shared" si="59" ref="CX8:CX17">CV$6*$F8</f>
        <v>502.89929409999996</v>
      </c>
      <c r="CY8" s="77">
        <f aca="true" t="shared" si="60" ref="CY8:CY17">CV$6*$G8</f>
        <v>30.062921</v>
      </c>
      <c r="CZ8" s="79"/>
      <c r="DA8" s="78"/>
      <c r="DB8" s="78">
        <f aca="true" t="shared" si="61" ref="DB8:DB17">D8*1.31079/100</f>
        <v>3103.95072</v>
      </c>
      <c r="DC8" s="78">
        <f aca="true" t="shared" si="62" ref="DC8:DC17">DA8+DB8</f>
        <v>3103.95072</v>
      </c>
      <c r="DD8" s="78">
        <f aca="true" t="shared" si="63" ref="DD8:DD17">DB$6*$F8</f>
        <v>1445.0017881</v>
      </c>
      <c r="DE8" s="77">
        <f aca="true" t="shared" si="64" ref="DE8:DE17">DB$6*$G8</f>
        <v>86.381061</v>
      </c>
      <c r="DF8" s="79"/>
      <c r="DG8" s="78"/>
      <c r="DH8" s="78">
        <f aca="true" t="shared" si="65" ref="DH8:DH17">D8*0.05051/100</f>
        <v>119.60768</v>
      </c>
      <c r="DI8" s="78">
        <f aca="true" t="shared" si="66" ref="DI8:DI17">DG8+DH8</f>
        <v>119.60768</v>
      </c>
      <c r="DJ8" s="78">
        <f aca="true" t="shared" si="67" ref="DJ8:DJ17">DH$6*$F8</f>
        <v>55.6817189</v>
      </c>
      <c r="DK8" s="77">
        <f aca="true" t="shared" si="68" ref="DK8:DK17">DH$6*$G8</f>
        <v>3.3286089999999997</v>
      </c>
      <c r="DL8" s="79"/>
      <c r="DM8" s="90"/>
      <c r="DN8" s="90">
        <f aca="true" t="shared" si="69" ref="DN8:DN17">D8*2.76518/100</f>
        <v>6547.946239999999</v>
      </c>
      <c r="DO8" s="90">
        <f aca="true" t="shared" si="70" ref="DO8:DO17">DM8+DN8</f>
        <v>6547.946239999999</v>
      </c>
      <c r="DP8" s="90">
        <f aca="true" t="shared" si="71" ref="DP8:DP17">DN$6*$F8</f>
        <v>3048.3067802</v>
      </c>
      <c r="DQ8" s="92">
        <f aca="true" t="shared" si="72" ref="DQ8:DQ17">DN$6*$G8</f>
        <v>182.22536200000002</v>
      </c>
      <c r="DR8" s="79"/>
      <c r="DS8" s="78"/>
      <c r="DT8" s="78">
        <f aca="true" t="shared" si="73" ref="DT8:DT17">D8*0.43534/100</f>
        <v>1030.88512</v>
      </c>
      <c r="DU8" s="78">
        <f aca="true" t="shared" si="74" ref="DU8:DU17">DS8+DT8</f>
        <v>1030.88512</v>
      </c>
      <c r="DV8" s="78">
        <f aca="true" t="shared" si="75" ref="DV8:DV17">DT$6*$F8</f>
        <v>479.91446260000004</v>
      </c>
      <c r="DW8" s="77">
        <f aca="true" t="shared" si="76" ref="DW8:DW17">DT$6*$G8</f>
        <v>28.688906000000003</v>
      </c>
      <c r="DX8" s="79"/>
      <c r="DY8" s="78"/>
      <c r="DZ8" s="78">
        <f aca="true" t="shared" si="77" ref="DZ8:DZ17">D8*2.24029/100</f>
        <v>5305.00672</v>
      </c>
      <c r="EA8" s="78">
        <f aca="true" t="shared" si="78" ref="EA8:EA17">DY8+DZ8</f>
        <v>5305.00672</v>
      </c>
      <c r="EB8" s="78">
        <f aca="true" t="shared" si="79" ref="EB8:EB17">DZ$6*$F8</f>
        <v>2469.6732931</v>
      </c>
      <c r="EC8" s="77">
        <f aca="true" t="shared" si="80" ref="EC8:EC17">DZ$6*$G8</f>
        <v>147.635111</v>
      </c>
      <c r="ED8" s="79"/>
      <c r="EE8" s="78"/>
      <c r="EF8" s="78">
        <f aca="true" t="shared" si="81" ref="EF8:EF17">D8*0.63958/100</f>
        <v>1514.52544</v>
      </c>
      <c r="EG8" s="78">
        <f aca="true" t="shared" si="82" ref="EG8:EG17">EE8+EF8</f>
        <v>1514.52544</v>
      </c>
      <c r="EH8" s="78">
        <f aca="true" t="shared" si="83" ref="EH8:EH17">EF$6*$F8</f>
        <v>705.0665962</v>
      </c>
      <c r="EI8" s="77">
        <f aca="true" t="shared" si="84" ref="EI8:EI17">EF$6*$G8</f>
        <v>42.148322</v>
      </c>
      <c r="EJ8" s="79"/>
      <c r="EK8" s="78"/>
      <c r="EL8" s="78">
        <f aca="true" t="shared" si="85" ref="EL8:EL17">D8*0.00642/100</f>
        <v>15.20256</v>
      </c>
      <c r="EM8" s="78">
        <f aca="true" t="shared" si="86" ref="EM8:EM17">EK8+EL8</f>
        <v>15.20256</v>
      </c>
      <c r="EN8" s="78">
        <f aca="true" t="shared" si="87" ref="EN8:EN17">EL$6*$F8</f>
        <v>7.0773438</v>
      </c>
      <c r="EO8" s="77">
        <f aca="true" t="shared" si="88" ref="EO8:EO17">EL$6*$G8</f>
        <v>0.423078</v>
      </c>
      <c r="EP8" s="79"/>
      <c r="EQ8" s="78"/>
      <c r="ER8" s="78">
        <f aca="true" t="shared" si="89" ref="ER8:ER17">D8*0.01192/100</f>
        <v>28.22656</v>
      </c>
      <c r="ES8" s="78">
        <f aca="true" t="shared" si="90" ref="ES8:ES17">EQ8+ER8</f>
        <v>28.22656</v>
      </c>
      <c r="ET8" s="78">
        <f aca="true" t="shared" si="91" ref="ET8:ET17">ER$6*$F8</f>
        <v>13.1404888</v>
      </c>
      <c r="EU8" s="77">
        <f aca="true" t="shared" si="92" ref="EU8:EU17">ER$6*$G8</f>
        <v>0.785528</v>
      </c>
      <c r="EV8" s="79"/>
      <c r="EW8" s="78"/>
      <c r="EX8" s="78">
        <f aca="true" t="shared" si="93" ref="EX8:EX17">D8*2.15476/100</f>
        <v>5102.47168</v>
      </c>
      <c r="EY8" s="78">
        <f aca="true" t="shared" si="94" ref="EY8:EY17">EW8+EX8</f>
        <v>5102.47168</v>
      </c>
      <c r="EZ8" s="78">
        <f aca="true" t="shared" si="95" ref="EZ8:EZ17">EX$6*$F8</f>
        <v>2375.3858764</v>
      </c>
      <c r="FA8" s="77">
        <f aca="true" t="shared" si="96" ref="FA8:FA17">EX$6*$G8</f>
        <v>141.998684</v>
      </c>
      <c r="FB8" s="79"/>
      <c r="FC8" s="78"/>
      <c r="FD8" s="78">
        <f aca="true" t="shared" si="97" ref="FD8:FD17">D8*4.00516/100</f>
        <v>9484.21888</v>
      </c>
      <c r="FE8" s="78">
        <f aca="true" t="shared" si="98" ref="FE8:FE17">FC8+FD8</f>
        <v>9484.21888</v>
      </c>
      <c r="FF8" s="78">
        <f aca="true" t="shared" si="99" ref="FF8:FF17">FD$6*$F8</f>
        <v>4415.2483323999995</v>
      </c>
      <c r="FG8" s="77">
        <f aca="true" t="shared" si="100" ref="FG8:FG17">FD$6*$G8</f>
        <v>263.940044</v>
      </c>
      <c r="FH8" s="79"/>
      <c r="FI8" s="80"/>
      <c r="FJ8" s="78"/>
      <c r="FK8" s="78"/>
      <c r="FL8" s="78"/>
      <c r="FM8" s="77">
        <f aca="true" t="shared" si="101" ref="FM8:FM17">FJ$6*$G8</f>
        <v>0</v>
      </c>
    </row>
    <row r="9" spans="1:169" s="52" customFormat="1" ht="12.75">
      <c r="A9" s="51">
        <v>43922</v>
      </c>
      <c r="C9" s="42">
        <v>5805000</v>
      </c>
      <c r="D9" s="42">
        <v>236800</v>
      </c>
      <c r="E9" s="77">
        <f t="shared" si="0"/>
        <v>6041800</v>
      </c>
      <c r="F9" s="77">
        <v>110239</v>
      </c>
      <c r="G9" s="77">
        <v>6590</v>
      </c>
      <c r="H9" s="79"/>
      <c r="I9" s="79">
        <f>'2010C Academic'!I9</f>
        <v>3151104.3494999995</v>
      </c>
      <c r="J9" s="79">
        <f>'2010C Academic'!J9</f>
        <v>128541.17312</v>
      </c>
      <c r="K9" s="79">
        <f t="shared" si="1"/>
        <v>3279645.5226199995</v>
      </c>
      <c r="L9" s="79">
        <f>'2010C Academic'!L9</f>
        <v>59840.5843901</v>
      </c>
      <c r="M9" s="79">
        <f>'2010C Academic'!M9</f>
        <v>3577.2226809999993</v>
      </c>
      <c r="N9" s="79"/>
      <c r="O9" s="78">
        <f t="shared" si="2"/>
        <v>2653895.6505</v>
      </c>
      <c r="P9" s="80">
        <f t="shared" si="2"/>
        <v>108258.82688000001</v>
      </c>
      <c r="Q9" s="78">
        <f t="shared" si="3"/>
        <v>2762154.47738</v>
      </c>
      <c r="R9" s="78">
        <f t="shared" si="4"/>
        <v>50398.41560990002</v>
      </c>
      <c r="S9" s="78">
        <f t="shared" si="4"/>
        <v>3012.7773190000007</v>
      </c>
      <c r="T9" s="79"/>
      <c r="U9" s="78">
        <f aca="true" t="shared" si="102" ref="U9:U17">C9*8.1724/100</f>
        <v>474407.82</v>
      </c>
      <c r="V9" s="77">
        <f t="shared" si="5"/>
        <v>19352.243199999997</v>
      </c>
      <c r="W9" s="78">
        <f t="shared" si="6"/>
        <v>493760.0632</v>
      </c>
      <c r="X9" s="78">
        <f t="shared" si="7"/>
        <v>9009.172036</v>
      </c>
      <c r="Y9" s="77">
        <f t="shared" si="8"/>
        <v>538.5611600000001</v>
      </c>
      <c r="Z9" s="79"/>
      <c r="AA9" s="78">
        <f aca="true" t="shared" si="103" ref="AA9:AA17">C9*5.95646/100</f>
        <v>345772.50299999997</v>
      </c>
      <c r="AB9" s="78">
        <f t="shared" si="9"/>
        <v>14104.89728</v>
      </c>
      <c r="AC9" s="78">
        <f t="shared" si="10"/>
        <v>359877.40027999994</v>
      </c>
      <c r="AD9" s="78">
        <f t="shared" si="11"/>
        <v>6566.3419394</v>
      </c>
      <c r="AE9" s="77">
        <f t="shared" si="12"/>
        <v>392.530714</v>
      </c>
      <c r="AF9" s="79"/>
      <c r="AG9" s="78">
        <f aca="true" t="shared" si="104" ref="AG9:AG17">C9*3.15804/100</f>
        <v>183324.22199999998</v>
      </c>
      <c r="AH9" s="78">
        <f t="shared" si="13"/>
        <v>7478.238720000001</v>
      </c>
      <c r="AI9" s="78">
        <f t="shared" si="14"/>
        <v>190802.46071999997</v>
      </c>
      <c r="AJ9" s="78">
        <f t="shared" si="15"/>
        <v>3481.3917156</v>
      </c>
      <c r="AK9" s="77">
        <f t="shared" si="16"/>
        <v>208.114836</v>
      </c>
      <c r="AL9" s="79"/>
      <c r="AM9" s="78">
        <f aca="true" t="shared" si="105" ref="AM9:AM17">C9*2.2968/100</f>
        <v>133329.24000000002</v>
      </c>
      <c r="AN9" s="78">
        <f t="shared" si="17"/>
        <v>5438.8224</v>
      </c>
      <c r="AO9" s="78">
        <f t="shared" si="18"/>
        <v>138768.06240000002</v>
      </c>
      <c r="AP9" s="78">
        <f t="shared" si="19"/>
        <v>2531.969352</v>
      </c>
      <c r="AQ9" s="77">
        <f t="shared" si="20"/>
        <v>151.35912</v>
      </c>
      <c r="AR9" s="79"/>
      <c r="AS9" s="78">
        <f aca="true" t="shared" si="106" ref="AS9:AS17">C9*0.26309/100</f>
        <v>15272.3745</v>
      </c>
      <c r="AT9" s="78">
        <f t="shared" si="21"/>
        <v>622.99712</v>
      </c>
      <c r="AU9" s="78">
        <f t="shared" si="22"/>
        <v>15895.37162</v>
      </c>
      <c r="AV9" s="78">
        <f t="shared" si="23"/>
        <v>290.02778509999996</v>
      </c>
      <c r="AW9" s="77">
        <f t="shared" si="24"/>
        <v>17.337631</v>
      </c>
      <c r="AX9" s="79"/>
      <c r="AY9" s="78">
        <f aca="true" t="shared" si="107" ref="AY9:AY17">C9*4.16229/100</f>
        <v>241620.9345</v>
      </c>
      <c r="AZ9" s="78">
        <f t="shared" si="25"/>
        <v>9856.30272</v>
      </c>
      <c r="BA9" s="78">
        <f t="shared" si="26"/>
        <v>251477.23722</v>
      </c>
      <c r="BB9" s="78">
        <f t="shared" si="27"/>
        <v>4588.4668731</v>
      </c>
      <c r="BC9" s="77">
        <f t="shared" si="28"/>
        <v>274.29491099999996</v>
      </c>
      <c r="BD9" s="79"/>
      <c r="BE9" s="78">
        <f aca="true" t="shared" si="108" ref="BE9:BE17">C9*0.45121/100</f>
        <v>26192.7405</v>
      </c>
      <c r="BF9" s="78">
        <f t="shared" si="29"/>
        <v>1068.4652800000001</v>
      </c>
      <c r="BG9" s="78">
        <f t="shared" si="30"/>
        <v>27261.20578</v>
      </c>
      <c r="BH9" s="78">
        <f t="shared" si="31"/>
        <v>497.4093919</v>
      </c>
      <c r="BI9" s="77">
        <f t="shared" si="32"/>
        <v>29.734738999999998</v>
      </c>
      <c r="BJ9" s="79"/>
      <c r="BK9" s="78">
        <f aca="true" t="shared" si="109" ref="BK9:BK17">C9*1.41147/100</f>
        <v>81935.8335</v>
      </c>
      <c r="BL9" s="78">
        <f t="shared" si="33"/>
        <v>3342.36096</v>
      </c>
      <c r="BM9" s="78">
        <f t="shared" si="34"/>
        <v>85278.19446</v>
      </c>
      <c r="BN9" s="78">
        <f t="shared" si="35"/>
        <v>1555.9904133</v>
      </c>
      <c r="BO9" s="77">
        <f t="shared" si="36"/>
        <v>93.015873</v>
      </c>
      <c r="BP9" s="79"/>
      <c r="BQ9" s="78">
        <f aca="true" t="shared" si="110" ref="BQ9:BQ17">C9*0.71579/100</f>
        <v>41551.6095</v>
      </c>
      <c r="BR9" s="78">
        <f t="shared" si="37"/>
        <v>1694.9907200000002</v>
      </c>
      <c r="BS9" s="78">
        <f t="shared" si="38"/>
        <v>43246.60022</v>
      </c>
      <c r="BT9" s="78">
        <f t="shared" si="39"/>
        <v>789.0797381</v>
      </c>
      <c r="BU9" s="77">
        <f t="shared" si="40"/>
        <v>47.170561</v>
      </c>
      <c r="BV9" s="79"/>
      <c r="BW9" s="78">
        <f aca="true" t="shared" si="111" ref="BW9:BW17">C9*0.13901/100</f>
        <v>8069.530499999999</v>
      </c>
      <c r="BX9" s="78">
        <f t="shared" si="41"/>
        <v>329.17568</v>
      </c>
      <c r="BY9" s="78">
        <f t="shared" si="42"/>
        <v>8398.70618</v>
      </c>
      <c r="BZ9" s="78">
        <f t="shared" si="43"/>
        <v>153.2432339</v>
      </c>
      <c r="CA9" s="77">
        <f t="shared" si="44"/>
        <v>9.160759</v>
      </c>
      <c r="CB9" s="79"/>
      <c r="CC9" s="78">
        <f aca="true" t="shared" si="112" ref="CC9:CC17">C9*0.55234/100</f>
        <v>32063.337000000003</v>
      </c>
      <c r="CD9" s="78">
        <f t="shared" si="45"/>
        <v>1307.9411200000002</v>
      </c>
      <c r="CE9" s="78">
        <f t="shared" si="46"/>
        <v>33371.27812</v>
      </c>
      <c r="CF9" s="78">
        <f t="shared" si="47"/>
        <v>608.8940926</v>
      </c>
      <c r="CG9" s="77">
        <f t="shared" si="48"/>
        <v>36.399206</v>
      </c>
      <c r="CH9" s="79"/>
      <c r="CI9" s="78">
        <f aca="true" t="shared" si="113" ref="CI9:CI17">C9*1.34713/100</f>
        <v>78200.89649999999</v>
      </c>
      <c r="CJ9" s="78">
        <f t="shared" si="49"/>
        <v>3190.0038399999994</v>
      </c>
      <c r="CK9" s="78">
        <f t="shared" si="50"/>
        <v>81390.90034</v>
      </c>
      <c r="CL9" s="78">
        <f t="shared" si="51"/>
        <v>1485.0626407</v>
      </c>
      <c r="CM9" s="77">
        <f t="shared" si="52"/>
        <v>88.775867</v>
      </c>
      <c r="CN9" s="79"/>
      <c r="CO9" s="78">
        <f aca="true" t="shared" si="114" ref="CO9:CO17">C9*3.01524/100</f>
        <v>175034.682</v>
      </c>
      <c r="CP9" s="78">
        <f t="shared" si="53"/>
        <v>7140.088319999999</v>
      </c>
      <c r="CQ9" s="78">
        <f t="shared" si="54"/>
        <v>182174.77032</v>
      </c>
      <c r="CR9" s="78">
        <f t="shared" si="55"/>
        <v>3323.9704236</v>
      </c>
      <c r="CS9" s="77">
        <f t="shared" si="56"/>
        <v>198.704316</v>
      </c>
      <c r="CT9" s="79"/>
      <c r="CU9" s="78">
        <f aca="true" t="shared" si="115" ref="CU9:CU17">C9*0.45619/100</f>
        <v>26481.829499999996</v>
      </c>
      <c r="CV9" s="78">
        <f t="shared" si="57"/>
        <v>1080.25792</v>
      </c>
      <c r="CW9" s="78">
        <f t="shared" si="58"/>
        <v>27562.087419999996</v>
      </c>
      <c r="CX9" s="78">
        <f t="shared" si="59"/>
        <v>502.89929409999996</v>
      </c>
      <c r="CY9" s="77">
        <f t="shared" si="60"/>
        <v>30.062921</v>
      </c>
      <c r="CZ9" s="79"/>
      <c r="DA9" s="78">
        <f aca="true" t="shared" si="116" ref="DA9:DA17">C9*1.31079/100</f>
        <v>76091.35949999999</v>
      </c>
      <c r="DB9" s="78">
        <f t="shared" si="61"/>
        <v>3103.95072</v>
      </c>
      <c r="DC9" s="78">
        <f t="shared" si="62"/>
        <v>79195.31021999998</v>
      </c>
      <c r="DD9" s="78">
        <f t="shared" si="63"/>
        <v>1445.0017881</v>
      </c>
      <c r="DE9" s="77">
        <f t="shared" si="64"/>
        <v>86.381061</v>
      </c>
      <c r="DF9" s="79"/>
      <c r="DG9" s="78">
        <f aca="true" t="shared" si="117" ref="DG9:DG17">C9*0.05051/100</f>
        <v>2932.1054999999997</v>
      </c>
      <c r="DH9" s="78">
        <f t="shared" si="65"/>
        <v>119.60768</v>
      </c>
      <c r="DI9" s="78">
        <f t="shared" si="66"/>
        <v>3051.7131799999997</v>
      </c>
      <c r="DJ9" s="78">
        <f t="shared" si="67"/>
        <v>55.6817189</v>
      </c>
      <c r="DK9" s="77">
        <f t="shared" si="68"/>
        <v>3.3286089999999997</v>
      </c>
      <c r="DL9" s="79"/>
      <c r="DM9" s="90">
        <f aca="true" t="shared" si="118" ref="DM9:DM17">C9*2.76518/100</f>
        <v>160518.699</v>
      </c>
      <c r="DN9" s="90">
        <f t="shared" si="69"/>
        <v>6547.946239999999</v>
      </c>
      <c r="DO9" s="90">
        <f t="shared" si="70"/>
        <v>167066.64523999998</v>
      </c>
      <c r="DP9" s="90">
        <f t="shared" si="71"/>
        <v>3048.3067802</v>
      </c>
      <c r="DQ9" s="92">
        <f t="shared" si="72"/>
        <v>182.22536200000002</v>
      </c>
      <c r="DR9" s="79"/>
      <c r="DS9" s="78">
        <f aca="true" t="shared" si="119" ref="DS9:DS17">C9*0.43534/100</f>
        <v>25271.487</v>
      </c>
      <c r="DT9" s="78">
        <f t="shared" si="73"/>
        <v>1030.88512</v>
      </c>
      <c r="DU9" s="78">
        <f t="shared" si="74"/>
        <v>26302.37212</v>
      </c>
      <c r="DV9" s="78">
        <f t="shared" si="75"/>
        <v>479.91446260000004</v>
      </c>
      <c r="DW9" s="77">
        <f t="shared" si="76"/>
        <v>28.688906000000003</v>
      </c>
      <c r="DX9" s="79"/>
      <c r="DY9" s="78">
        <f aca="true" t="shared" si="120" ref="DY9:DY17">C9*2.24029/100</f>
        <v>130048.8345</v>
      </c>
      <c r="DZ9" s="78">
        <f t="shared" si="77"/>
        <v>5305.00672</v>
      </c>
      <c r="EA9" s="78">
        <f t="shared" si="78"/>
        <v>135353.84122</v>
      </c>
      <c r="EB9" s="78">
        <f t="shared" si="79"/>
        <v>2469.6732931</v>
      </c>
      <c r="EC9" s="77">
        <f t="shared" si="80"/>
        <v>147.635111</v>
      </c>
      <c r="ED9" s="79"/>
      <c r="EE9" s="78">
        <f aca="true" t="shared" si="121" ref="EE9:EE17">C9*0.63958/100</f>
        <v>37127.619000000006</v>
      </c>
      <c r="EF9" s="78">
        <f t="shared" si="81"/>
        <v>1514.52544</v>
      </c>
      <c r="EG9" s="78">
        <f t="shared" si="82"/>
        <v>38642.144440000004</v>
      </c>
      <c r="EH9" s="78">
        <f t="shared" si="83"/>
        <v>705.0665962</v>
      </c>
      <c r="EI9" s="77">
        <f t="shared" si="84"/>
        <v>42.148322</v>
      </c>
      <c r="EJ9" s="79"/>
      <c r="EK9" s="78">
        <f aca="true" t="shared" si="122" ref="EK9:EK17">C9*0.00642/100</f>
        <v>372.681</v>
      </c>
      <c r="EL9" s="78">
        <f t="shared" si="85"/>
        <v>15.20256</v>
      </c>
      <c r="EM9" s="78">
        <f t="shared" si="86"/>
        <v>387.88356</v>
      </c>
      <c r="EN9" s="78">
        <f t="shared" si="87"/>
        <v>7.0773438</v>
      </c>
      <c r="EO9" s="77">
        <f t="shared" si="88"/>
        <v>0.423078</v>
      </c>
      <c r="EP9" s="79"/>
      <c r="EQ9" s="78">
        <f aca="true" t="shared" si="123" ref="EQ9:EQ17">C9*0.01192/100</f>
        <v>691.956</v>
      </c>
      <c r="ER9" s="78">
        <f t="shared" si="89"/>
        <v>28.22656</v>
      </c>
      <c r="ES9" s="78">
        <f t="shared" si="90"/>
        <v>720.18256</v>
      </c>
      <c r="ET9" s="78">
        <f t="shared" si="91"/>
        <v>13.1404888</v>
      </c>
      <c r="EU9" s="77">
        <f t="shared" si="92"/>
        <v>0.785528</v>
      </c>
      <c r="EV9" s="79"/>
      <c r="EW9" s="78">
        <f aca="true" t="shared" si="124" ref="EW9:EW17">C9*2.15476/100</f>
        <v>125083.81800000001</v>
      </c>
      <c r="EX9" s="78">
        <f t="shared" si="93"/>
        <v>5102.47168</v>
      </c>
      <c r="EY9" s="78">
        <f t="shared" si="94"/>
        <v>130186.28968000002</v>
      </c>
      <c r="EZ9" s="78">
        <f t="shared" si="95"/>
        <v>2375.3858764</v>
      </c>
      <c r="FA9" s="77">
        <f t="shared" si="96"/>
        <v>141.998684</v>
      </c>
      <c r="FB9" s="79"/>
      <c r="FC9" s="78">
        <f aca="true" t="shared" si="125" ref="FC9:FC17">C9*4.00516/100</f>
        <v>232499.538</v>
      </c>
      <c r="FD9" s="78">
        <f t="shared" si="97"/>
        <v>9484.21888</v>
      </c>
      <c r="FE9" s="78">
        <f t="shared" si="98"/>
        <v>241983.75688</v>
      </c>
      <c r="FF9" s="78">
        <f t="shared" si="99"/>
        <v>4415.2483323999995</v>
      </c>
      <c r="FG9" s="77">
        <f t="shared" si="100"/>
        <v>263.940044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>
      <c r="A10" s="51">
        <v>44105</v>
      </c>
      <c r="C10" s="42"/>
      <c r="D10" s="42">
        <v>120700</v>
      </c>
      <c r="E10" s="77">
        <f t="shared" si="0"/>
        <v>120700</v>
      </c>
      <c r="F10" s="77">
        <v>110239</v>
      </c>
      <c r="G10" s="77">
        <v>6590</v>
      </c>
      <c r="H10" s="79"/>
      <c r="I10" s="79">
        <f>'2010C Academic'!I10</f>
        <v>0</v>
      </c>
      <c r="J10" s="79">
        <f>'2010C Academic'!J10</f>
        <v>65519.086129999996</v>
      </c>
      <c r="K10" s="79">
        <f t="shared" si="1"/>
        <v>65519.086129999996</v>
      </c>
      <c r="L10" s="79">
        <f>'2010C Academic'!L10</f>
        <v>59840.5843901</v>
      </c>
      <c r="M10" s="79">
        <f>'2010C Academic'!M10</f>
        <v>3577.2226809999993</v>
      </c>
      <c r="N10" s="79"/>
      <c r="O10" s="78">
        <f t="shared" si="2"/>
        <v>0</v>
      </c>
      <c r="P10" s="80">
        <f t="shared" si="2"/>
        <v>55180.91387</v>
      </c>
      <c r="Q10" s="78">
        <f t="shared" si="3"/>
        <v>55180.91387</v>
      </c>
      <c r="R10" s="78">
        <f t="shared" si="4"/>
        <v>50398.41560990002</v>
      </c>
      <c r="S10" s="78">
        <f t="shared" si="4"/>
        <v>3012.7773190000007</v>
      </c>
      <c r="T10" s="79"/>
      <c r="U10" s="78"/>
      <c r="V10" s="77">
        <f t="shared" si="5"/>
        <v>9864.0868</v>
      </c>
      <c r="W10" s="78">
        <f t="shared" si="6"/>
        <v>9864.0868</v>
      </c>
      <c r="X10" s="78">
        <f t="shared" si="7"/>
        <v>9009.172036</v>
      </c>
      <c r="Y10" s="77">
        <f t="shared" si="8"/>
        <v>538.5611600000001</v>
      </c>
      <c r="Z10" s="79"/>
      <c r="AA10" s="78"/>
      <c r="AB10" s="78">
        <f t="shared" si="9"/>
        <v>7189.447219999999</v>
      </c>
      <c r="AC10" s="78">
        <f t="shared" si="10"/>
        <v>7189.447219999999</v>
      </c>
      <c r="AD10" s="78">
        <f t="shared" si="11"/>
        <v>6566.3419394</v>
      </c>
      <c r="AE10" s="77">
        <f t="shared" si="12"/>
        <v>392.530714</v>
      </c>
      <c r="AF10" s="79"/>
      <c r="AG10" s="78"/>
      <c r="AH10" s="78">
        <f t="shared" si="13"/>
        <v>3811.75428</v>
      </c>
      <c r="AI10" s="78">
        <f t="shared" si="14"/>
        <v>3811.75428</v>
      </c>
      <c r="AJ10" s="78">
        <f t="shared" si="15"/>
        <v>3481.3917156</v>
      </c>
      <c r="AK10" s="77">
        <f t="shared" si="16"/>
        <v>208.114836</v>
      </c>
      <c r="AL10" s="79"/>
      <c r="AM10" s="78"/>
      <c r="AN10" s="78">
        <f t="shared" si="17"/>
        <v>2772.2376</v>
      </c>
      <c r="AO10" s="78">
        <f t="shared" si="18"/>
        <v>2772.2376</v>
      </c>
      <c r="AP10" s="78">
        <f t="shared" si="19"/>
        <v>2531.969352</v>
      </c>
      <c r="AQ10" s="77">
        <f t="shared" si="20"/>
        <v>151.35912</v>
      </c>
      <c r="AR10" s="79"/>
      <c r="AS10" s="78"/>
      <c r="AT10" s="78">
        <f t="shared" si="21"/>
        <v>317.54963</v>
      </c>
      <c r="AU10" s="78">
        <f t="shared" si="22"/>
        <v>317.54963</v>
      </c>
      <c r="AV10" s="78">
        <f t="shared" si="23"/>
        <v>290.02778509999996</v>
      </c>
      <c r="AW10" s="77">
        <f t="shared" si="24"/>
        <v>17.337631</v>
      </c>
      <c r="AX10" s="79"/>
      <c r="AY10" s="78"/>
      <c r="AZ10" s="78">
        <f t="shared" si="25"/>
        <v>5023.884029999999</v>
      </c>
      <c r="BA10" s="78">
        <f t="shared" si="26"/>
        <v>5023.884029999999</v>
      </c>
      <c r="BB10" s="78">
        <f t="shared" si="27"/>
        <v>4588.4668731</v>
      </c>
      <c r="BC10" s="77">
        <f t="shared" si="28"/>
        <v>274.29491099999996</v>
      </c>
      <c r="BD10" s="79"/>
      <c r="BE10" s="78"/>
      <c r="BF10" s="78">
        <f t="shared" si="29"/>
        <v>544.61047</v>
      </c>
      <c r="BG10" s="78">
        <f t="shared" si="30"/>
        <v>544.61047</v>
      </c>
      <c r="BH10" s="78">
        <f t="shared" si="31"/>
        <v>497.4093919</v>
      </c>
      <c r="BI10" s="77">
        <f t="shared" si="32"/>
        <v>29.734738999999998</v>
      </c>
      <c r="BJ10" s="79"/>
      <c r="BK10" s="78"/>
      <c r="BL10" s="78">
        <f t="shared" si="33"/>
        <v>1703.64429</v>
      </c>
      <c r="BM10" s="78">
        <f t="shared" si="34"/>
        <v>1703.64429</v>
      </c>
      <c r="BN10" s="78">
        <f t="shared" si="35"/>
        <v>1555.9904133</v>
      </c>
      <c r="BO10" s="77">
        <f t="shared" si="36"/>
        <v>93.015873</v>
      </c>
      <c r="BP10" s="79"/>
      <c r="BQ10" s="78"/>
      <c r="BR10" s="78">
        <f t="shared" si="37"/>
        <v>863.95853</v>
      </c>
      <c r="BS10" s="78">
        <f t="shared" si="38"/>
        <v>863.95853</v>
      </c>
      <c r="BT10" s="78">
        <f t="shared" si="39"/>
        <v>789.0797381</v>
      </c>
      <c r="BU10" s="77">
        <f t="shared" si="40"/>
        <v>47.170561</v>
      </c>
      <c r="BV10" s="79"/>
      <c r="BW10" s="78"/>
      <c r="BX10" s="78">
        <f t="shared" si="41"/>
        <v>167.78507</v>
      </c>
      <c r="BY10" s="78">
        <f t="shared" si="42"/>
        <v>167.78507</v>
      </c>
      <c r="BZ10" s="78">
        <f t="shared" si="43"/>
        <v>153.2432339</v>
      </c>
      <c r="CA10" s="77">
        <f t="shared" si="44"/>
        <v>9.160759</v>
      </c>
      <c r="CB10" s="79"/>
      <c r="CC10" s="78"/>
      <c r="CD10" s="78">
        <f t="shared" si="45"/>
        <v>666.67438</v>
      </c>
      <c r="CE10" s="78">
        <f t="shared" si="46"/>
        <v>666.67438</v>
      </c>
      <c r="CF10" s="78">
        <f t="shared" si="47"/>
        <v>608.8940926</v>
      </c>
      <c r="CG10" s="77">
        <f t="shared" si="48"/>
        <v>36.399206</v>
      </c>
      <c r="CH10" s="79"/>
      <c r="CI10" s="78"/>
      <c r="CJ10" s="78">
        <f t="shared" si="49"/>
        <v>1625.9859099999999</v>
      </c>
      <c r="CK10" s="78">
        <f t="shared" si="50"/>
        <v>1625.9859099999999</v>
      </c>
      <c r="CL10" s="78">
        <f t="shared" si="51"/>
        <v>1485.0626407</v>
      </c>
      <c r="CM10" s="77">
        <f t="shared" si="52"/>
        <v>88.775867</v>
      </c>
      <c r="CN10" s="79"/>
      <c r="CO10" s="78"/>
      <c r="CP10" s="78">
        <f t="shared" si="53"/>
        <v>3639.39468</v>
      </c>
      <c r="CQ10" s="78">
        <f t="shared" si="54"/>
        <v>3639.39468</v>
      </c>
      <c r="CR10" s="78">
        <f t="shared" si="55"/>
        <v>3323.9704236</v>
      </c>
      <c r="CS10" s="77">
        <f t="shared" si="56"/>
        <v>198.704316</v>
      </c>
      <c r="CT10" s="79"/>
      <c r="CU10" s="78"/>
      <c r="CV10" s="78">
        <f t="shared" si="57"/>
        <v>550.6213300000001</v>
      </c>
      <c r="CW10" s="78">
        <f t="shared" si="58"/>
        <v>550.6213300000001</v>
      </c>
      <c r="CX10" s="78">
        <f t="shared" si="59"/>
        <v>502.89929409999996</v>
      </c>
      <c r="CY10" s="77">
        <f t="shared" si="60"/>
        <v>30.062921</v>
      </c>
      <c r="CZ10" s="79"/>
      <c r="DA10" s="78"/>
      <c r="DB10" s="78">
        <f t="shared" si="61"/>
        <v>1582.1235299999998</v>
      </c>
      <c r="DC10" s="78">
        <f t="shared" si="62"/>
        <v>1582.1235299999998</v>
      </c>
      <c r="DD10" s="78">
        <f t="shared" si="63"/>
        <v>1445.0017881</v>
      </c>
      <c r="DE10" s="77">
        <f t="shared" si="64"/>
        <v>86.381061</v>
      </c>
      <c r="DF10" s="79"/>
      <c r="DG10" s="78"/>
      <c r="DH10" s="78">
        <f t="shared" si="65"/>
        <v>60.96557</v>
      </c>
      <c r="DI10" s="78">
        <f t="shared" si="66"/>
        <v>60.96557</v>
      </c>
      <c r="DJ10" s="78">
        <f t="shared" si="67"/>
        <v>55.6817189</v>
      </c>
      <c r="DK10" s="77">
        <f t="shared" si="68"/>
        <v>3.3286089999999997</v>
      </c>
      <c r="DL10" s="79"/>
      <c r="DM10" s="90"/>
      <c r="DN10" s="90">
        <f t="shared" si="69"/>
        <v>3337.5722600000004</v>
      </c>
      <c r="DO10" s="90">
        <f t="shared" si="70"/>
        <v>3337.5722600000004</v>
      </c>
      <c r="DP10" s="90">
        <f t="shared" si="71"/>
        <v>3048.3067802</v>
      </c>
      <c r="DQ10" s="92">
        <f t="shared" si="72"/>
        <v>182.22536200000002</v>
      </c>
      <c r="DR10" s="79"/>
      <c r="DS10" s="78"/>
      <c r="DT10" s="78">
        <f t="shared" si="73"/>
        <v>525.45538</v>
      </c>
      <c r="DU10" s="78">
        <f t="shared" si="74"/>
        <v>525.45538</v>
      </c>
      <c r="DV10" s="78">
        <f t="shared" si="75"/>
        <v>479.91446260000004</v>
      </c>
      <c r="DW10" s="77">
        <f t="shared" si="76"/>
        <v>28.688906000000003</v>
      </c>
      <c r="DX10" s="79"/>
      <c r="DY10" s="78"/>
      <c r="DZ10" s="78">
        <f t="shared" si="77"/>
        <v>2704.03003</v>
      </c>
      <c r="EA10" s="78">
        <f t="shared" si="78"/>
        <v>2704.03003</v>
      </c>
      <c r="EB10" s="78">
        <f t="shared" si="79"/>
        <v>2469.6732931</v>
      </c>
      <c r="EC10" s="77">
        <f t="shared" si="80"/>
        <v>147.635111</v>
      </c>
      <c r="ED10" s="79"/>
      <c r="EE10" s="78"/>
      <c r="EF10" s="78">
        <f t="shared" si="81"/>
        <v>771.9730600000001</v>
      </c>
      <c r="EG10" s="78">
        <f t="shared" si="82"/>
        <v>771.9730600000001</v>
      </c>
      <c r="EH10" s="78">
        <f t="shared" si="83"/>
        <v>705.0665962</v>
      </c>
      <c r="EI10" s="77">
        <f t="shared" si="84"/>
        <v>42.148322</v>
      </c>
      <c r="EJ10" s="79"/>
      <c r="EK10" s="78"/>
      <c r="EL10" s="78">
        <f t="shared" si="85"/>
        <v>7.74894</v>
      </c>
      <c r="EM10" s="78">
        <f t="shared" si="86"/>
        <v>7.74894</v>
      </c>
      <c r="EN10" s="78">
        <f t="shared" si="87"/>
        <v>7.0773438</v>
      </c>
      <c r="EO10" s="77">
        <f t="shared" si="88"/>
        <v>0.423078</v>
      </c>
      <c r="EP10" s="79"/>
      <c r="EQ10" s="78"/>
      <c r="ER10" s="78">
        <f t="shared" si="89"/>
        <v>14.38744</v>
      </c>
      <c r="ES10" s="78">
        <f t="shared" si="90"/>
        <v>14.38744</v>
      </c>
      <c r="ET10" s="78">
        <f t="shared" si="91"/>
        <v>13.1404888</v>
      </c>
      <c r="EU10" s="77">
        <f t="shared" si="92"/>
        <v>0.785528</v>
      </c>
      <c r="EV10" s="79"/>
      <c r="EW10" s="78"/>
      <c r="EX10" s="78">
        <f t="shared" si="93"/>
        <v>2600.79532</v>
      </c>
      <c r="EY10" s="78">
        <f t="shared" si="94"/>
        <v>2600.79532</v>
      </c>
      <c r="EZ10" s="78">
        <f t="shared" si="95"/>
        <v>2375.3858764</v>
      </c>
      <c r="FA10" s="77">
        <f t="shared" si="96"/>
        <v>141.998684</v>
      </c>
      <c r="FB10" s="79"/>
      <c r="FC10" s="78"/>
      <c r="FD10" s="78">
        <f t="shared" si="97"/>
        <v>4834.228120000001</v>
      </c>
      <c r="FE10" s="78">
        <f t="shared" si="98"/>
        <v>4834.228120000001</v>
      </c>
      <c r="FF10" s="78">
        <f t="shared" si="99"/>
        <v>4415.2483323999995</v>
      </c>
      <c r="FG10" s="77">
        <f t="shared" si="100"/>
        <v>263.940044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44287</v>
      </c>
      <c r="C11" s="42">
        <v>6035000</v>
      </c>
      <c r="D11" s="42">
        <v>120700</v>
      </c>
      <c r="E11" s="77">
        <f t="shared" si="0"/>
        <v>6155700</v>
      </c>
      <c r="F11" s="77">
        <v>110238</v>
      </c>
      <c r="G11" s="77">
        <v>6587</v>
      </c>
      <c r="H11" s="79"/>
      <c r="I11" s="79">
        <f>'2010C Academic'!I11</f>
        <v>3275954.3065000004</v>
      </c>
      <c r="J11" s="79">
        <f>'2010C Academic'!J11</f>
        <v>65519.086129999996</v>
      </c>
      <c r="K11" s="79">
        <f t="shared" si="1"/>
        <v>3341473.3926300006</v>
      </c>
      <c r="L11" s="79">
        <f>'2010C Academic'!L11</f>
        <v>59840.04156420001</v>
      </c>
      <c r="M11" s="79">
        <f>'2010C Academic'!M11</f>
        <v>3575.5942032999997</v>
      </c>
      <c r="N11" s="79"/>
      <c r="O11" s="78">
        <f t="shared" si="2"/>
        <v>2759045.6934999996</v>
      </c>
      <c r="P11" s="80">
        <f t="shared" si="2"/>
        <v>55180.91387</v>
      </c>
      <c r="Q11" s="78">
        <f t="shared" si="3"/>
        <v>2814226.6073699994</v>
      </c>
      <c r="R11" s="78">
        <f t="shared" si="4"/>
        <v>50397.9584358</v>
      </c>
      <c r="S11" s="78">
        <f t="shared" si="4"/>
        <v>3011.4057966999994</v>
      </c>
      <c r="T11" s="79"/>
      <c r="U11" s="78">
        <f t="shared" si="102"/>
        <v>493204.34</v>
      </c>
      <c r="V11" s="77">
        <f t="shared" si="5"/>
        <v>9864.0868</v>
      </c>
      <c r="W11" s="78">
        <f t="shared" si="6"/>
        <v>503068.4268</v>
      </c>
      <c r="X11" s="78">
        <f t="shared" si="7"/>
        <v>9009.090312</v>
      </c>
      <c r="Y11" s="77">
        <f t="shared" si="8"/>
        <v>538.3159880000001</v>
      </c>
      <c r="Z11" s="79"/>
      <c r="AA11" s="78">
        <f t="shared" si="103"/>
        <v>359472.36100000003</v>
      </c>
      <c r="AB11" s="78">
        <f t="shared" si="9"/>
        <v>7189.447219999999</v>
      </c>
      <c r="AC11" s="78">
        <f t="shared" si="10"/>
        <v>366661.80822</v>
      </c>
      <c r="AD11" s="78">
        <f t="shared" si="11"/>
        <v>6566.2823748</v>
      </c>
      <c r="AE11" s="77">
        <f t="shared" si="12"/>
        <v>392.3520202</v>
      </c>
      <c r="AF11" s="79"/>
      <c r="AG11" s="78">
        <f t="shared" si="104"/>
        <v>190587.71400000004</v>
      </c>
      <c r="AH11" s="78">
        <f t="shared" si="13"/>
        <v>3811.75428</v>
      </c>
      <c r="AI11" s="78">
        <f t="shared" si="14"/>
        <v>194399.46828000003</v>
      </c>
      <c r="AJ11" s="78">
        <f t="shared" si="15"/>
        <v>3481.3601352</v>
      </c>
      <c r="AK11" s="77">
        <f t="shared" si="16"/>
        <v>208.0200948</v>
      </c>
      <c r="AL11" s="79"/>
      <c r="AM11" s="78">
        <f t="shared" si="105"/>
        <v>138611.88</v>
      </c>
      <c r="AN11" s="78">
        <f t="shared" si="17"/>
        <v>2772.2376</v>
      </c>
      <c r="AO11" s="78">
        <f t="shared" si="18"/>
        <v>141384.1176</v>
      </c>
      <c r="AP11" s="78">
        <f t="shared" si="19"/>
        <v>2531.946384</v>
      </c>
      <c r="AQ11" s="77">
        <f t="shared" si="20"/>
        <v>151.290216</v>
      </c>
      <c r="AR11" s="79"/>
      <c r="AS11" s="78">
        <f t="shared" si="106"/>
        <v>15877.4815</v>
      </c>
      <c r="AT11" s="78">
        <f t="shared" si="21"/>
        <v>317.54963</v>
      </c>
      <c r="AU11" s="78">
        <f t="shared" si="22"/>
        <v>16195.03113</v>
      </c>
      <c r="AV11" s="78">
        <f t="shared" si="23"/>
        <v>290.0251542</v>
      </c>
      <c r="AW11" s="77">
        <f t="shared" si="24"/>
        <v>17.3297383</v>
      </c>
      <c r="AX11" s="79"/>
      <c r="AY11" s="78">
        <f t="shared" si="107"/>
        <v>251194.2015</v>
      </c>
      <c r="AZ11" s="78">
        <f t="shared" si="25"/>
        <v>5023.884029999999</v>
      </c>
      <c r="BA11" s="78">
        <f t="shared" si="26"/>
        <v>256218.08552999998</v>
      </c>
      <c r="BB11" s="78">
        <f t="shared" si="27"/>
        <v>4588.4252502</v>
      </c>
      <c r="BC11" s="77">
        <f t="shared" si="28"/>
        <v>274.1700423</v>
      </c>
      <c r="BD11" s="79"/>
      <c r="BE11" s="78">
        <f t="shared" si="108"/>
        <v>27230.5235</v>
      </c>
      <c r="BF11" s="78">
        <f t="shared" si="29"/>
        <v>544.61047</v>
      </c>
      <c r="BG11" s="78">
        <f t="shared" si="30"/>
        <v>27775.13397</v>
      </c>
      <c r="BH11" s="78">
        <f t="shared" si="31"/>
        <v>497.4048798</v>
      </c>
      <c r="BI11" s="77">
        <f t="shared" si="32"/>
        <v>29.7212027</v>
      </c>
      <c r="BJ11" s="79"/>
      <c r="BK11" s="78">
        <f t="shared" si="109"/>
        <v>85182.21449999999</v>
      </c>
      <c r="BL11" s="78">
        <f t="shared" si="33"/>
        <v>1703.64429</v>
      </c>
      <c r="BM11" s="78">
        <f t="shared" si="34"/>
        <v>86885.85878999998</v>
      </c>
      <c r="BN11" s="78">
        <f t="shared" si="35"/>
        <v>1555.9762986</v>
      </c>
      <c r="BO11" s="77">
        <f t="shared" si="36"/>
        <v>92.9735289</v>
      </c>
      <c r="BP11" s="79"/>
      <c r="BQ11" s="78">
        <f t="shared" si="110"/>
        <v>43197.9265</v>
      </c>
      <c r="BR11" s="78">
        <f t="shared" si="37"/>
        <v>863.95853</v>
      </c>
      <c r="BS11" s="78">
        <f t="shared" si="38"/>
        <v>44061.885030000005</v>
      </c>
      <c r="BT11" s="78">
        <f t="shared" si="39"/>
        <v>789.0725802</v>
      </c>
      <c r="BU11" s="77">
        <f t="shared" si="40"/>
        <v>47.1490873</v>
      </c>
      <c r="BV11" s="79"/>
      <c r="BW11" s="78">
        <f t="shared" si="111"/>
        <v>8389.253499999999</v>
      </c>
      <c r="BX11" s="78">
        <f t="shared" si="41"/>
        <v>167.78507</v>
      </c>
      <c r="BY11" s="78">
        <f t="shared" si="42"/>
        <v>8557.038569999999</v>
      </c>
      <c r="BZ11" s="78">
        <f t="shared" si="43"/>
        <v>153.2418438</v>
      </c>
      <c r="CA11" s="77">
        <f t="shared" si="44"/>
        <v>9.1565887</v>
      </c>
      <c r="CB11" s="79"/>
      <c r="CC11" s="78">
        <f t="shared" si="112"/>
        <v>33333.719000000005</v>
      </c>
      <c r="CD11" s="78">
        <f t="shared" si="45"/>
        <v>666.67438</v>
      </c>
      <c r="CE11" s="78">
        <f t="shared" si="46"/>
        <v>34000.39338</v>
      </c>
      <c r="CF11" s="78">
        <f t="shared" si="47"/>
        <v>608.8885692</v>
      </c>
      <c r="CG11" s="77">
        <f t="shared" si="48"/>
        <v>36.3826358</v>
      </c>
      <c r="CH11" s="79"/>
      <c r="CI11" s="78">
        <f t="shared" si="113"/>
        <v>81299.2955</v>
      </c>
      <c r="CJ11" s="78">
        <f t="shared" si="49"/>
        <v>1625.9859099999999</v>
      </c>
      <c r="CK11" s="78">
        <f t="shared" si="50"/>
        <v>82925.28141</v>
      </c>
      <c r="CL11" s="78">
        <f t="shared" si="51"/>
        <v>1485.0491694</v>
      </c>
      <c r="CM11" s="77">
        <f t="shared" si="52"/>
        <v>88.7354531</v>
      </c>
      <c r="CN11" s="79"/>
      <c r="CO11" s="78">
        <f t="shared" si="114"/>
        <v>181969.734</v>
      </c>
      <c r="CP11" s="78">
        <f t="shared" si="53"/>
        <v>3639.39468</v>
      </c>
      <c r="CQ11" s="78">
        <f t="shared" si="54"/>
        <v>185609.12868</v>
      </c>
      <c r="CR11" s="78">
        <f t="shared" si="55"/>
        <v>3323.9402712</v>
      </c>
      <c r="CS11" s="77">
        <f t="shared" si="56"/>
        <v>198.6138588</v>
      </c>
      <c r="CT11" s="79"/>
      <c r="CU11" s="78">
        <f t="shared" si="115"/>
        <v>27531.0665</v>
      </c>
      <c r="CV11" s="78">
        <f t="shared" si="57"/>
        <v>550.6213300000001</v>
      </c>
      <c r="CW11" s="78">
        <f t="shared" si="58"/>
        <v>28081.687830000003</v>
      </c>
      <c r="CX11" s="78">
        <f t="shared" si="59"/>
        <v>502.89473219999996</v>
      </c>
      <c r="CY11" s="77">
        <f t="shared" si="60"/>
        <v>30.0492353</v>
      </c>
      <c r="CZ11" s="79"/>
      <c r="DA11" s="78">
        <f t="shared" si="116"/>
        <v>79106.1765</v>
      </c>
      <c r="DB11" s="78">
        <f t="shared" si="61"/>
        <v>1582.1235299999998</v>
      </c>
      <c r="DC11" s="78">
        <f t="shared" si="62"/>
        <v>80688.30003</v>
      </c>
      <c r="DD11" s="78">
        <f t="shared" si="63"/>
        <v>1444.9886802</v>
      </c>
      <c r="DE11" s="77">
        <f t="shared" si="64"/>
        <v>86.3417373</v>
      </c>
      <c r="DF11" s="79"/>
      <c r="DG11" s="78">
        <f t="shared" si="117"/>
        <v>3048.2785</v>
      </c>
      <c r="DH11" s="78">
        <f t="shared" si="65"/>
        <v>60.96557</v>
      </c>
      <c r="DI11" s="78">
        <f t="shared" si="66"/>
        <v>3109.2440699999997</v>
      </c>
      <c r="DJ11" s="78">
        <f t="shared" si="67"/>
        <v>55.681213799999995</v>
      </c>
      <c r="DK11" s="77">
        <f t="shared" si="68"/>
        <v>3.3270937</v>
      </c>
      <c r="DL11" s="79"/>
      <c r="DM11" s="90">
        <f t="shared" si="118"/>
        <v>166878.613</v>
      </c>
      <c r="DN11" s="90">
        <f t="shared" si="69"/>
        <v>3337.5722600000004</v>
      </c>
      <c r="DO11" s="90">
        <f t="shared" si="70"/>
        <v>170216.18526</v>
      </c>
      <c r="DP11" s="90">
        <f t="shared" si="71"/>
        <v>3048.2791284</v>
      </c>
      <c r="DQ11" s="92">
        <f t="shared" si="72"/>
        <v>182.14240660000002</v>
      </c>
      <c r="DR11" s="79"/>
      <c r="DS11" s="78">
        <f t="shared" si="119"/>
        <v>26272.769</v>
      </c>
      <c r="DT11" s="78">
        <f t="shared" si="73"/>
        <v>525.45538</v>
      </c>
      <c r="DU11" s="78">
        <f t="shared" si="74"/>
        <v>26798.22438</v>
      </c>
      <c r="DV11" s="78">
        <f t="shared" si="75"/>
        <v>479.9101092</v>
      </c>
      <c r="DW11" s="77">
        <f t="shared" si="76"/>
        <v>28.6758458</v>
      </c>
      <c r="DX11" s="79"/>
      <c r="DY11" s="78">
        <f t="shared" si="120"/>
        <v>135201.50149999998</v>
      </c>
      <c r="DZ11" s="78">
        <f t="shared" si="77"/>
        <v>2704.03003</v>
      </c>
      <c r="EA11" s="78">
        <f t="shared" si="78"/>
        <v>137905.53152999998</v>
      </c>
      <c r="EB11" s="78">
        <f t="shared" si="79"/>
        <v>2469.6508902</v>
      </c>
      <c r="EC11" s="77">
        <f t="shared" si="80"/>
        <v>147.5679023</v>
      </c>
      <c r="ED11" s="79"/>
      <c r="EE11" s="78">
        <f t="shared" si="121"/>
        <v>38598.653000000006</v>
      </c>
      <c r="EF11" s="78">
        <f t="shared" si="81"/>
        <v>771.9730600000001</v>
      </c>
      <c r="EG11" s="78">
        <f t="shared" si="82"/>
        <v>39370.62606</v>
      </c>
      <c r="EH11" s="78">
        <f t="shared" si="83"/>
        <v>705.0602004</v>
      </c>
      <c r="EI11" s="77">
        <f t="shared" si="84"/>
        <v>42.1291346</v>
      </c>
      <c r="EJ11" s="79"/>
      <c r="EK11" s="78">
        <f t="shared" si="122"/>
        <v>387.44700000000006</v>
      </c>
      <c r="EL11" s="78">
        <f t="shared" si="85"/>
        <v>7.74894</v>
      </c>
      <c r="EM11" s="78">
        <f t="shared" si="86"/>
        <v>395.19594000000006</v>
      </c>
      <c r="EN11" s="78">
        <f t="shared" si="87"/>
        <v>7.0772796</v>
      </c>
      <c r="EO11" s="77">
        <f t="shared" si="88"/>
        <v>0.4228854</v>
      </c>
      <c r="EP11" s="79"/>
      <c r="EQ11" s="78">
        <f t="shared" si="123"/>
        <v>719.372</v>
      </c>
      <c r="ER11" s="78">
        <f t="shared" si="89"/>
        <v>14.38744</v>
      </c>
      <c r="ES11" s="78">
        <f t="shared" si="90"/>
        <v>733.7594399999999</v>
      </c>
      <c r="ET11" s="78">
        <f t="shared" si="91"/>
        <v>13.1403696</v>
      </c>
      <c r="EU11" s="77">
        <f t="shared" si="92"/>
        <v>0.7851703999999999</v>
      </c>
      <c r="EV11" s="79"/>
      <c r="EW11" s="78">
        <f t="shared" si="124"/>
        <v>130039.766</v>
      </c>
      <c r="EX11" s="78">
        <f t="shared" si="93"/>
        <v>2600.79532</v>
      </c>
      <c r="EY11" s="78">
        <f t="shared" si="94"/>
        <v>132640.56132</v>
      </c>
      <c r="EZ11" s="78">
        <f t="shared" si="95"/>
        <v>2375.3643288</v>
      </c>
      <c r="FA11" s="77">
        <f t="shared" si="96"/>
        <v>141.9340412</v>
      </c>
      <c r="FB11" s="79"/>
      <c r="FC11" s="78">
        <f t="shared" si="125"/>
        <v>241711.40600000002</v>
      </c>
      <c r="FD11" s="78">
        <f t="shared" si="97"/>
        <v>4834.228120000001</v>
      </c>
      <c r="FE11" s="78">
        <f t="shared" si="98"/>
        <v>246545.63412000003</v>
      </c>
      <c r="FF11" s="78">
        <f t="shared" si="99"/>
        <v>4415.2082808</v>
      </c>
      <c r="FG11" s="77">
        <f t="shared" si="100"/>
        <v>263.8198892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 hidden="1">
      <c r="A12" s="51">
        <v>44470</v>
      </c>
      <c r="C12" s="77"/>
      <c r="D12" s="77"/>
      <c r="E12" s="77">
        <f t="shared" si="0"/>
        <v>0</v>
      </c>
      <c r="F12" s="77"/>
      <c r="G12" s="77"/>
      <c r="H12" s="79"/>
      <c r="I12" s="79">
        <f>'2010C Academic'!I12</f>
        <v>0</v>
      </c>
      <c r="J12" s="79">
        <f>'2010C Academic'!J12</f>
        <v>0</v>
      </c>
      <c r="K12" s="79">
        <f t="shared" si="1"/>
        <v>0</v>
      </c>
      <c r="L12" s="79">
        <f>'2010C Academic'!L12</f>
        <v>0</v>
      </c>
      <c r="M12" s="79">
        <f>'2010C Academic'!M12</f>
        <v>0</v>
      </c>
      <c r="N12" s="79"/>
      <c r="O12" s="78">
        <f t="shared" si="2"/>
        <v>0</v>
      </c>
      <c r="P12" s="80">
        <f t="shared" si="2"/>
        <v>0</v>
      </c>
      <c r="Q12" s="78">
        <f t="shared" si="3"/>
        <v>0</v>
      </c>
      <c r="R12" s="78">
        <f t="shared" si="4"/>
        <v>0</v>
      </c>
      <c r="S12" s="78">
        <f t="shared" si="4"/>
        <v>0</v>
      </c>
      <c r="T12" s="79"/>
      <c r="U12" s="78"/>
      <c r="V12" s="77">
        <f t="shared" si="5"/>
        <v>0</v>
      </c>
      <c r="W12" s="78">
        <f t="shared" si="6"/>
        <v>0</v>
      </c>
      <c r="X12" s="78">
        <f t="shared" si="7"/>
        <v>0</v>
      </c>
      <c r="Y12" s="77">
        <f t="shared" si="8"/>
        <v>0</v>
      </c>
      <c r="Z12" s="79"/>
      <c r="AA12" s="78"/>
      <c r="AB12" s="78">
        <f t="shared" si="9"/>
        <v>0</v>
      </c>
      <c r="AC12" s="78">
        <f t="shared" si="10"/>
        <v>0</v>
      </c>
      <c r="AD12" s="78">
        <f t="shared" si="11"/>
        <v>0</v>
      </c>
      <c r="AE12" s="77">
        <f t="shared" si="12"/>
        <v>0</v>
      </c>
      <c r="AF12" s="79"/>
      <c r="AG12" s="78"/>
      <c r="AH12" s="78">
        <f t="shared" si="13"/>
        <v>0</v>
      </c>
      <c r="AI12" s="78">
        <f t="shared" si="14"/>
        <v>0</v>
      </c>
      <c r="AJ12" s="78">
        <f t="shared" si="15"/>
        <v>0</v>
      </c>
      <c r="AK12" s="77">
        <f t="shared" si="16"/>
        <v>0</v>
      </c>
      <c r="AL12" s="79"/>
      <c r="AM12" s="78"/>
      <c r="AN12" s="78">
        <f t="shared" si="17"/>
        <v>0</v>
      </c>
      <c r="AO12" s="78">
        <f t="shared" si="18"/>
        <v>0</v>
      </c>
      <c r="AP12" s="78">
        <f t="shared" si="19"/>
        <v>0</v>
      </c>
      <c r="AQ12" s="77">
        <f t="shared" si="20"/>
        <v>0</v>
      </c>
      <c r="AR12" s="79"/>
      <c r="AS12" s="78"/>
      <c r="AT12" s="78">
        <f t="shared" si="21"/>
        <v>0</v>
      </c>
      <c r="AU12" s="78">
        <f t="shared" si="22"/>
        <v>0</v>
      </c>
      <c r="AV12" s="78">
        <f t="shared" si="23"/>
        <v>0</v>
      </c>
      <c r="AW12" s="77">
        <f t="shared" si="24"/>
        <v>0</v>
      </c>
      <c r="AX12" s="79"/>
      <c r="AY12" s="78"/>
      <c r="AZ12" s="78">
        <f t="shared" si="25"/>
        <v>0</v>
      </c>
      <c r="BA12" s="78">
        <f t="shared" si="26"/>
        <v>0</v>
      </c>
      <c r="BB12" s="78">
        <f t="shared" si="27"/>
        <v>0</v>
      </c>
      <c r="BC12" s="77">
        <f t="shared" si="28"/>
        <v>0</v>
      </c>
      <c r="BD12" s="79"/>
      <c r="BE12" s="78"/>
      <c r="BF12" s="78">
        <f t="shared" si="29"/>
        <v>0</v>
      </c>
      <c r="BG12" s="78">
        <f t="shared" si="30"/>
        <v>0</v>
      </c>
      <c r="BH12" s="78">
        <f t="shared" si="31"/>
        <v>0</v>
      </c>
      <c r="BI12" s="77">
        <f t="shared" si="32"/>
        <v>0</v>
      </c>
      <c r="BJ12" s="79"/>
      <c r="BK12" s="78"/>
      <c r="BL12" s="78">
        <f t="shared" si="33"/>
        <v>0</v>
      </c>
      <c r="BM12" s="78">
        <f t="shared" si="34"/>
        <v>0</v>
      </c>
      <c r="BN12" s="78">
        <f t="shared" si="35"/>
        <v>0</v>
      </c>
      <c r="BO12" s="77">
        <f t="shared" si="36"/>
        <v>0</v>
      </c>
      <c r="BP12" s="79"/>
      <c r="BQ12" s="78"/>
      <c r="BR12" s="78">
        <f t="shared" si="37"/>
        <v>0</v>
      </c>
      <c r="BS12" s="78">
        <f t="shared" si="38"/>
        <v>0</v>
      </c>
      <c r="BT12" s="78">
        <f t="shared" si="39"/>
        <v>0</v>
      </c>
      <c r="BU12" s="77">
        <f t="shared" si="40"/>
        <v>0</v>
      </c>
      <c r="BV12" s="79"/>
      <c r="BW12" s="78"/>
      <c r="BX12" s="78">
        <f t="shared" si="41"/>
        <v>0</v>
      </c>
      <c r="BY12" s="78">
        <f t="shared" si="42"/>
        <v>0</v>
      </c>
      <c r="BZ12" s="78">
        <f t="shared" si="43"/>
        <v>0</v>
      </c>
      <c r="CA12" s="77">
        <f t="shared" si="44"/>
        <v>0</v>
      </c>
      <c r="CB12" s="79"/>
      <c r="CC12" s="78"/>
      <c r="CD12" s="78">
        <f t="shared" si="45"/>
        <v>0</v>
      </c>
      <c r="CE12" s="78">
        <f t="shared" si="46"/>
        <v>0</v>
      </c>
      <c r="CF12" s="78">
        <f t="shared" si="47"/>
        <v>0</v>
      </c>
      <c r="CG12" s="77">
        <f t="shared" si="48"/>
        <v>0</v>
      </c>
      <c r="CH12" s="79"/>
      <c r="CI12" s="78"/>
      <c r="CJ12" s="78">
        <f t="shared" si="49"/>
        <v>0</v>
      </c>
      <c r="CK12" s="78">
        <f t="shared" si="50"/>
        <v>0</v>
      </c>
      <c r="CL12" s="78">
        <f t="shared" si="51"/>
        <v>0</v>
      </c>
      <c r="CM12" s="77">
        <f t="shared" si="52"/>
        <v>0</v>
      </c>
      <c r="CN12" s="79"/>
      <c r="CO12" s="78"/>
      <c r="CP12" s="78">
        <f t="shared" si="53"/>
        <v>0</v>
      </c>
      <c r="CQ12" s="78">
        <f t="shared" si="54"/>
        <v>0</v>
      </c>
      <c r="CR12" s="78">
        <f t="shared" si="55"/>
        <v>0</v>
      </c>
      <c r="CS12" s="77">
        <f t="shared" si="56"/>
        <v>0</v>
      </c>
      <c r="CT12" s="79"/>
      <c r="CU12" s="78"/>
      <c r="CV12" s="78">
        <f t="shared" si="57"/>
        <v>0</v>
      </c>
      <c r="CW12" s="78">
        <f t="shared" si="58"/>
        <v>0</v>
      </c>
      <c r="CX12" s="78">
        <f t="shared" si="59"/>
        <v>0</v>
      </c>
      <c r="CY12" s="77">
        <f t="shared" si="60"/>
        <v>0</v>
      </c>
      <c r="CZ12" s="79"/>
      <c r="DA12" s="78"/>
      <c r="DB12" s="78">
        <f t="shared" si="61"/>
        <v>0</v>
      </c>
      <c r="DC12" s="78">
        <f t="shared" si="62"/>
        <v>0</v>
      </c>
      <c r="DD12" s="78">
        <f t="shared" si="63"/>
        <v>0</v>
      </c>
      <c r="DE12" s="77">
        <f t="shared" si="64"/>
        <v>0</v>
      </c>
      <c r="DF12" s="79"/>
      <c r="DG12" s="78"/>
      <c r="DH12" s="78">
        <f t="shared" si="65"/>
        <v>0</v>
      </c>
      <c r="DI12" s="78">
        <f t="shared" si="66"/>
        <v>0</v>
      </c>
      <c r="DJ12" s="78">
        <f t="shared" si="67"/>
        <v>0</v>
      </c>
      <c r="DK12" s="77">
        <f t="shared" si="68"/>
        <v>0</v>
      </c>
      <c r="DL12" s="79"/>
      <c r="DM12" s="90"/>
      <c r="DN12" s="90">
        <f t="shared" si="69"/>
        <v>0</v>
      </c>
      <c r="DO12" s="90">
        <f t="shared" si="70"/>
        <v>0</v>
      </c>
      <c r="DP12" s="90">
        <f t="shared" si="71"/>
        <v>0</v>
      </c>
      <c r="DQ12" s="92">
        <f t="shared" si="72"/>
        <v>0</v>
      </c>
      <c r="DR12" s="79"/>
      <c r="DS12" s="78"/>
      <c r="DT12" s="78">
        <f t="shared" si="73"/>
        <v>0</v>
      </c>
      <c r="DU12" s="78">
        <f t="shared" si="74"/>
        <v>0</v>
      </c>
      <c r="DV12" s="78">
        <f t="shared" si="75"/>
        <v>0</v>
      </c>
      <c r="DW12" s="77">
        <f t="shared" si="76"/>
        <v>0</v>
      </c>
      <c r="DX12" s="79"/>
      <c r="DY12" s="78"/>
      <c r="DZ12" s="78">
        <f t="shared" si="77"/>
        <v>0</v>
      </c>
      <c r="EA12" s="78">
        <f t="shared" si="78"/>
        <v>0</v>
      </c>
      <c r="EB12" s="78">
        <f t="shared" si="79"/>
        <v>0</v>
      </c>
      <c r="EC12" s="77">
        <f t="shared" si="80"/>
        <v>0</v>
      </c>
      <c r="ED12" s="79"/>
      <c r="EE12" s="78"/>
      <c r="EF12" s="78">
        <f t="shared" si="81"/>
        <v>0</v>
      </c>
      <c r="EG12" s="78">
        <f t="shared" si="82"/>
        <v>0</v>
      </c>
      <c r="EH12" s="78">
        <f t="shared" si="83"/>
        <v>0</v>
      </c>
      <c r="EI12" s="77">
        <f t="shared" si="84"/>
        <v>0</v>
      </c>
      <c r="EJ12" s="79"/>
      <c r="EK12" s="78"/>
      <c r="EL12" s="78">
        <f t="shared" si="85"/>
        <v>0</v>
      </c>
      <c r="EM12" s="78">
        <f t="shared" si="86"/>
        <v>0</v>
      </c>
      <c r="EN12" s="78">
        <f t="shared" si="87"/>
        <v>0</v>
      </c>
      <c r="EO12" s="77">
        <f t="shared" si="88"/>
        <v>0</v>
      </c>
      <c r="EP12" s="79"/>
      <c r="EQ12" s="78"/>
      <c r="ER12" s="78">
        <f t="shared" si="89"/>
        <v>0</v>
      </c>
      <c r="ES12" s="78">
        <f t="shared" si="90"/>
        <v>0</v>
      </c>
      <c r="ET12" s="78">
        <f t="shared" si="91"/>
        <v>0</v>
      </c>
      <c r="EU12" s="77">
        <f t="shared" si="92"/>
        <v>0</v>
      </c>
      <c r="EV12" s="79"/>
      <c r="EW12" s="78"/>
      <c r="EX12" s="78">
        <f t="shared" si="93"/>
        <v>0</v>
      </c>
      <c r="EY12" s="78">
        <f t="shared" si="94"/>
        <v>0</v>
      </c>
      <c r="EZ12" s="78">
        <f t="shared" si="95"/>
        <v>0</v>
      </c>
      <c r="FA12" s="77">
        <f t="shared" si="96"/>
        <v>0</v>
      </c>
      <c r="FB12" s="79"/>
      <c r="FC12" s="78"/>
      <c r="FD12" s="78">
        <f t="shared" si="97"/>
        <v>0</v>
      </c>
      <c r="FE12" s="78">
        <f t="shared" si="98"/>
        <v>0</v>
      </c>
      <c r="FF12" s="78">
        <f t="shared" si="99"/>
        <v>0</v>
      </c>
      <c r="FG12" s="77">
        <f t="shared" si="100"/>
        <v>0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 hidden="1">
      <c r="A13" s="51">
        <v>44652</v>
      </c>
      <c r="C13" s="77"/>
      <c r="D13" s="77"/>
      <c r="E13" s="77">
        <f t="shared" si="0"/>
        <v>0</v>
      </c>
      <c r="F13" s="77"/>
      <c r="G13" s="77"/>
      <c r="H13" s="79"/>
      <c r="I13" s="79">
        <f>'2010C Academic'!I13</f>
        <v>0</v>
      </c>
      <c r="J13" s="79">
        <f>'2010C Academic'!J13</f>
        <v>0</v>
      </c>
      <c r="K13" s="79">
        <f t="shared" si="1"/>
        <v>0</v>
      </c>
      <c r="L13" s="79">
        <f>'2010C Academic'!L13</f>
        <v>0</v>
      </c>
      <c r="M13" s="79">
        <f>'2010C Academic'!M13</f>
        <v>0</v>
      </c>
      <c r="N13" s="79"/>
      <c r="O13" s="78">
        <f t="shared" si="2"/>
        <v>0</v>
      </c>
      <c r="P13" s="80">
        <f t="shared" si="2"/>
        <v>0</v>
      </c>
      <c r="Q13" s="78">
        <f t="shared" si="3"/>
        <v>0</v>
      </c>
      <c r="R13" s="78">
        <f t="shared" si="4"/>
        <v>0</v>
      </c>
      <c r="S13" s="78">
        <f t="shared" si="4"/>
        <v>0</v>
      </c>
      <c r="T13" s="79"/>
      <c r="U13" s="78">
        <f t="shared" si="102"/>
        <v>0</v>
      </c>
      <c r="V13" s="77">
        <f t="shared" si="5"/>
        <v>0</v>
      </c>
      <c r="W13" s="78">
        <f t="shared" si="6"/>
        <v>0</v>
      </c>
      <c r="X13" s="78">
        <f t="shared" si="7"/>
        <v>0</v>
      </c>
      <c r="Y13" s="77">
        <f t="shared" si="8"/>
        <v>0</v>
      </c>
      <c r="Z13" s="79"/>
      <c r="AA13" s="78">
        <f t="shared" si="103"/>
        <v>0</v>
      </c>
      <c r="AB13" s="78">
        <f t="shared" si="9"/>
        <v>0</v>
      </c>
      <c r="AC13" s="78">
        <f t="shared" si="10"/>
        <v>0</v>
      </c>
      <c r="AD13" s="78">
        <f t="shared" si="11"/>
        <v>0</v>
      </c>
      <c r="AE13" s="77">
        <f t="shared" si="12"/>
        <v>0</v>
      </c>
      <c r="AF13" s="79"/>
      <c r="AG13" s="78">
        <f t="shared" si="104"/>
        <v>0</v>
      </c>
      <c r="AH13" s="78">
        <f t="shared" si="13"/>
        <v>0</v>
      </c>
      <c r="AI13" s="78">
        <f t="shared" si="14"/>
        <v>0</v>
      </c>
      <c r="AJ13" s="78">
        <f t="shared" si="15"/>
        <v>0</v>
      </c>
      <c r="AK13" s="77">
        <f t="shared" si="16"/>
        <v>0</v>
      </c>
      <c r="AL13" s="79"/>
      <c r="AM13" s="78">
        <f t="shared" si="105"/>
        <v>0</v>
      </c>
      <c r="AN13" s="78">
        <f t="shared" si="17"/>
        <v>0</v>
      </c>
      <c r="AO13" s="78">
        <f t="shared" si="18"/>
        <v>0</v>
      </c>
      <c r="AP13" s="78">
        <f t="shared" si="19"/>
        <v>0</v>
      </c>
      <c r="AQ13" s="77">
        <f t="shared" si="20"/>
        <v>0</v>
      </c>
      <c r="AR13" s="79"/>
      <c r="AS13" s="78">
        <f t="shared" si="106"/>
        <v>0</v>
      </c>
      <c r="AT13" s="78">
        <f t="shared" si="21"/>
        <v>0</v>
      </c>
      <c r="AU13" s="78">
        <f t="shared" si="22"/>
        <v>0</v>
      </c>
      <c r="AV13" s="78">
        <f t="shared" si="23"/>
        <v>0</v>
      </c>
      <c r="AW13" s="77">
        <f t="shared" si="24"/>
        <v>0</v>
      </c>
      <c r="AX13" s="79"/>
      <c r="AY13" s="78">
        <f t="shared" si="107"/>
        <v>0</v>
      </c>
      <c r="AZ13" s="78">
        <f t="shared" si="25"/>
        <v>0</v>
      </c>
      <c r="BA13" s="78">
        <f t="shared" si="26"/>
        <v>0</v>
      </c>
      <c r="BB13" s="78">
        <f t="shared" si="27"/>
        <v>0</v>
      </c>
      <c r="BC13" s="77">
        <f t="shared" si="28"/>
        <v>0</v>
      </c>
      <c r="BD13" s="79"/>
      <c r="BE13" s="78">
        <f t="shared" si="108"/>
        <v>0</v>
      </c>
      <c r="BF13" s="78">
        <f t="shared" si="29"/>
        <v>0</v>
      </c>
      <c r="BG13" s="78">
        <f t="shared" si="30"/>
        <v>0</v>
      </c>
      <c r="BH13" s="78">
        <f t="shared" si="31"/>
        <v>0</v>
      </c>
      <c r="BI13" s="77">
        <f t="shared" si="32"/>
        <v>0</v>
      </c>
      <c r="BJ13" s="79"/>
      <c r="BK13" s="78">
        <f t="shared" si="109"/>
        <v>0</v>
      </c>
      <c r="BL13" s="78">
        <f t="shared" si="33"/>
        <v>0</v>
      </c>
      <c r="BM13" s="78">
        <f t="shared" si="34"/>
        <v>0</v>
      </c>
      <c r="BN13" s="78">
        <f t="shared" si="35"/>
        <v>0</v>
      </c>
      <c r="BO13" s="77">
        <f t="shared" si="36"/>
        <v>0</v>
      </c>
      <c r="BP13" s="79"/>
      <c r="BQ13" s="78">
        <f t="shared" si="110"/>
        <v>0</v>
      </c>
      <c r="BR13" s="78">
        <f t="shared" si="37"/>
        <v>0</v>
      </c>
      <c r="BS13" s="78">
        <f t="shared" si="38"/>
        <v>0</v>
      </c>
      <c r="BT13" s="78">
        <f t="shared" si="39"/>
        <v>0</v>
      </c>
      <c r="BU13" s="77">
        <f t="shared" si="40"/>
        <v>0</v>
      </c>
      <c r="BV13" s="79"/>
      <c r="BW13" s="78">
        <f t="shared" si="111"/>
        <v>0</v>
      </c>
      <c r="BX13" s="78">
        <f t="shared" si="41"/>
        <v>0</v>
      </c>
      <c r="BY13" s="78">
        <f t="shared" si="42"/>
        <v>0</v>
      </c>
      <c r="BZ13" s="78">
        <f t="shared" si="43"/>
        <v>0</v>
      </c>
      <c r="CA13" s="77">
        <f t="shared" si="44"/>
        <v>0</v>
      </c>
      <c r="CB13" s="79"/>
      <c r="CC13" s="78">
        <f t="shared" si="112"/>
        <v>0</v>
      </c>
      <c r="CD13" s="78">
        <f t="shared" si="45"/>
        <v>0</v>
      </c>
      <c r="CE13" s="78">
        <f t="shared" si="46"/>
        <v>0</v>
      </c>
      <c r="CF13" s="78">
        <f t="shared" si="47"/>
        <v>0</v>
      </c>
      <c r="CG13" s="77">
        <f t="shared" si="48"/>
        <v>0</v>
      </c>
      <c r="CH13" s="79"/>
      <c r="CI13" s="78">
        <f t="shared" si="113"/>
        <v>0</v>
      </c>
      <c r="CJ13" s="78">
        <f t="shared" si="49"/>
        <v>0</v>
      </c>
      <c r="CK13" s="78">
        <f t="shared" si="50"/>
        <v>0</v>
      </c>
      <c r="CL13" s="78">
        <f t="shared" si="51"/>
        <v>0</v>
      </c>
      <c r="CM13" s="77">
        <f t="shared" si="52"/>
        <v>0</v>
      </c>
      <c r="CN13" s="79"/>
      <c r="CO13" s="78">
        <f t="shared" si="114"/>
        <v>0</v>
      </c>
      <c r="CP13" s="78">
        <f t="shared" si="53"/>
        <v>0</v>
      </c>
      <c r="CQ13" s="78">
        <f t="shared" si="54"/>
        <v>0</v>
      </c>
      <c r="CR13" s="78">
        <f t="shared" si="55"/>
        <v>0</v>
      </c>
      <c r="CS13" s="77">
        <f t="shared" si="56"/>
        <v>0</v>
      </c>
      <c r="CT13" s="79"/>
      <c r="CU13" s="78">
        <f t="shared" si="115"/>
        <v>0</v>
      </c>
      <c r="CV13" s="78">
        <f t="shared" si="57"/>
        <v>0</v>
      </c>
      <c r="CW13" s="78">
        <f t="shared" si="58"/>
        <v>0</v>
      </c>
      <c r="CX13" s="78">
        <f t="shared" si="59"/>
        <v>0</v>
      </c>
      <c r="CY13" s="77">
        <f t="shared" si="60"/>
        <v>0</v>
      </c>
      <c r="CZ13" s="79"/>
      <c r="DA13" s="78">
        <f t="shared" si="116"/>
        <v>0</v>
      </c>
      <c r="DB13" s="78">
        <f t="shared" si="61"/>
        <v>0</v>
      </c>
      <c r="DC13" s="78">
        <f t="shared" si="62"/>
        <v>0</v>
      </c>
      <c r="DD13" s="78">
        <f t="shared" si="63"/>
        <v>0</v>
      </c>
      <c r="DE13" s="77">
        <f t="shared" si="64"/>
        <v>0</v>
      </c>
      <c r="DF13" s="79"/>
      <c r="DG13" s="78">
        <f t="shared" si="117"/>
        <v>0</v>
      </c>
      <c r="DH13" s="78">
        <f t="shared" si="65"/>
        <v>0</v>
      </c>
      <c r="DI13" s="78">
        <f t="shared" si="66"/>
        <v>0</v>
      </c>
      <c r="DJ13" s="78">
        <f t="shared" si="67"/>
        <v>0</v>
      </c>
      <c r="DK13" s="77">
        <f t="shared" si="68"/>
        <v>0</v>
      </c>
      <c r="DL13" s="79"/>
      <c r="DM13" s="90">
        <f t="shared" si="118"/>
        <v>0</v>
      </c>
      <c r="DN13" s="90">
        <f t="shared" si="69"/>
        <v>0</v>
      </c>
      <c r="DO13" s="90">
        <f t="shared" si="70"/>
        <v>0</v>
      </c>
      <c r="DP13" s="90">
        <f t="shared" si="71"/>
        <v>0</v>
      </c>
      <c r="DQ13" s="92">
        <f t="shared" si="72"/>
        <v>0</v>
      </c>
      <c r="DR13" s="79"/>
      <c r="DS13" s="78">
        <f t="shared" si="119"/>
        <v>0</v>
      </c>
      <c r="DT13" s="78">
        <f t="shared" si="73"/>
        <v>0</v>
      </c>
      <c r="DU13" s="78">
        <f t="shared" si="74"/>
        <v>0</v>
      </c>
      <c r="DV13" s="78">
        <f t="shared" si="75"/>
        <v>0</v>
      </c>
      <c r="DW13" s="77">
        <f t="shared" si="76"/>
        <v>0</v>
      </c>
      <c r="DX13" s="79"/>
      <c r="DY13" s="78">
        <f t="shared" si="120"/>
        <v>0</v>
      </c>
      <c r="DZ13" s="78">
        <f t="shared" si="77"/>
        <v>0</v>
      </c>
      <c r="EA13" s="78">
        <f t="shared" si="78"/>
        <v>0</v>
      </c>
      <c r="EB13" s="78">
        <f t="shared" si="79"/>
        <v>0</v>
      </c>
      <c r="EC13" s="77">
        <f t="shared" si="80"/>
        <v>0</v>
      </c>
      <c r="ED13" s="79"/>
      <c r="EE13" s="78">
        <f t="shared" si="121"/>
        <v>0</v>
      </c>
      <c r="EF13" s="78">
        <f t="shared" si="81"/>
        <v>0</v>
      </c>
      <c r="EG13" s="78">
        <f t="shared" si="82"/>
        <v>0</v>
      </c>
      <c r="EH13" s="78">
        <f t="shared" si="83"/>
        <v>0</v>
      </c>
      <c r="EI13" s="77">
        <f t="shared" si="84"/>
        <v>0</v>
      </c>
      <c r="EJ13" s="79"/>
      <c r="EK13" s="78">
        <f t="shared" si="122"/>
        <v>0</v>
      </c>
      <c r="EL13" s="78">
        <f t="shared" si="85"/>
        <v>0</v>
      </c>
      <c r="EM13" s="78">
        <f t="shared" si="86"/>
        <v>0</v>
      </c>
      <c r="EN13" s="78">
        <f t="shared" si="87"/>
        <v>0</v>
      </c>
      <c r="EO13" s="77">
        <f t="shared" si="88"/>
        <v>0</v>
      </c>
      <c r="EP13" s="79"/>
      <c r="EQ13" s="78">
        <f t="shared" si="123"/>
        <v>0</v>
      </c>
      <c r="ER13" s="78">
        <f t="shared" si="89"/>
        <v>0</v>
      </c>
      <c r="ES13" s="78">
        <f t="shared" si="90"/>
        <v>0</v>
      </c>
      <c r="ET13" s="78">
        <f t="shared" si="91"/>
        <v>0</v>
      </c>
      <c r="EU13" s="77">
        <f t="shared" si="92"/>
        <v>0</v>
      </c>
      <c r="EV13" s="79"/>
      <c r="EW13" s="78">
        <f t="shared" si="124"/>
        <v>0</v>
      </c>
      <c r="EX13" s="78">
        <f t="shared" si="93"/>
        <v>0</v>
      </c>
      <c r="EY13" s="78">
        <f t="shared" si="94"/>
        <v>0</v>
      </c>
      <c r="EZ13" s="78">
        <f t="shared" si="95"/>
        <v>0</v>
      </c>
      <c r="FA13" s="77">
        <f t="shared" si="96"/>
        <v>0</v>
      </c>
      <c r="FB13" s="79"/>
      <c r="FC13" s="78">
        <f t="shared" si="125"/>
        <v>0</v>
      </c>
      <c r="FD13" s="78">
        <f t="shared" si="97"/>
        <v>0</v>
      </c>
      <c r="FE13" s="78">
        <f t="shared" si="98"/>
        <v>0</v>
      </c>
      <c r="FF13" s="78">
        <f t="shared" si="99"/>
        <v>0</v>
      </c>
      <c r="FG13" s="77">
        <f t="shared" si="100"/>
        <v>0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 hidden="1">
      <c r="A14" s="51">
        <v>44835</v>
      </c>
      <c r="C14" s="77"/>
      <c r="D14" s="77"/>
      <c r="E14" s="77">
        <f t="shared" si="0"/>
        <v>0</v>
      </c>
      <c r="F14" s="77"/>
      <c r="G14" s="77"/>
      <c r="H14" s="79"/>
      <c r="I14" s="79">
        <f>'2010C Academic'!I14</f>
        <v>0</v>
      </c>
      <c r="J14" s="79">
        <f>'2010C Academic'!J14</f>
        <v>0</v>
      </c>
      <c r="K14" s="79">
        <f t="shared" si="1"/>
        <v>0</v>
      </c>
      <c r="L14" s="79">
        <f>'2010C Academic'!L14</f>
        <v>0</v>
      </c>
      <c r="M14" s="79">
        <f>'2010C Academic'!M14</f>
        <v>0</v>
      </c>
      <c r="N14" s="79"/>
      <c r="O14" s="78">
        <f t="shared" si="2"/>
        <v>0</v>
      </c>
      <c r="P14" s="80">
        <f t="shared" si="2"/>
        <v>0</v>
      </c>
      <c r="Q14" s="78">
        <f t="shared" si="3"/>
        <v>0</v>
      </c>
      <c r="R14" s="78">
        <f t="shared" si="4"/>
        <v>0</v>
      </c>
      <c r="S14" s="78">
        <f t="shared" si="4"/>
        <v>0</v>
      </c>
      <c r="T14" s="79"/>
      <c r="U14" s="78"/>
      <c r="V14" s="77">
        <f t="shared" si="5"/>
        <v>0</v>
      </c>
      <c r="W14" s="78">
        <f t="shared" si="6"/>
        <v>0</v>
      </c>
      <c r="X14" s="78">
        <f t="shared" si="7"/>
        <v>0</v>
      </c>
      <c r="Y14" s="77">
        <f t="shared" si="8"/>
        <v>0</v>
      </c>
      <c r="Z14" s="79"/>
      <c r="AA14" s="78"/>
      <c r="AB14" s="78">
        <f t="shared" si="9"/>
        <v>0</v>
      </c>
      <c r="AC14" s="78">
        <f t="shared" si="10"/>
        <v>0</v>
      </c>
      <c r="AD14" s="78">
        <f t="shared" si="11"/>
        <v>0</v>
      </c>
      <c r="AE14" s="77">
        <f t="shared" si="12"/>
        <v>0</v>
      </c>
      <c r="AF14" s="79"/>
      <c r="AG14" s="78"/>
      <c r="AH14" s="78">
        <f t="shared" si="13"/>
        <v>0</v>
      </c>
      <c r="AI14" s="78">
        <f t="shared" si="14"/>
        <v>0</v>
      </c>
      <c r="AJ14" s="78">
        <f t="shared" si="15"/>
        <v>0</v>
      </c>
      <c r="AK14" s="77">
        <f t="shared" si="16"/>
        <v>0</v>
      </c>
      <c r="AL14" s="79"/>
      <c r="AM14" s="78"/>
      <c r="AN14" s="78">
        <f t="shared" si="17"/>
        <v>0</v>
      </c>
      <c r="AO14" s="78">
        <f t="shared" si="18"/>
        <v>0</v>
      </c>
      <c r="AP14" s="78">
        <f t="shared" si="19"/>
        <v>0</v>
      </c>
      <c r="AQ14" s="77">
        <f t="shared" si="20"/>
        <v>0</v>
      </c>
      <c r="AR14" s="79"/>
      <c r="AS14" s="78"/>
      <c r="AT14" s="78">
        <f t="shared" si="21"/>
        <v>0</v>
      </c>
      <c r="AU14" s="78">
        <f t="shared" si="22"/>
        <v>0</v>
      </c>
      <c r="AV14" s="78">
        <f t="shared" si="23"/>
        <v>0</v>
      </c>
      <c r="AW14" s="77">
        <f t="shared" si="24"/>
        <v>0</v>
      </c>
      <c r="AX14" s="79"/>
      <c r="AY14" s="78"/>
      <c r="AZ14" s="78">
        <f t="shared" si="25"/>
        <v>0</v>
      </c>
      <c r="BA14" s="78">
        <f t="shared" si="26"/>
        <v>0</v>
      </c>
      <c r="BB14" s="78">
        <f t="shared" si="27"/>
        <v>0</v>
      </c>
      <c r="BC14" s="77">
        <f t="shared" si="28"/>
        <v>0</v>
      </c>
      <c r="BD14" s="79"/>
      <c r="BE14" s="78"/>
      <c r="BF14" s="78">
        <f t="shared" si="29"/>
        <v>0</v>
      </c>
      <c r="BG14" s="78">
        <f t="shared" si="30"/>
        <v>0</v>
      </c>
      <c r="BH14" s="78">
        <f t="shared" si="31"/>
        <v>0</v>
      </c>
      <c r="BI14" s="77">
        <f t="shared" si="32"/>
        <v>0</v>
      </c>
      <c r="BJ14" s="79"/>
      <c r="BK14" s="78"/>
      <c r="BL14" s="78">
        <f t="shared" si="33"/>
        <v>0</v>
      </c>
      <c r="BM14" s="78">
        <f t="shared" si="34"/>
        <v>0</v>
      </c>
      <c r="BN14" s="78">
        <f t="shared" si="35"/>
        <v>0</v>
      </c>
      <c r="BO14" s="77">
        <f t="shared" si="36"/>
        <v>0</v>
      </c>
      <c r="BP14" s="79"/>
      <c r="BQ14" s="78"/>
      <c r="BR14" s="78">
        <f t="shared" si="37"/>
        <v>0</v>
      </c>
      <c r="BS14" s="78">
        <f t="shared" si="38"/>
        <v>0</v>
      </c>
      <c r="BT14" s="78">
        <f t="shared" si="39"/>
        <v>0</v>
      </c>
      <c r="BU14" s="77">
        <f t="shared" si="40"/>
        <v>0</v>
      </c>
      <c r="BV14" s="79"/>
      <c r="BW14" s="78"/>
      <c r="BX14" s="78">
        <f t="shared" si="41"/>
        <v>0</v>
      </c>
      <c r="BY14" s="78">
        <f t="shared" si="42"/>
        <v>0</v>
      </c>
      <c r="BZ14" s="78">
        <f t="shared" si="43"/>
        <v>0</v>
      </c>
      <c r="CA14" s="77">
        <f t="shared" si="44"/>
        <v>0</v>
      </c>
      <c r="CB14" s="79"/>
      <c r="CC14" s="78"/>
      <c r="CD14" s="78">
        <f t="shared" si="45"/>
        <v>0</v>
      </c>
      <c r="CE14" s="78">
        <f t="shared" si="46"/>
        <v>0</v>
      </c>
      <c r="CF14" s="78">
        <f t="shared" si="47"/>
        <v>0</v>
      </c>
      <c r="CG14" s="77">
        <f t="shared" si="48"/>
        <v>0</v>
      </c>
      <c r="CH14" s="79"/>
      <c r="CI14" s="78"/>
      <c r="CJ14" s="78">
        <f t="shared" si="49"/>
        <v>0</v>
      </c>
      <c r="CK14" s="78">
        <f t="shared" si="50"/>
        <v>0</v>
      </c>
      <c r="CL14" s="78">
        <f t="shared" si="51"/>
        <v>0</v>
      </c>
      <c r="CM14" s="77">
        <f t="shared" si="52"/>
        <v>0</v>
      </c>
      <c r="CN14" s="79"/>
      <c r="CO14" s="78"/>
      <c r="CP14" s="78">
        <f t="shared" si="53"/>
        <v>0</v>
      </c>
      <c r="CQ14" s="78">
        <f t="shared" si="54"/>
        <v>0</v>
      </c>
      <c r="CR14" s="78">
        <f t="shared" si="55"/>
        <v>0</v>
      </c>
      <c r="CS14" s="77">
        <f t="shared" si="56"/>
        <v>0</v>
      </c>
      <c r="CT14" s="79"/>
      <c r="CU14" s="78"/>
      <c r="CV14" s="78">
        <f t="shared" si="57"/>
        <v>0</v>
      </c>
      <c r="CW14" s="78">
        <f t="shared" si="58"/>
        <v>0</v>
      </c>
      <c r="CX14" s="78">
        <f t="shared" si="59"/>
        <v>0</v>
      </c>
      <c r="CY14" s="77">
        <f t="shared" si="60"/>
        <v>0</v>
      </c>
      <c r="CZ14" s="79"/>
      <c r="DA14" s="78"/>
      <c r="DB14" s="78">
        <f t="shared" si="61"/>
        <v>0</v>
      </c>
      <c r="DC14" s="78">
        <f t="shared" si="62"/>
        <v>0</v>
      </c>
      <c r="DD14" s="78">
        <f t="shared" si="63"/>
        <v>0</v>
      </c>
      <c r="DE14" s="77">
        <f t="shared" si="64"/>
        <v>0</v>
      </c>
      <c r="DF14" s="79"/>
      <c r="DG14" s="78"/>
      <c r="DH14" s="78">
        <f t="shared" si="65"/>
        <v>0</v>
      </c>
      <c r="DI14" s="78">
        <f t="shared" si="66"/>
        <v>0</v>
      </c>
      <c r="DJ14" s="78">
        <f t="shared" si="67"/>
        <v>0</v>
      </c>
      <c r="DK14" s="77">
        <f t="shared" si="68"/>
        <v>0</v>
      </c>
      <c r="DL14" s="79"/>
      <c r="DM14" s="90"/>
      <c r="DN14" s="90">
        <f t="shared" si="69"/>
        <v>0</v>
      </c>
      <c r="DO14" s="90">
        <f t="shared" si="70"/>
        <v>0</v>
      </c>
      <c r="DP14" s="90">
        <f t="shared" si="71"/>
        <v>0</v>
      </c>
      <c r="DQ14" s="92">
        <f t="shared" si="72"/>
        <v>0</v>
      </c>
      <c r="DR14" s="79"/>
      <c r="DS14" s="78"/>
      <c r="DT14" s="78">
        <f t="shared" si="73"/>
        <v>0</v>
      </c>
      <c r="DU14" s="78">
        <f t="shared" si="74"/>
        <v>0</v>
      </c>
      <c r="DV14" s="78">
        <f t="shared" si="75"/>
        <v>0</v>
      </c>
      <c r="DW14" s="77">
        <f t="shared" si="76"/>
        <v>0</v>
      </c>
      <c r="DX14" s="79"/>
      <c r="DY14" s="78"/>
      <c r="DZ14" s="78">
        <f t="shared" si="77"/>
        <v>0</v>
      </c>
      <c r="EA14" s="78">
        <f t="shared" si="78"/>
        <v>0</v>
      </c>
      <c r="EB14" s="78">
        <f t="shared" si="79"/>
        <v>0</v>
      </c>
      <c r="EC14" s="77">
        <f t="shared" si="80"/>
        <v>0</v>
      </c>
      <c r="ED14" s="79"/>
      <c r="EE14" s="78"/>
      <c r="EF14" s="78">
        <f t="shared" si="81"/>
        <v>0</v>
      </c>
      <c r="EG14" s="78">
        <f t="shared" si="82"/>
        <v>0</v>
      </c>
      <c r="EH14" s="78">
        <f t="shared" si="83"/>
        <v>0</v>
      </c>
      <c r="EI14" s="77">
        <f t="shared" si="84"/>
        <v>0</v>
      </c>
      <c r="EJ14" s="79"/>
      <c r="EK14" s="78"/>
      <c r="EL14" s="78">
        <f t="shared" si="85"/>
        <v>0</v>
      </c>
      <c r="EM14" s="78">
        <f t="shared" si="86"/>
        <v>0</v>
      </c>
      <c r="EN14" s="78">
        <f t="shared" si="87"/>
        <v>0</v>
      </c>
      <c r="EO14" s="77">
        <f t="shared" si="88"/>
        <v>0</v>
      </c>
      <c r="EP14" s="79"/>
      <c r="EQ14" s="78"/>
      <c r="ER14" s="78">
        <f t="shared" si="89"/>
        <v>0</v>
      </c>
      <c r="ES14" s="78">
        <f t="shared" si="90"/>
        <v>0</v>
      </c>
      <c r="ET14" s="78">
        <f t="shared" si="91"/>
        <v>0</v>
      </c>
      <c r="EU14" s="77">
        <f t="shared" si="92"/>
        <v>0</v>
      </c>
      <c r="EV14" s="79"/>
      <c r="EW14" s="78"/>
      <c r="EX14" s="78">
        <f t="shared" si="93"/>
        <v>0</v>
      </c>
      <c r="EY14" s="78">
        <f t="shared" si="94"/>
        <v>0</v>
      </c>
      <c r="EZ14" s="78">
        <f t="shared" si="95"/>
        <v>0</v>
      </c>
      <c r="FA14" s="77">
        <f t="shared" si="96"/>
        <v>0</v>
      </c>
      <c r="FB14" s="79"/>
      <c r="FC14" s="78"/>
      <c r="FD14" s="78">
        <f t="shared" si="97"/>
        <v>0</v>
      </c>
      <c r="FE14" s="78">
        <f t="shared" si="98"/>
        <v>0</v>
      </c>
      <c r="FF14" s="78">
        <f t="shared" si="99"/>
        <v>0</v>
      </c>
      <c r="FG14" s="77">
        <f t="shared" si="100"/>
        <v>0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 hidden="1">
      <c r="A15" s="51">
        <v>45017</v>
      </c>
      <c r="C15" s="77"/>
      <c r="D15" s="77"/>
      <c r="E15" s="77">
        <f t="shared" si="0"/>
        <v>0</v>
      </c>
      <c r="F15" s="77"/>
      <c r="G15" s="77"/>
      <c r="H15" s="79"/>
      <c r="I15" s="79">
        <f>'2010C Academic'!I15</f>
        <v>0</v>
      </c>
      <c r="J15" s="79">
        <f>'2010C Academic'!J15</f>
        <v>0</v>
      </c>
      <c r="K15" s="79">
        <f t="shared" si="1"/>
        <v>0</v>
      </c>
      <c r="L15" s="79">
        <f>'2010C Academic'!L15</f>
        <v>0</v>
      </c>
      <c r="M15" s="79">
        <f>'2010C Academic'!M15</f>
        <v>0</v>
      </c>
      <c r="N15" s="79"/>
      <c r="O15" s="78">
        <f t="shared" si="2"/>
        <v>0</v>
      </c>
      <c r="P15" s="80">
        <f t="shared" si="2"/>
        <v>0</v>
      </c>
      <c r="Q15" s="78">
        <f t="shared" si="3"/>
        <v>0</v>
      </c>
      <c r="R15" s="78">
        <f t="shared" si="4"/>
        <v>0</v>
      </c>
      <c r="S15" s="78">
        <f t="shared" si="4"/>
        <v>0</v>
      </c>
      <c r="T15" s="79"/>
      <c r="U15" s="78">
        <f t="shared" si="102"/>
        <v>0</v>
      </c>
      <c r="V15" s="77">
        <f t="shared" si="5"/>
        <v>0</v>
      </c>
      <c r="W15" s="78">
        <f t="shared" si="6"/>
        <v>0</v>
      </c>
      <c r="X15" s="78">
        <f t="shared" si="7"/>
        <v>0</v>
      </c>
      <c r="Y15" s="77">
        <f t="shared" si="8"/>
        <v>0</v>
      </c>
      <c r="Z15" s="79"/>
      <c r="AA15" s="78">
        <f t="shared" si="103"/>
        <v>0</v>
      </c>
      <c r="AB15" s="78">
        <f t="shared" si="9"/>
        <v>0</v>
      </c>
      <c r="AC15" s="78">
        <f t="shared" si="10"/>
        <v>0</v>
      </c>
      <c r="AD15" s="78">
        <f t="shared" si="11"/>
        <v>0</v>
      </c>
      <c r="AE15" s="77">
        <f t="shared" si="12"/>
        <v>0</v>
      </c>
      <c r="AF15" s="79"/>
      <c r="AG15" s="78">
        <f t="shared" si="104"/>
        <v>0</v>
      </c>
      <c r="AH15" s="78">
        <f t="shared" si="13"/>
        <v>0</v>
      </c>
      <c r="AI15" s="78">
        <f t="shared" si="14"/>
        <v>0</v>
      </c>
      <c r="AJ15" s="78">
        <f t="shared" si="15"/>
        <v>0</v>
      </c>
      <c r="AK15" s="77">
        <f t="shared" si="16"/>
        <v>0</v>
      </c>
      <c r="AL15" s="79"/>
      <c r="AM15" s="78">
        <f t="shared" si="105"/>
        <v>0</v>
      </c>
      <c r="AN15" s="78">
        <f t="shared" si="17"/>
        <v>0</v>
      </c>
      <c r="AO15" s="78">
        <f t="shared" si="18"/>
        <v>0</v>
      </c>
      <c r="AP15" s="78">
        <f t="shared" si="19"/>
        <v>0</v>
      </c>
      <c r="AQ15" s="77">
        <f t="shared" si="20"/>
        <v>0</v>
      </c>
      <c r="AR15" s="79"/>
      <c r="AS15" s="78">
        <f t="shared" si="106"/>
        <v>0</v>
      </c>
      <c r="AT15" s="78">
        <f t="shared" si="21"/>
        <v>0</v>
      </c>
      <c r="AU15" s="78">
        <f t="shared" si="22"/>
        <v>0</v>
      </c>
      <c r="AV15" s="78">
        <f t="shared" si="23"/>
        <v>0</v>
      </c>
      <c r="AW15" s="77">
        <f t="shared" si="24"/>
        <v>0</v>
      </c>
      <c r="AX15" s="79"/>
      <c r="AY15" s="78">
        <f t="shared" si="107"/>
        <v>0</v>
      </c>
      <c r="AZ15" s="78">
        <f t="shared" si="25"/>
        <v>0</v>
      </c>
      <c r="BA15" s="78">
        <f t="shared" si="26"/>
        <v>0</v>
      </c>
      <c r="BB15" s="78">
        <f t="shared" si="27"/>
        <v>0</v>
      </c>
      <c r="BC15" s="77">
        <f t="shared" si="28"/>
        <v>0</v>
      </c>
      <c r="BD15" s="79"/>
      <c r="BE15" s="78">
        <f t="shared" si="108"/>
        <v>0</v>
      </c>
      <c r="BF15" s="78">
        <f t="shared" si="29"/>
        <v>0</v>
      </c>
      <c r="BG15" s="78">
        <f t="shared" si="30"/>
        <v>0</v>
      </c>
      <c r="BH15" s="78">
        <f t="shared" si="31"/>
        <v>0</v>
      </c>
      <c r="BI15" s="77">
        <f t="shared" si="32"/>
        <v>0</v>
      </c>
      <c r="BJ15" s="79"/>
      <c r="BK15" s="78">
        <f t="shared" si="109"/>
        <v>0</v>
      </c>
      <c r="BL15" s="78">
        <f t="shared" si="33"/>
        <v>0</v>
      </c>
      <c r="BM15" s="78">
        <f t="shared" si="34"/>
        <v>0</v>
      </c>
      <c r="BN15" s="78">
        <f t="shared" si="35"/>
        <v>0</v>
      </c>
      <c r="BO15" s="77">
        <f t="shared" si="36"/>
        <v>0</v>
      </c>
      <c r="BP15" s="79"/>
      <c r="BQ15" s="78">
        <f t="shared" si="110"/>
        <v>0</v>
      </c>
      <c r="BR15" s="78">
        <f t="shared" si="37"/>
        <v>0</v>
      </c>
      <c r="BS15" s="78">
        <f t="shared" si="38"/>
        <v>0</v>
      </c>
      <c r="BT15" s="78">
        <f t="shared" si="39"/>
        <v>0</v>
      </c>
      <c r="BU15" s="77">
        <f t="shared" si="40"/>
        <v>0</v>
      </c>
      <c r="BV15" s="79"/>
      <c r="BW15" s="78">
        <f t="shared" si="111"/>
        <v>0</v>
      </c>
      <c r="BX15" s="78">
        <f t="shared" si="41"/>
        <v>0</v>
      </c>
      <c r="BY15" s="78">
        <f t="shared" si="42"/>
        <v>0</v>
      </c>
      <c r="BZ15" s="78">
        <f t="shared" si="43"/>
        <v>0</v>
      </c>
      <c r="CA15" s="77">
        <f t="shared" si="44"/>
        <v>0</v>
      </c>
      <c r="CB15" s="79"/>
      <c r="CC15" s="78">
        <f t="shared" si="112"/>
        <v>0</v>
      </c>
      <c r="CD15" s="78">
        <f t="shared" si="45"/>
        <v>0</v>
      </c>
      <c r="CE15" s="78">
        <f t="shared" si="46"/>
        <v>0</v>
      </c>
      <c r="CF15" s="78">
        <f t="shared" si="47"/>
        <v>0</v>
      </c>
      <c r="CG15" s="77">
        <f t="shared" si="48"/>
        <v>0</v>
      </c>
      <c r="CH15" s="79"/>
      <c r="CI15" s="78">
        <f t="shared" si="113"/>
        <v>0</v>
      </c>
      <c r="CJ15" s="78">
        <f t="shared" si="49"/>
        <v>0</v>
      </c>
      <c r="CK15" s="78">
        <f t="shared" si="50"/>
        <v>0</v>
      </c>
      <c r="CL15" s="78">
        <f t="shared" si="51"/>
        <v>0</v>
      </c>
      <c r="CM15" s="77">
        <f t="shared" si="52"/>
        <v>0</v>
      </c>
      <c r="CN15" s="79"/>
      <c r="CO15" s="78">
        <f t="shared" si="114"/>
        <v>0</v>
      </c>
      <c r="CP15" s="78">
        <f t="shared" si="53"/>
        <v>0</v>
      </c>
      <c r="CQ15" s="78">
        <f t="shared" si="54"/>
        <v>0</v>
      </c>
      <c r="CR15" s="78">
        <f t="shared" si="55"/>
        <v>0</v>
      </c>
      <c r="CS15" s="77">
        <f t="shared" si="56"/>
        <v>0</v>
      </c>
      <c r="CT15" s="79"/>
      <c r="CU15" s="78">
        <f t="shared" si="115"/>
        <v>0</v>
      </c>
      <c r="CV15" s="78">
        <f t="shared" si="57"/>
        <v>0</v>
      </c>
      <c r="CW15" s="78">
        <f t="shared" si="58"/>
        <v>0</v>
      </c>
      <c r="CX15" s="78">
        <f t="shared" si="59"/>
        <v>0</v>
      </c>
      <c r="CY15" s="77">
        <f t="shared" si="60"/>
        <v>0</v>
      </c>
      <c r="CZ15" s="79"/>
      <c r="DA15" s="78">
        <f t="shared" si="116"/>
        <v>0</v>
      </c>
      <c r="DB15" s="78">
        <f t="shared" si="61"/>
        <v>0</v>
      </c>
      <c r="DC15" s="78">
        <f t="shared" si="62"/>
        <v>0</v>
      </c>
      <c r="DD15" s="78">
        <f t="shared" si="63"/>
        <v>0</v>
      </c>
      <c r="DE15" s="77">
        <f t="shared" si="64"/>
        <v>0</v>
      </c>
      <c r="DF15" s="79"/>
      <c r="DG15" s="78">
        <f t="shared" si="117"/>
        <v>0</v>
      </c>
      <c r="DH15" s="78">
        <f t="shared" si="65"/>
        <v>0</v>
      </c>
      <c r="DI15" s="78">
        <f t="shared" si="66"/>
        <v>0</v>
      </c>
      <c r="DJ15" s="78">
        <f t="shared" si="67"/>
        <v>0</v>
      </c>
      <c r="DK15" s="77">
        <f t="shared" si="68"/>
        <v>0</v>
      </c>
      <c r="DL15" s="79"/>
      <c r="DM15" s="90">
        <f t="shared" si="118"/>
        <v>0</v>
      </c>
      <c r="DN15" s="90">
        <f t="shared" si="69"/>
        <v>0</v>
      </c>
      <c r="DO15" s="90">
        <f t="shared" si="70"/>
        <v>0</v>
      </c>
      <c r="DP15" s="90">
        <f t="shared" si="71"/>
        <v>0</v>
      </c>
      <c r="DQ15" s="92">
        <f t="shared" si="72"/>
        <v>0</v>
      </c>
      <c r="DR15" s="79"/>
      <c r="DS15" s="78">
        <f t="shared" si="119"/>
        <v>0</v>
      </c>
      <c r="DT15" s="78">
        <f t="shared" si="73"/>
        <v>0</v>
      </c>
      <c r="DU15" s="78">
        <f t="shared" si="74"/>
        <v>0</v>
      </c>
      <c r="DV15" s="78">
        <f t="shared" si="75"/>
        <v>0</v>
      </c>
      <c r="DW15" s="77">
        <f t="shared" si="76"/>
        <v>0</v>
      </c>
      <c r="DX15" s="79"/>
      <c r="DY15" s="78">
        <f t="shared" si="120"/>
        <v>0</v>
      </c>
      <c r="DZ15" s="78">
        <f t="shared" si="77"/>
        <v>0</v>
      </c>
      <c r="EA15" s="78">
        <f t="shared" si="78"/>
        <v>0</v>
      </c>
      <c r="EB15" s="78">
        <f t="shared" si="79"/>
        <v>0</v>
      </c>
      <c r="EC15" s="77">
        <f t="shared" si="80"/>
        <v>0</v>
      </c>
      <c r="ED15" s="79"/>
      <c r="EE15" s="78">
        <f t="shared" si="121"/>
        <v>0</v>
      </c>
      <c r="EF15" s="78">
        <f t="shared" si="81"/>
        <v>0</v>
      </c>
      <c r="EG15" s="78">
        <f t="shared" si="82"/>
        <v>0</v>
      </c>
      <c r="EH15" s="78">
        <f t="shared" si="83"/>
        <v>0</v>
      </c>
      <c r="EI15" s="77">
        <f t="shared" si="84"/>
        <v>0</v>
      </c>
      <c r="EJ15" s="79"/>
      <c r="EK15" s="78">
        <f t="shared" si="122"/>
        <v>0</v>
      </c>
      <c r="EL15" s="78">
        <f t="shared" si="85"/>
        <v>0</v>
      </c>
      <c r="EM15" s="78">
        <f t="shared" si="86"/>
        <v>0</v>
      </c>
      <c r="EN15" s="78">
        <f t="shared" si="87"/>
        <v>0</v>
      </c>
      <c r="EO15" s="77">
        <f t="shared" si="88"/>
        <v>0</v>
      </c>
      <c r="EP15" s="79"/>
      <c r="EQ15" s="78">
        <f t="shared" si="123"/>
        <v>0</v>
      </c>
      <c r="ER15" s="78">
        <f t="shared" si="89"/>
        <v>0</v>
      </c>
      <c r="ES15" s="78">
        <f t="shared" si="90"/>
        <v>0</v>
      </c>
      <c r="ET15" s="78">
        <f t="shared" si="91"/>
        <v>0</v>
      </c>
      <c r="EU15" s="77">
        <f t="shared" si="92"/>
        <v>0</v>
      </c>
      <c r="EV15" s="79"/>
      <c r="EW15" s="78">
        <f t="shared" si="124"/>
        <v>0</v>
      </c>
      <c r="EX15" s="78">
        <f t="shared" si="93"/>
        <v>0</v>
      </c>
      <c r="EY15" s="78">
        <f t="shared" si="94"/>
        <v>0</v>
      </c>
      <c r="EZ15" s="78">
        <f t="shared" si="95"/>
        <v>0</v>
      </c>
      <c r="FA15" s="77">
        <f t="shared" si="96"/>
        <v>0</v>
      </c>
      <c r="FB15" s="79"/>
      <c r="FC15" s="78">
        <f t="shared" si="125"/>
        <v>0</v>
      </c>
      <c r="FD15" s="78">
        <f t="shared" si="97"/>
        <v>0</v>
      </c>
      <c r="FE15" s="78">
        <f t="shared" si="98"/>
        <v>0</v>
      </c>
      <c r="FF15" s="78">
        <f t="shared" si="99"/>
        <v>0</v>
      </c>
      <c r="FG15" s="77">
        <f t="shared" si="100"/>
        <v>0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 hidden="1">
      <c r="A16" s="51">
        <v>45200</v>
      </c>
      <c r="C16" s="77"/>
      <c r="D16" s="77"/>
      <c r="E16" s="77">
        <f t="shared" si="0"/>
        <v>0</v>
      </c>
      <c r="F16" s="77"/>
      <c r="G16" s="77"/>
      <c r="H16" s="79"/>
      <c r="I16" s="79">
        <f>'2010C Academic'!I16</f>
        <v>0</v>
      </c>
      <c r="J16" s="79">
        <f>'2010C Academic'!J16</f>
        <v>0</v>
      </c>
      <c r="K16" s="79">
        <f t="shared" si="1"/>
        <v>0</v>
      </c>
      <c r="L16" s="79">
        <f>'2010C Academic'!L16</f>
        <v>0</v>
      </c>
      <c r="M16" s="79">
        <f>'2010C Academic'!M16</f>
        <v>0</v>
      </c>
      <c r="N16" s="79"/>
      <c r="O16" s="78">
        <f t="shared" si="2"/>
        <v>0</v>
      </c>
      <c r="P16" s="80">
        <f t="shared" si="2"/>
        <v>0</v>
      </c>
      <c r="Q16" s="78">
        <f t="shared" si="3"/>
        <v>0</v>
      </c>
      <c r="R16" s="78">
        <f t="shared" si="4"/>
        <v>0</v>
      </c>
      <c r="S16" s="78">
        <f t="shared" si="4"/>
        <v>0</v>
      </c>
      <c r="T16" s="79"/>
      <c r="U16" s="78"/>
      <c r="V16" s="77">
        <f t="shared" si="5"/>
        <v>0</v>
      </c>
      <c r="W16" s="78">
        <f t="shared" si="6"/>
        <v>0</v>
      </c>
      <c r="X16" s="78">
        <f t="shared" si="7"/>
        <v>0</v>
      </c>
      <c r="Y16" s="77">
        <f t="shared" si="8"/>
        <v>0</v>
      </c>
      <c r="Z16" s="79"/>
      <c r="AA16" s="78"/>
      <c r="AB16" s="78">
        <f t="shared" si="9"/>
        <v>0</v>
      </c>
      <c r="AC16" s="78">
        <f t="shared" si="10"/>
        <v>0</v>
      </c>
      <c r="AD16" s="78">
        <f t="shared" si="11"/>
        <v>0</v>
      </c>
      <c r="AE16" s="77">
        <f t="shared" si="12"/>
        <v>0</v>
      </c>
      <c r="AF16" s="79"/>
      <c r="AG16" s="78"/>
      <c r="AH16" s="78">
        <f t="shared" si="13"/>
        <v>0</v>
      </c>
      <c r="AI16" s="78">
        <f t="shared" si="14"/>
        <v>0</v>
      </c>
      <c r="AJ16" s="78">
        <f t="shared" si="15"/>
        <v>0</v>
      </c>
      <c r="AK16" s="77">
        <f t="shared" si="16"/>
        <v>0</v>
      </c>
      <c r="AL16" s="79"/>
      <c r="AM16" s="78"/>
      <c r="AN16" s="78">
        <f t="shared" si="17"/>
        <v>0</v>
      </c>
      <c r="AO16" s="78">
        <f t="shared" si="18"/>
        <v>0</v>
      </c>
      <c r="AP16" s="78">
        <f t="shared" si="19"/>
        <v>0</v>
      </c>
      <c r="AQ16" s="77">
        <f t="shared" si="20"/>
        <v>0</v>
      </c>
      <c r="AR16" s="79"/>
      <c r="AS16" s="78"/>
      <c r="AT16" s="78">
        <f t="shared" si="21"/>
        <v>0</v>
      </c>
      <c r="AU16" s="78">
        <f t="shared" si="22"/>
        <v>0</v>
      </c>
      <c r="AV16" s="78">
        <f t="shared" si="23"/>
        <v>0</v>
      </c>
      <c r="AW16" s="77">
        <f t="shared" si="24"/>
        <v>0</v>
      </c>
      <c r="AX16" s="79"/>
      <c r="AY16" s="78"/>
      <c r="AZ16" s="78">
        <f t="shared" si="25"/>
        <v>0</v>
      </c>
      <c r="BA16" s="78">
        <f t="shared" si="26"/>
        <v>0</v>
      </c>
      <c r="BB16" s="78">
        <f t="shared" si="27"/>
        <v>0</v>
      </c>
      <c r="BC16" s="77">
        <f t="shared" si="28"/>
        <v>0</v>
      </c>
      <c r="BD16" s="79"/>
      <c r="BE16" s="78"/>
      <c r="BF16" s="78">
        <f t="shared" si="29"/>
        <v>0</v>
      </c>
      <c r="BG16" s="78">
        <f t="shared" si="30"/>
        <v>0</v>
      </c>
      <c r="BH16" s="78">
        <f t="shared" si="31"/>
        <v>0</v>
      </c>
      <c r="BI16" s="77">
        <f t="shared" si="32"/>
        <v>0</v>
      </c>
      <c r="BJ16" s="79"/>
      <c r="BK16" s="78"/>
      <c r="BL16" s="78">
        <f t="shared" si="33"/>
        <v>0</v>
      </c>
      <c r="BM16" s="78">
        <f t="shared" si="34"/>
        <v>0</v>
      </c>
      <c r="BN16" s="78">
        <f t="shared" si="35"/>
        <v>0</v>
      </c>
      <c r="BO16" s="77">
        <f t="shared" si="36"/>
        <v>0</v>
      </c>
      <c r="BP16" s="79"/>
      <c r="BQ16" s="78"/>
      <c r="BR16" s="78">
        <f t="shared" si="37"/>
        <v>0</v>
      </c>
      <c r="BS16" s="78">
        <f t="shared" si="38"/>
        <v>0</v>
      </c>
      <c r="BT16" s="78">
        <f t="shared" si="39"/>
        <v>0</v>
      </c>
      <c r="BU16" s="77">
        <f t="shared" si="40"/>
        <v>0</v>
      </c>
      <c r="BV16" s="79"/>
      <c r="BW16" s="78"/>
      <c r="BX16" s="78">
        <f t="shared" si="41"/>
        <v>0</v>
      </c>
      <c r="BY16" s="78">
        <f t="shared" si="42"/>
        <v>0</v>
      </c>
      <c r="BZ16" s="78">
        <f t="shared" si="43"/>
        <v>0</v>
      </c>
      <c r="CA16" s="77">
        <f t="shared" si="44"/>
        <v>0</v>
      </c>
      <c r="CB16" s="79"/>
      <c r="CC16" s="78"/>
      <c r="CD16" s="78">
        <f t="shared" si="45"/>
        <v>0</v>
      </c>
      <c r="CE16" s="78">
        <f t="shared" si="46"/>
        <v>0</v>
      </c>
      <c r="CF16" s="78">
        <f t="shared" si="47"/>
        <v>0</v>
      </c>
      <c r="CG16" s="77">
        <f t="shared" si="48"/>
        <v>0</v>
      </c>
      <c r="CH16" s="79"/>
      <c r="CI16" s="78"/>
      <c r="CJ16" s="78">
        <f t="shared" si="49"/>
        <v>0</v>
      </c>
      <c r="CK16" s="78">
        <f t="shared" si="50"/>
        <v>0</v>
      </c>
      <c r="CL16" s="78">
        <f t="shared" si="51"/>
        <v>0</v>
      </c>
      <c r="CM16" s="77">
        <f t="shared" si="52"/>
        <v>0</v>
      </c>
      <c r="CN16" s="79"/>
      <c r="CO16" s="78"/>
      <c r="CP16" s="78">
        <f t="shared" si="53"/>
        <v>0</v>
      </c>
      <c r="CQ16" s="78">
        <f t="shared" si="54"/>
        <v>0</v>
      </c>
      <c r="CR16" s="78">
        <f t="shared" si="55"/>
        <v>0</v>
      </c>
      <c r="CS16" s="77">
        <f t="shared" si="56"/>
        <v>0</v>
      </c>
      <c r="CT16" s="79"/>
      <c r="CU16" s="78"/>
      <c r="CV16" s="78">
        <f t="shared" si="57"/>
        <v>0</v>
      </c>
      <c r="CW16" s="78">
        <f t="shared" si="58"/>
        <v>0</v>
      </c>
      <c r="CX16" s="78">
        <f t="shared" si="59"/>
        <v>0</v>
      </c>
      <c r="CY16" s="77">
        <f t="shared" si="60"/>
        <v>0</v>
      </c>
      <c r="CZ16" s="79"/>
      <c r="DA16" s="78"/>
      <c r="DB16" s="78">
        <f t="shared" si="61"/>
        <v>0</v>
      </c>
      <c r="DC16" s="78">
        <f t="shared" si="62"/>
        <v>0</v>
      </c>
      <c r="DD16" s="78">
        <f t="shared" si="63"/>
        <v>0</v>
      </c>
      <c r="DE16" s="77">
        <f t="shared" si="64"/>
        <v>0</v>
      </c>
      <c r="DF16" s="79"/>
      <c r="DG16" s="78"/>
      <c r="DH16" s="78">
        <f t="shared" si="65"/>
        <v>0</v>
      </c>
      <c r="DI16" s="78">
        <f t="shared" si="66"/>
        <v>0</v>
      </c>
      <c r="DJ16" s="78">
        <f t="shared" si="67"/>
        <v>0</v>
      </c>
      <c r="DK16" s="77">
        <f t="shared" si="68"/>
        <v>0</v>
      </c>
      <c r="DL16" s="79"/>
      <c r="DM16" s="90"/>
      <c r="DN16" s="90">
        <f t="shared" si="69"/>
        <v>0</v>
      </c>
      <c r="DO16" s="90">
        <f t="shared" si="70"/>
        <v>0</v>
      </c>
      <c r="DP16" s="90">
        <f t="shared" si="71"/>
        <v>0</v>
      </c>
      <c r="DQ16" s="92">
        <f t="shared" si="72"/>
        <v>0</v>
      </c>
      <c r="DR16" s="79"/>
      <c r="DS16" s="78"/>
      <c r="DT16" s="78">
        <f t="shared" si="73"/>
        <v>0</v>
      </c>
      <c r="DU16" s="78">
        <f t="shared" si="74"/>
        <v>0</v>
      </c>
      <c r="DV16" s="78">
        <f t="shared" si="75"/>
        <v>0</v>
      </c>
      <c r="DW16" s="77">
        <f t="shared" si="76"/>
        <v>0</v>
      </c>
      <c r="DX16" s="79"/>
      <c r="DY16" s="78"/>
      <c r="DZ16" s="78">
        <f t="shared" si="77"/>
        <v>0</v>
      </c>
      <c r="EA16" s="78">
        <f t="shared" si="78"/>
        <v>0</v>
      </c>
      <c r="EB16" s="78">
        <f t="shared" si="79"/>
        <v>0</v>
      </c>
      <c r="EC16" s="77">
        <f t="shared" si="80"/>
        <v>0</v>
      </c>
      <c r="ED16" s="79"/>
      <c r="EE16" s="78"/>
      <c r="EF16" s="78">
        <f t="shared" si="81"/>
        <v>0</v>
      </c>
      <c r="EG16" s="78">
        <f t="shared" si="82"/>
        <v>0</v>
      </c>
      <c r="EH16" s="78">
        <f t="shared" si="83"/>
        <v>0</v>
      </c>
      <c r="EI16" s="77">
        <f t="shared" si="84"/>
        <v>0</v>
      </c>
      <c r="EJ16" s="79"/>
      <c r="EK16" s="78"/>
      <c r="EL16" s="78">
        <f t="shared" si="85"/>
        <v>0</v>
      </c>
      <c r="EM16" s="78">
        <f t="shared" si="86"/>
        <v>0</v>
      </c>
      <c r="EN16" s="78">
        <f t="shared" si="87"/>
        <v>0</v>
      </c>
      <c r="EO16" s="77">
        <f t="shared" si="88"/>
        <v>0</v>
      </c>
      <c r="EP16" s="79"/>
      <c r="EQ16" s="78"/>
      <c r="ER16" s="78">
        <f t="shared" si="89"/>
        <v>0</v>
      </c>
      <c r="ES16" s="78">
        <f t="shared" si="90"/>
        <v>0</v>
      </c>
      <c r="ET16" s="78">
        <f t="shared" si="91"/>
        <v>0</v>
      </c>
      <c r="EU16" s="77">
        <f t="shared" si="92"/>
        <v>0</v>
      </c>
      <c r="EV16" s="79"/>
      <c r="EW16" s="78"/>
      <c r="EX16" s="78">
        <f t="shared" si="93"/>
        <v>0</v>
      </c>
      <c r="EY16" s="78">
        <f t="shared" si="94"/>
        <v>0</v>
      </c>
      <c r="EZ16" s="78">
        <f t="shared" si="95"/>
        <v>0</v>
      </c>
      <c r="FA16" s="77">
        <f t="shared" si="96"/>
        <v>0</v>
      </c>
      <c r="FB16" s="79"/>
      <c r="FC16" s="78"/>
      <c r="FD16" s="78">
        <f t="shared" si="97"/>
        <v>0</v>
      </c>
      <c r="FE16" s="78">
        <f t="shared" si="98"/>
        <v>0</v>
      </c>
      <c r="FF16" s="78">
        <f t="shared" si="99"/>
        <v>0</v>
      </c>
      <c r="FG16" s="77">
        <f t="shared" si="100"/>
        <v>0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 hidden="1">
      <c r="A17" s="51">
        <v>45383</v>
      </c>
      <c r="C17" s="77"/>
      <c r="D17" s="77"/>
      <c r="E17" s="77">
        <f t="shared" si="0"/>
        <v>0</v>
      </c>
      <c r="F17" s="77"/>
      <c r="G17" s="77"/>
      <c r="H17" s="79"/>
      <c r="I17" s="79">
        <f>'2010C Academic'!I17</f>
        <v>0</v>
      </c>
      <c r="J17" s="79">
        <f>'2010C Academic'!J17</f>
        <v>0</v>
      </c>
      <c r="K17" s="79">
        <f t="shared" si="1"/>
        <v>0</v>
      </c>
      <c r="L17" s="79">
        <f>'2010C Academic'!L17</f>
        <v>0</v>
      </c>
      <c r="M17" s="79">
        <f>'2010C Academic'!M17</f>
        <v>0</v>
      </c>
      <c r="N17" s="79"/>
      <c r="O17" s="78">
        <f t="shared" si="2"/>
        <v>0</v>
      </c>
      <c r="P17" s="80">
        <f t="shared" si="2"/>
        <v>0</v>
      </c>
      <c r="Q17" s="78">
        <f t="shared" si="3"/>
        <v>0</v>
      </c>
      <c r="R17" s="78">
        <f t="shared" si="4"/>
        <v>0</v>
      </c>
      <c r="S17" s="78">
        <f t="shared" si="4"/>
        <v>0</v>
      </c>
      <c r="T17" s="79"/>
      <c r="U17" s="78">
        <f t="shared" si="102"/>
        <v>0</v>
      </c>
      <c r="V17" s="77">
        <f t="shared" si="5"/>
        <v>0</v>
      </c>
      <c r="W17" s="78">
        <f t="shared" si="6"/>
        <v>0</v>
      </c>
      <c r="X17" s="78">
        <f t="shared" si="7"/>
        <v>0</v>
      </c>
      <c r="Y17" s="77">
        <f t="shared" si="8"/>
        <v>0</v>
      </c>
      <c r="Z17" s="79"/>
      <c r="AA17" s="78">
        <f t="shared" si="103"/>
        <v>0</v>
      </c>
      <c r="AB17" s="78">
        <f t="shared" si="9"/>
        <v>0</v>
      </c>
      <c r="AC17" s="78">
        <f t="shared" si="10"/>
        <v>0</v>
      </c>
      <c r="AD17" s="78">
        <f t="shared" si="11"/>
        <v>0</v>
      </c>
      <c r="AE17" s="77">
        <f t="shared" si="12"/>
        <v>0</v>
      </c>
      <c r="AF17" s="79"/>
      <c r="AG17" s="78">
        <f t="shared" si="104"/>
        <v>0</v>
      </c>
      <c r="AH17" s="78">
        <f t="shared" si="13"/>
        <v>0</v>
      </c>
      <c r="AI17" s="78">
        <f t="shared" si="14"/>
        <v>0</v>
      </c>
      <c r="AJ17" s="78">
        <f t="shared" si="15"/>
        <v>0</v>
      </c>
      <c r="AK17" s="77">
        <f t="shared" si="16"/>
        <v>0</v>
      </c>
      <c r="AL17" s="79"/>
      <c r="AM17" s="78">
        <f t="shared" si="105"/>
        <v>0</v>
      </c>
      <c r="AN17" s="78">
        <f t="shared" si="17"/>
        <v>0</v>
      </c>
      <c r="AO17" s="78">
        <f t="shared" si="18"/>
        <v>0</v>
      </c>
      <c r="AP17" s="78">
        <f t="shared" si="19"/>
        <v>0</v>
      </c>
      <c r="AQ17" s="77">
        <f t="shared" si="20"/>
        <v>0</v>
      </c>
      <c r="AR17" s="79"/>
      <c r="AS17" s="78">
        <f t="shared" si="106"/>
        <v>0</v>
      </c>
      <c r="AT17" s="78">
        <f t="shared" si="21"/>
        <v>0</v>
      </c>
      <c r="AU17" s="78">
        <f t="shared" si="22"/>
        <v>0</v>
      </c>
      <c r="AV17" s="78">
        <f t="shared" si="23"/>
        <v>0</v>
      </c>
      <c r="AW17" s="77">
        <f t="shared" si="24"/>
        <v>0</v>
      </c>
      <c r="AX17" s="79"/>
      <c r="AY17" s="78">
        <f t="shared" si="107"/>
        <v>0</v>
      </c>
      <c r="AZ17" s="78">
        <f t="shared" si="25"/>
        <v>0</v>
      </c>
      <c r="BA17" s="78">
        <f t="shared" si="26"/>
        <v>0</v>
      </c>
      <c r="BB17" s="78">
        <f t="shared" si="27"/>
        <v>0</v>
      </c>
      <c r="BC17" s="77">
        <f t="shared" si="28"/>
        <v>0</v>
      </c>
      <c r="BD17" s="79"/>
      <c r="BE17" s="78">
        <f t="shared" si="108"/>
        <v>0</v>
      </c>
      <c r="BF17" s="78">
        <f t="shared" si="29"/>
        <v>0</v>
      </c>
      <c r="BG17" s="78">
        <f t="shared" si="30"/>
        <v>0</v>
      </c>
      <c r="BH17" s="78">
        <f t="shared" si="31"/>
        <v>0</v>
      </c>
      <c r="BI17" s="77">
        <f t="shared" si="32"/>
        <v>0</v>
      </c>
      <c r="BJ17" s="79"/>
      <c r="BK17" s="78">
        <f t="shared" si="109"/>
        <v>0</v>
      </c>
      <c r="BL17" s="78">
        <f t="shared" si="33"/>
        <v>0</v>
      </c>
      <c r="BM17" s="78">
        <f t="shared" si="34"/>
        <v>0</v>
      </c>
      <c r="BN17" s="78">
        <f t="shared" si="35"/>
        <v>0</v>
      </c>
      <c r="BO17" s="77">
        <f t="shared" si="36"/>
        <v>0</v>
      </c>
      <c r="BP17" s="79"/>
      <c r="BQ17" s="78">
        <f t="shared" si="110"/>
        <v>0</v>
      </c>
      <c r="BR17" s="78">
        <f t="shared" si="37"/>
        <v>0</v>
      </c>
      <c r="BS17" s="78">
        <f t="shared" si="38"/>
        <v>0</v>
      </c>
      <c r="BT17" s="78">
        <f t="shared" si="39"/>
        <v>0</v>
      </c>
      <c r="BU17" s="77">
        <f t="shared" si="40"/>
        <v>0</v>
      </c>
      <c r="BV17" s="79"/>
      <c r="BW17" s="78">
        <f t="shared" si="111"/>
        <v>0</v>
      </c>
      <c r="BX17" s="78">
        <f t="shared" si="41"/>
        <v>0</v>
      </c>
      <c r="BY17" s="78">
        <f t="shared" si="42"/>
        <v>0</v>
      </c>
      <c r="BZ17" s="78">
        <f t="shared" si="43"/>
        <v>0</v>
      </c>
      <c r="CA17" s="77">
        <f t="shared" si="44"/>
        <v>0</v>
      </c>
      <c r="CB17" s="79"/>
      <c r="CC17" s="78">
        <f t="shared" si="112"/>
        <v>0</v>
      </c>
      <c r="CD17" s="78">
        <f t="shared" si="45"/>
        <v>0</v>
      </c>
      <c r="CE17" s="78">
        <f t="shared" si="46"/>
        <v>0</v>
      </c>
      <c r="CF17" s="78">
        <f t="shared" si="47"/>
        <v>0</v>
      </c>
      <c r="CG17" s="77">
        <f t="shared" si="48"/>
        <v>0</v>
      </c>
      <c r="CH17" s="79"/>
      <c r="CI17" s="78">
        <f t="shared" si="113"/>
        <v>0</v>
      </c>
      <c r="CJ17" s="78">
        <f t="shared" si="49"/>
        <v>0</v>
      </c>
      <c r="CK17" s="78">
        <f t="shared" si="50"/>
        <v>0</v>
      </c>
      <c r="CL17" s="78">
        <f t="shared" si="51"/>
        <v>0</v>
      </c>
      <c r="CM17" s="77">
        <f t="shared" si="52"/>
        <v>0</v>
      </c>
      <c r="CN17" s="79"/>
      <c r="CO17" s="78">
        <f t="shared" si="114"/>
        <v>0</v>
      </c>
      <c r="CP17" s="78">
        <f t="shared" si="53"/>
        <v>0</v>
      </c>
      <c r="CQ17" s="78">
        <f t="shared" si="54"/>
        <v>0</v>
      </c>
      <c r="CR17" s="78">
        <f t="shared" si="55"/>
        <v>0</v>
      </c>
      <c r="CS17" s="77">
        <f t="shared" si="56"/>
        <v>0</v>
      </c>
      <c r="CT17" s="79"/>
      <c r="CU17" s="78">
        <f t="shared" si="115"/>
        <v>0</v>
      </c>
      <c r="CV17" s="78">
        <f t="shared" si="57"/>
        <v>0</v>
      </c>
      <c r="CW17" s="78">
        <f t="shared" si="58"/>
        <v>0</v>
      </c>
      <c r="CX17" s="78">
        <f t="shared" si="59"/>
        <v>0</v>
      </c>
      <c r="CY17" s="77">
        <f t="shared" si="60"/>
        <v>0</v>
      </c>
      <c r="CZ17" s="79"/>
      <c r="DA17" s="78">
        <f t="shared" si="116"/>
        <v>0</v>
      </c>
      <c r="DB17" s="78">
        <f t="shared" si="61"/>
        <v>0</v>
      </c>
      <c r="DC17" s="78">
        <f t="shared" si="62"/>
        <v>0</v>
      </c>
      <c r="DD17" s="78">
        <f t="shared" si="63"/>
        <v>0</v>
      </c>
      <c r="DE17" s="77">
        <f t="shared" si="64"/>
        <v>0</v>
      </c>
      <c r="DF17" s="79"/>
      <c r="DG17" s="78">
        <f t="shared" si="117"/>
        <v>0</v>
      </c>
      <c r="DH17" s="78">
        <f t="shared" si="65"/>
        <v>0</v>
      </c>
      <c r="DI17" s="78">
        <f t="shared" si="66"/>
        <v>0</v>
      </c>
      <c r="DJ17" s="78">
        <f t="shared" si="67"/>
        <v>0</v>
      </c>
      <c r="DK17" s="77">
        <f t="shared" si="68"/>
        <v>0</v>
      </c>
      <c r="DL17" s="79"/>
      <c r="DM17" s="90">
        <f t="shared" si="118"/>
        <v>0</v>
      </c>
      <c r="DN17" s="90">
        <f t="shared" si="69"/>
        <v>0</v>
      </c>
      <c r="DO17" s="90">
        <f t="shared" si="70"/>
        <v>0</v>
      </c>
      <c r="DP17" s="90">
        <f t="shared" si="71"/>
        <v>0</v>
      </c>
      <c r="DQ17" s="92">
        <f t="shared" si="72"/>
        <v>0</v>
      </c>
      <c r="DR17" s="79"/>
      <c r="DS17" s="78">
        <f t="shared" si="119"/>
        <v>0</v>
      </c>
      <c r="DT17" s="78">
        <f t="shared" si="73"/>
        <v>0</v>
      </c>
      <c r="DU17" s="78">
        <f t="shared" si="74"/>
        <v>0</v>
      </c>
      <c r="DV17" s="78">
        <f t="shared" si="75"/>
        <v>0</v>
      </c>
      <c r="DW17" s="77">
        <f t="shared" si="76"/>
        <v>0</v>
      </c>
      <c r="DX17" s="79"/>
      <c r="DY17" s="78">
        <f t="shared" si="120"/>
        <v>0</v>
      </c>
      <c r="DZ17" s="78">
        <f t="shared" si="77"/>
        <v>0</v>
      </c>
      <c r="EA17" s="78">
        <f t="shared" si="78"/>
        <v>0</v>
      </c>
      <c r="EB17" s="78">
        <f t="shared" si="79"/>
        <v>0</v>
      </c>
      <c r="EC17" s="77">
        <f t="shared" si="80"/>
        <v>0</v>
      </c>
      <c r="ED17" s="79"/>
      <c r="EE17" s="78">
        <f t="shared" si="121"/>
        <v>0</v>
      </c>
      <c r="EF17" s="78">
        <f t="shared" si="81"/>
        <v>0</v>
      </c>
      <c r="EG17" s="78">
        <f t="shared" si="82"/>
        <v>0</v>
      </c>
      <c r="EH17" s="78">
        <f t="shared" si="83"/>
        <v>0</v>
      </c>
      <c r="EI17" s="77">
        <f t="shared" si="84"/>
        <v>0</v>
      </c>
      <c r="EJ17" s="79"/>
      <c r="EK17" s="78">
        <f t="shared" si="122"/>
        <v>0</v>
      </c>
      <c r="EL17" s="78">
        <f t="shared" si="85"/>
        <v>0</v>
      </c>
      <c r="EM17" s="78">
        <f t="shared" si="86"/>
        <v>0</v>
      </c>
      <c r="EN17" s="78">
        <f t="shared" si="87"/>
        <v>0</v>
      </c>
      <c r="EO17" s="77">
        <f t="shared" si="88"/>
        <v>0</v>
      </c>
      <c r="EP17" s="79"/>
      <c r="EQ17" s="78">
        <f t="shared" si="123"/>
        <v>0</v>
      </c>
      <c r="ER17" s="78">
        <f t="shared" si="89"/>
        <v>0</v>
      </c>
      <c r="ES17" s="78">
        <f t="shared" si="90"/>
        <v>0</v>
      </c>
      <c r="ET17" s="78">
        <f t="shared" si="91"/>
        <v>0</v>
      </c>
      <c r="EU17" s="77">
        <f t="shared" si="92"/>
        <v>0</v>
      </c>
      <c r="EV17" s="79"/>
      <c r="EW17" s="78">
        <f t="shared" si="124"/>
        <v>0</v>
      </c>
      <c r="EX17" s="78">
        <f t="shared" si="93"/>
        <v>0</v>
      </c>
      <c r="EY17" s="78">
        <f t="shared" si="94"/>
        <v>0</v>
      </c>
      <c r="EZ17" s="78">
        <f t="shared" si="95"/>
        <v>0</v>
      </c>
      <c r="FA17" s="77">
        <f t="shared" si="96"/>
        <v>0</v>
      </c>
      <c r="FB17" s="79"/>
      <c r="FC17" s="78">
        <f t="shared" si="125"/>
        <v>0</v>
      </c>
      <c r="FD17" s="78">
        <f t="shared" si="97"/>
        <v>0</v>
      </c>
      <c r="FE17" s="78">
        <f t="shared" si="98"/>
        <v>0</v>
      </c>
      <c r="FF17" s="78">
        <f t="shared" si="99"/>
        <v>0</v>
      </c>
      <c r="FG17" s="77">
        <f t="shared" si="100"/>
        <v>0</v>
      </c>
      <c r="FH17" s="79"/>
      <c r="FI17" s="80"/>
      <c r="FJ17" s="78"/>
      <c r="FK17" s="78"/>
      <c r="FL17" s="78"/>
      <c r="FM17" s="77">
        <f t="shared" si="101"/>
        <v>0</v>
      </c>
    </row>
    <row r="18" spans="3:169" ht="12.75">
      <c r="C18" s="42"/>
      <c r="D18" s="42"/>
      <c r="E18" s="42"/>
      <c r="F18" s="42"/>
      <c r="G18" s="42"/>
      <c r="J18" s="50"/>
      <c r="M18" s="42"/>
      <c r="S18" s="42"/>
      <c r="Y18" s="42"/>
      <c r="AA18" s="33"/>
      <c r="AB18" s="33"/>
      <c r="AE18" s="42"/>
      <c r="AG18" s="33"/>
      <c r="AH18" s="33"/>
      <c r="AI18" s="33"/>
      <c r="AJ18" s="33"/>
      <c r="AK18" s="42"/>
      <c r="AM18" s="20"/>
      <c r="AN18" s="20"/>
      <c r="AO18" s="20"/>
      <c r="AP18" s="20"/>
      <c r="AQ18" s="42"/>
      <c r="AR18" s="33"/>
      <c r="AS18" s="33"/>
      <c r="AT18" s="33"/>
      <c r="AU18" s="33"/>
      <c r="AV18" s="33"/>
      <c r="AW18" s="42"/>
      <c r="AX18" s="33"/>
      <c r="AY18" s="33"/>
      <c r="AZ18" s="33"/>
      <c r="BA18" s="33"/>
      <c r="BB18" s="33"/>
      <c r="BC18" s="42"/>
      <c r="BD18" s="33"/>
      <c r="BE18" s="33"/>
      <c r="BF18" s="33"/>
      <c r="BG18" s="33"/>
      <c r="BH18" s="33"/>
      <c r="BI18" s="42"/>
      <c r="BJ18" s="33"/>
      <c r="BK18" s="33"/>
      <c r="BL18" s="33"/>
      <c r="BM18" s="33"/>
      <c r="BN18" s="33"/>
      <c r="BO18" s="42"/>
      <c r="BP18" s="33"/>
      <c r="BQ18" s="33"/>
      <c r="BR18" s="33"/>
      <c r="BS18" s="33"/>
      <c r="BT18" s="33"/>
      <c r="BU18" s="42"/>
      <c r="BV18" s="33"/>
      <c r="BW18" s="33"/>
      <c r="BX18" s="33"/>
      <c r="BY18" s="33"/>
      <c r="BZ18" s="33"/>
      <c r="CA18" s="42"/>
      <c r="CB18" s="33"/>
      <c r="CC18" s="33"/>
      <c r="CD18" s="33"/>
      <c r="CE18" s="33"/>
      <c r="CF18" s="33"/>
      <c r="CG18" s="42"/>
      <c r="CH18" s="33"/>
      <c r="CI18" s="33"/>
      <c r="CJ18" s="33"/>
      <c r="CK18" s="33"/>
      <c r="CL18" s="33"/>
      <c r="CM18" s="42"/>
      <c r="CN18" s="33"/>
      <c r="CO18" s="33"/>
      <c r="CP18" s="33"/>
      <c r="CQ18" s="33"/>
      <c r="CR18" s="33"/>
      <c r="CS18" s="42"/>
      <c r="CT18" s="33"/>
      <c r="CU18" s="33"/>
      <c r="CV18" s="33"/>
      <c r="CW18" s="33"/>
      <c r="CX18" s="33"/>
      <c r="CY18" s="42"/>
      <c r="CZ18" s="33"/>
      <c r="DA18" s="33"/>
      <c r="DB18" s="33"/>
      <c r="DC18" s="33"/>
      <c r="DD18" s="33"/>
      <c r="DE18" s="42"/>
      <c r="DF18" s="33"/>
      <c r="DG18" s="33"/>
      <c r="DH18" s="33"/>
      <c r="DI18" s="33"/>
      <c r="DJ18" s="33"/>
      <c r="DK18" s="42"/>
      <c r="DL18" s="33"/>
      <c r="DM18" s="93"/>
      <c r="DN18" s="93"/>
      <c r="DO18" s="93"/>
      <c r="DP18" s="93"/>
      <c r="DQ18" s="94"/>
      <c r="DR18" s="33"/>
      <c r="DS18" s="33"/>
      <c r="DT18" s="33"/>
      <c r="DU18" s="33"/>
      <c r="DV18" s="33"/>
      <c r="DW18" s="42"/>
      <c r="DX18" s="33"/>
      <c r="DY18" s="33"/>
      <c r="DZ18" s="33"/>
      <c r="EA18" s="33"/>
      <c r="EB18" s="33"/>
      <c r="EC18" s="42"/>
      <c r="ED18" s="33"/>
      <c r="EE18" s="33"/>
      <c r="EF18" s="33"/>
      <c r="EG18" s="33"/>
      <c r="EH18" s="33"/>
      <c r="EI18" s="42"/>
      <c r="EJ18" s="33"/>
      <c r="EK18" s="33"/>
      <c r="EL18" s="33"/>
      <c r="EM18" s="33"/>
      <c r="EN18" s="33"/>
      <c r="EO18" s="42"/>
      <c r="EP18" s="33"/>
      <c r="EQ18" s="33"/>
      <c r="ER18" s="33"/>
      <c r="ES18" s="33"/>
      <c r="ET18" s="33"/>
      <c r="EU18" s="42"/>
      <c r="EV18" s="33"/>
      <c r="EW18" s="33"/>
      <c r="EX18" s="33"/>
      <c r="EY18" s="33"/>
      <c r="EZ18" s="33"/>
      <c r="FA18" s="42"/>
      <c r="FB18" s="33"/>
      <c r="FC18" s="33"/>
      <c r="FD18" s="33"/>
      <c r="FE18" s="33"/>
      <c r="FF18" s="33"/>
      <c r="FG18" s="42"/>
      <c r="FH18" s="33"/>
      <c r="FI18" s="50"/>
      <c r="FJ18" s="50"/>
      <c r="FK18" s="50"/>
      <c r="FL18" s="50"/>
      <c r="FM18" s="42"/>
    </row>
    <row r="19" spans="1:169" ht="13.5" thickBot="1">
      <c r="A19" s="31" t="s">
        <v>4</v>
      </c>
      <c r="C19" s="49">
        <f>SUM(C8:C18)</f>
        <v>11840000</v>
      </c>
      <c r="D19" s="49">
        <f>SUM(D8:D18)</f>
        <v>715000</v>
      </c>
      <c r="E19" s="49">
        <f>SUM(E8:E18)</f>
        <v>12555000</v>
      </c>
      <c r="F19" s="49">
        <f>SUM(F8:F18)</f>
        <v>440955</v>
      </c>
      <c r="G19" s="49">
        <f>SUM(G8:G18)</f>
        <v>26357</v>
      </c>
      <c r="I19" s="49">
        <f>SUM(I8:I18)</f>
        <v>6427058.6559999995</v>
      </c>
      <c r="J19" s="49">
        <f>SUM(J8:J18)</f>
        <v>388120.5185</v>
      </c>
      <c r="K19" s="49">
        <f>SUM(K8:K18)</f>
        <v>6815179.1745</v>
      </c>
      <c r="L19" s="49">
        <f>SUM(L8:L18)</f>
        <v>239361.7947345</v>
      </c>
      <c r="M19" s="49">
        <f>SUM(M8:M18)</f>
        <v>14307.262246299997</v>
      </c>
      <c r="O19" s="49">
        <f>SUM(O8:O18)</f>
        <v>5412941.344</v>
      </c>
      <c r="P19" s="49">
        <f>SUM(P8:P18)</f>
        <v>326879.4815</v>
      </c>
      <c r="Q19" s="49">
        <f>SUM(Q8:Q18)</f>
        <v>5739820.825499999</v>
      </c>
      <c r="R19" s="49">
        <f>SUM(R8:R18)</f>
        <v>201593.20526550006</v>
      </c>
      <c r="S19" s="49">
        <f>SUM(S8:S18)</f>
        <v>12049.737753700001</v>
      </c>
      <c r="U19" s="49">
        <f>SUM(U8:U18)</f>
        <v>967612.16</v>
      </c>
      <c r="V19" s="49">
        <f>SUM(V8:V18)</f>
        <v>58432.65999999999</v>
      </c>
      <c r="W19" s="49">
        <f>SUM(W8:W18)</f>
        <v>1026044.8200000001</v>
      </c>
      <c r="X19" s="49">
        <f>SUM(X8:X18)</f>
        <v>36036.60642</v>
      </c>
      <c r="Y19" s="49">
        <f>SUM(Y8:Y18)</f>
        <v>2153.999468</v>
      </c>
      <c r="AA19" s="49">
        <f>SUM(AA8:AA18)</f>
        <v>705244.8640000001</v>
      </c>
      <c r="AB19" s="49">
        <f>SUM(AB8:AB18)</f>
        <v>42588.689</v>
      </c>
      <c r="AC19" s="49">
        <f>SUM(AC8:AC18)</f>
        <v>747833.5529999998</v>
      </c>
      <c r="AD19" s="49">
        <f>SUM(AD8:AD18)</f>
        <v>26265.308193</v>
      </c>
      <c r="AE19" s="49">
        <f>SUM(AE8:AE18)</f>
        <v>1569.9441622</v>
      </c>
      <c r="AG19" s="49">
        <f>SUM(AG8:AG18)</f>
        <v>373911.936</v>
      </c>
      <c r="AH19" s="49">
        <f>SUM(AH8:AH18)</f>
        <v>22579.986000000004</v>
      </c>
      <c r="AI19" s="49">
        <f>SUM(AI8:AI18)</f>
        <v>396491.922</v>
      </c>
      <c r="AJ19" s="49">
        <f>SUM(AJ8:AJ18)</f>
        <v>13925.535282</v>
      </c>
      <c r="AK19" s="49">
        <f>SUM(AK8:AK18)</f>
        <v>832.3646028000001</v>
      </c>
      <c r="AM19" s="49">
        <f>SUM(AM8:AM18)</f>
        <v>271941.12</v>
      </c>
      <c r="AN19" s="49">
        <f>SUM(AN8:AN18)</f>
        <v>16422.12</v>
      </c>
      <c r="AO19" s="49">
        <f>SUM(AO8:AO18)</f>
        <v>288363.24</v>
      </c>
      <c r="AP19" s="49">
        <f>SUM(AP8:AP18)</f>
        <v>10127.85444</v>
      </c>
      <c r="AQ19" s="49">
        <f>SUM(AQ8:AQ18)</f>
        <v>605.367576</v>
      </c>
      <c r="AR19" s="33"/>
      <c r="AS19" s="49">
        <f>SUM(AS8:AS18)</f>
        <v>31149.856</v>
      </c>
      <c r="AT19" s="49">
        <f>SUM(AT8:AT18)</f>
        <v>1881.0935</v>
      </c>
      <c r="AU19" s="49">
        <f>SUM(AU8:AU18)</f>
        <v>33030.9495</v>
      </c>
      <c r="AV19" s="49">
        <f>SUM(AV8:AV18)</f>
        <v>1160.1085094999999</v>
      </c>
      <c r="AW19" s="49">
        <f>SUM(AW8:AW18)</f>
        <v>69.3426313</v>
      </c>
      <c r="AX19" s="33"/>
      <c r="AY19" s="49">
        <f>SUM(AY8:AY18)</f>
        <v>492815.136</v>
      </c>
      <c r="AZ19" s="49">
        <f>SUM(AZ8:AZ18)</f>
        <v>29760.3735</v>
      </c>
      <c r="BA19" s="49">
        <f>SUM(BA8:BA18)</f>
        <v>522575.5095</v>
      </c>
      <c r="BB19" s="49">
        <f>SUM(BB8:BB18)</f>
        <v>18353.8258695</v>
      </c>
      <c r="BC19" s="49">
        <f>SUM(BC8:BC18)</f>
        <v>1097.0547752999998</v>
      </c>
      <c r="BD19" s="33"/>
      <c r="BE19" s="49">
        <f>SUM(BE8:BE18)</f>
        <v>53423.263999999996</v>
      </c>
      <c r="BF19" s="49">
        <f>SUM(BF8:BF18)</f>
        <v>3226.1515000000004</v>
      </c>
      <c r="BG19" s="49">
        <f>SUM(BG8:BG18)</f>
        <v>56649.4155</v>
      </c>
      <c r="BH19" s="49">
        <f>SUM(BH8:BH18)</f>
        <v>1989.6330555</v>
      </c>
      <c r="BI19" s="49">
        <f>SUM(BI8:BI18)</f>
        <v>118.92541969999999</v>
      </c>
      <c r="BJ19" s="33"/>
      <c r="BK19" s="49">
        <f>SUM(BK8:BK18)</f>
        <v>167118.04799999998</v>
      </c>
      <c r="BL19" s="49">
        <f>SUM(BL8:BL18)</f>
        <v>10092.0105</v>
      </c>
      <c r="BM19" s="49">
        <f>SUM(BM8:BM18)</f>
        <v>177210.05849999998</v>
      </c>
      <c r="BN19" s="49">
        <f>SUM(BN8:BN18)</f>
        <v>6223.9475385000005</v>
      </c>
      <c r="BO19" s="49">
        <f>SUM(BO8:BO18)</f>
        <v>372.0211479</v>
      </c>
      <c r="BP19" s="33"/>
      <c r="BQ19" s="49">
        <f>SUM(BQ8:BQ18)</f>
        <v>84749.536</v>
      </c>
      <c r="BR19" s="49">
        <f>SUM(BR8:BR18)</f>
        <v>5117.8985</v>
      </c>
      <c r="BS19" s="49">
        <f>SUM(BS8:BS18)</f>
        <v>89867.4345</v>
      </c>
      <c r="BT19" s="49">
        <f>SUM(BT8:BT18)</f>
        <v>3156.3117944999995</v>
      </c>
      <c r="BU19" s="49">
        <f>SUM(BU8:BU18)</f>
        <v>188.6607703</v>
      </c>
      <c r="BV19" s="33"/>
      <c r="BW19" s="49">
        <f>SUM(BW8:BW18)</f>
        <v>16458.784</v>
      </c>
      <c r="BX19" s="49">
        <f>SUM(BX8:BX18)</f>
        <v>993.9215</v>
      </c>
      <c r="BY19" s="49">
        <f>SUM(BY8:BY18)</f>
        <v>17452.705499999996</v>
      </c>
      <c r="BZ19" s="49">
        <f>SUM(BZ8:BZ18)</f>
        <v>612.9715455</v>
      </c>
      <c r="CA19" s="49">
        <f>SUM(CA8:CA18)</f>
        <v>36.638865700000004</v>
      </c>
      <c r="CB19" s="33"/>
      <c r="CC19" s="49">
        <f>SUM(CC8:CC18)</f>
        <v>65397.05600000001</v>
      </c>
      <c r="CD19" s="49">
        <f>SUM(CD8:CD18)</f>
        <v>3949.231</v>
      </c>
      <c r="CE19" s="49">
        <f>SUM(CE8:CE18)</f>
        <v>69346.28700000001</v>
      </c>
      <c r="CF19" s="49">
        <f>SUM(CF8:CF18)</f>
        <v>2435.570847</v>
      </c>
      <c r="CG19" s="49">
        <f>SUM(CG8:CG18)</f>
        <v>145.5802538</v>
      </c>
      <c r="CH19" s="33"/>
      <c r="CI19" s="49">
        <f>SUM(CI8:CI18)</f>
        <v>159500.19199999998</v>
      </c>
      <c r="CJ19" s="49">
        <f>SUM(CJ8:CJ18)</f>
        <v>9631.979499999998</v>
      </c>
      <c r="CK19" s="49">
        <f>SUM(CK8:CK18)</f>
        <v>169132.1715</v>
      </c>
      <c r="CL19" s="49">
        <f>SUM(CL8:CL18)</f>
        <v>5940.2370915</v>
      </c>
      <c r="CM19" s="49">
        <f>SUM(CM8:CM18)</f>
        <v>355.06305410000004</v>
      </c>
      <c r="CN19" s="33"/>
      <c r="CO19" s="49">
        <f>SUM(CO8:CO18)</f>
        <v>357004.41599999997</v>
      </c>
      <c r="CP19" s="49">
        <f>SUM(CP8:CP18)</f>
        <v>21558.966</v>
      </c>
      <c r="CQ19" s="49">
        <f>SUM(CQ8:CQ18)</f>
        <v>378563.382</v>
      </c>
      <c r="CR19" s="49">
        <f>SUM(CR8:CR18)</f>
        <v>13295.851542</v>
      </c>
      <c r="CS19" s="49">
        <f>SUM(CS8:CS18)</f>
        <v>794.7268068</v>
      </c>
      <c r="CT19" s="33"/>
      <c r="CU19" s="49">
        <f>SUM(CU8:CU18)</f>
        <v>54012.89599999999</v>
      </c>
      <c r="CV19" s="49">
        <f>SUM(CV8:CV18)</f>
        <v>3261.7585</v>
      </c>
      <c r="CW19" s="49">
        <f>SUM(CW8:CW18)</f>
        <v>57274.654500000004</v>
      </c>
      <c r="CX19" s="49">
        <f>SUM(CX8:CX18)</f>
        <v>2011.5926144999999</v>
      </c>
      <c r="CY19" s="49">
        <f>SUM(CY8:CY18)</f>
        <v>120.23799829999999</v>
      </c>
      <c r="CZ19" s="33"/>
      <c r="DA19" s="49">
        <f>SUM(DA8:DA18)</f>
        <v>155197.536</v>
      </c>
      <c r="DB19" s="49">
        <f>SUM(DB8:DB18)</f>
        <v>9372.1485</v>
      </c>
      <c r="DC19" s="49">
        <f>SUM(DC8:DC18)</f>
        <v>164569.68449999997</v>
      </c>
      <c r="DD19" s="49">
        <f>SUM(DD8:DD18)</f>
        <v>5779.9940445</v>
      </c>
      <c r="DE19" s="49">
        <f>SUM(DE8:DE18)</f>
        <v>345.4849203</v>
      </c>
      <c r="DF19" s="33"/>
      <c r="DG19" s="49">
        <f>SUM(DG8:DG18)</f>
        <v>5980.384</v>
      </c>
      <c r="DH19" s="49">
        <f>SUM(DH8:DH18)</f>
        <v>361.1465</v>
      </c>
      <c r="DI19" s="49">
        <f>SUM(DI8:DI18)</f>
        <v>6341.530499999999</v>
      </c>
      <c r="DJ19" s="49">
        <f>SUM(DJ8:DJ18)</f>
        <v>222.7263705</v>
      </c>
      <c r="DK19" s="49">
        <f>SUM(DK8:DK18)</f>
        <v>13.3129207</v>
      </c>
      <c r="DL19" s="33"/>
      <c r="DM19" s="95">
        <f>SUM(DM8:DM18)</f>
        <v>327397.31200000003</v>
      </c>
      <c r="DN19" s="95">
        <f>SUM(DN8:DN18)</f>
        <v>19771.037</v>
      </c>
      <c r="DO19" s="95">
        <f>SUM(DO8:DO18)</f>
        <v>347168.34899999993</v>
      </c>
      <c r="DP19" s="95">
        <f>SUM(DP8:DP18)</f>
        <v>12193.199469</v>
      </c>
      <c r="DQ19" s="95">
        <f>SUM(DQ8:DQ18)</f>
        <v>728.8184926000001</v>
      </c>
      <c r="DR19" s="33"/>
      <c r="DS19" s="49">
        <f>SUM(DS8:DS18)</f>
        <v>51544.256</v>
      </c>
      <c r="DT19" s="49">
        <f>SUM(DT8:DT18)</f>
        <v>3112.6809999999996</v>
      </c>
      <c r="DU19" s="49">
        <f>SUM(DU8:DU18)</f>
        <v>54656.937</v>
      </c>
      <c r="DV19" s="49">
        <f>SUM(DV8:DV18)</f>
        <v>1919.6534970000002</v>
      </c>
      <c r="DW19" s="49">
        <f>SUM(DW8:DW18)</f>
        <v>114.74256380000001</v>
      </c>
      <c r="DX19" s="33"/>
      <c r="DY19" s="49">
        <f>SUM(DY8:DY18)</f>
        <v>265250.336</v>
      </c>
      <c r="DZ19" s="49">
        <f>SUM(DZ8:DZ18)</f>
        <v>16018.0735</v>
      </c>
      <c r="EA19" s="49">
        <f>SUM(EA8:EA18)</f>
        <v>281268.40949999995</v>
      </c>
      <c r="EB19" s="49">
        <f>SUM(EB8:EB18)</f>
        <v>9878.6707695</v>
      </c>
      <c r="EC19" s="49">
        <f>SUM(EC8:EC18)</f>
        <v>590.4732352999999</v>
      </c>
      <c r="ED19" s="33"/>
      <c r="EE19" s="49">
        <f>SUM(EE8:EE18)</f>
        <v>75726.27200000001</v>
      </c>
      <c r="EF19" s="49">
        <f>SUM(EF8:EF18)</f>
        <v>4572.997</v>
      </c>
      <c r="EG19" s="49">
        <f>SUM(EG8:EG18)</f>
        <v>80299.269</v>
      </c>
      <c r="EH19" s="49">
        <f>SUM(EH8:EH18)</f>
        <v>2820.259989</v>
      </c>
      <c r="EI19" s="49">
        <f>SUM(EI8:EI18)</f>
        <v>168.5741006</v>
      </c>
      <c r="EJ19" s="33"/>
      <c r="EK19" s="49">
        <f>SUM(EK8:EK18)</f>
        <v>760.128</v>
      </c>
      <c r="EL19" s="49">
        <f>SUM(EL8:EL18)</f>
        <v>45.903</v>
      </c>
      <c r="EM19" s="49">
        <f>SUM(EM8:EM18)</f>
        <v>806.0310000000001</v>
      </c>
      <c r="EN19" s="49">
        <f>SUM(EN8:EN18)</f>
        <v>28.309311</v>
      </c>
      <c r="EO19" s="49">
        <f>SUM(EO8:EO18)</f>
        <v>1.6921194</v>
      </c>
      <c r="EP19" s="33"/>
      <c r="EQ19" s="49">
        <f>SUM(EQ8:EQ18)</f>
        <v>1411.328</v>
      </c>
      <c r="ER19" s="49">
        <f>SUM(ER8:ER18)</f>
        <v>85.228</v>
      </c>
      <c r="ES19" s="49">
        <f>SUM(ES8:ES18)</f>
        <v>1496.5559999999998</v>
      </c>
      <c r="ET19" s="49">
        <f>SUM(ET8:ET18)</f>
        <v>52.561836</v>
      </c>
      <c r="EU19" s="49">
        <f>SUM(EU8:EU18)</f>
        <v>3.1417544</v>
      </c>
      <c r="EV19" s="33"/>
      <c r="EW19" s="49">
        <f>SUM(EW8:EW18)</f>
        <v>255123.58400000003</v>
      </c>
      <c r="EX19" s="49">
        <f>SUM(EX8:EX18)</f>
        <v>15406.534</v>
      </c>
      <c r="EY19" s="49">
        <f>SUM(EY8:EY18)</f>
        <v>270530.118</v>
      </c>
      <c r="EZ19" s="49">
        <f>SUM(EZ8:EZ18)</f>
        <v>9501.521958000001</v>
      </c>
      <c r="FA19" s="49">
        <f>SUM(FA8:FA18)</f>
        <v>567.9300932</v>
      </c>
      <c r="FB19" s="33"/>
      <c r="FC19" s="49">
        <f>SUM(FC8:FC18)</f>
        <v>474210.944</v>
      </c>
      <c r="FD19" s="49">
        <f>SUM(FD8:FD18)</f>
        <v>28636.894</v>
      </c>
      <c r="FE19" s="49">
        <f>SUM(FE8:FE18)</f>
        <v>502847.83800000005</v>
      </c>
      <c r="FF19" s="49">
        <f>SUM(FF8:FF18)</f>
        <v>17660.953278</v>
      </c>
      <c r="FG19" s="49">
        <f>SUM(FG8:FG18)</f>
        <v>1055.6400212</v>
      </c>
      <c r="FH19" s="33"/>
      <c r="FI19" s="49">
        <f>SUM(FI8:FI18)</f>
        <v>0</v>
      </c>
      <c r="FJ19" s="49">
        <f>SUM(FJ8:FJ18)</f>
        <v>0</v>
      </c>
      <c r="FK19" s="49">
        <f>SUM(FK8:IV18)</f>
        <v>0</v>
      </c>
      <c r="FL19" s="42"/>
      <c r="FM19" s="49">
        <f>SUM(FM8:FM18)</f>
        <v>0</v>
      </c>
    </row>
    <row r="20" spans="33:43" ht="13.5" thickTop="1">
      <c r="AG20" s="33"/>
      <c r="AH20" s="33"/>
      <c r="AI20" s="33"/>
      <c r="AJ20" s="33"/>
      <c r="AK20" s="33"/>
      <c r="AM20" s="20"/>
      <c r="AN20" s="20"/>
      <c r="AO20" s="20"/>
      <c r="AP20" s="20"/>
      <c r="AQ20" s="20"/>
    </row>
    <row r="21" spans="16:43" ht="12.75">
      <c r="P21" s="33"/>
      <c r="AG21" s="33"/>
      <c r="AH21" s="33"/>
      <c r="AI21" s="33"/>
      <c r="AJ21" s="33"/>
      <c r="AK21" s="33"/>
      <c r="AM21" s="20"/>
      <c r="AN21" s="20"/>
      <c r="AO21" s="20"/>
      <c r="AP21" s="20"/>
      <c r="AQ21" s="20"/>
    </row>
    <row r="22" spans="33:43" ht="12.75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33:43" ht="12.75"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1:16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33"/>
      <c r="AH33" s="33"/>
      <c r="AI33" s="33"/>
      <c r="AJ33" s="33"/>
      <c r="AK33" s="33"/>
      <c r="AM33" s="20"/>
      <c r="AN33" s="20"/>
      <c r="AO33" s="20"/>
      <c r="AP33" s="20"/>
      <c r="AQ33" s="20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</row>
    <row r="34" spans="1:16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33"/>
      <c r="AH34" s="33"/>
      <c r="AI34" s="33"/>
      <c r="AJ34" s="33"/>
      <c r="AK34" s="33"/>
      <c r="AM34" s="20"/>
      <c r="AN34" s="20"/>
      <c r="AO34" s="20"/>
      <c r="AP34" s="20"/>
      <c r="AQ34" s="20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</row>
    <row r="35" spans="1:16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33"/>
      <c r="AH35" s="33"/>
      <c r="AI35" s="33"/>
      <c r="AJ35" s="33"/>
      <c r="AK35" s="33"/>
      <c r="AM35" s="20"/>
      <c r="AN35" s="20"/>
      <c r="AO35" s="20"/>
      <c r="AP35" s="20"/>
      <c r="AQ35" s="20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</row>
    <row r="36" spans="1:16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33"/>
      <c r="AH36" s="33"/>
      <c r="AI36" s="33"/>
      <c r="AJ36" s="33"/>
      <c r="AK36" s="33"/>
      <c r="AM36" s="20"/>
      <c r="AN36" s="20"/>
      <c r="AO36" s="20"/>
      <c r="AP36" s="20"/>
      <c r="AQ36" s="2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</row>
    <row r="37" spans="1:16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59"/>
  <sheetViews>
    <sheetView zoomScale="150" zoomScaleNormal="150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0" sqref="I10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175</v>
      </c>
      <c r="G2" s="45"/>
      <c r="H2" s="45"/>
      <c r="I2" s="36"/>
      <c r="K2" s="45"/>
      <c r="O2" s="43" t="str">
        <f>E2</f>
        <v>Distribution of Debt Services after 2010C Bond Issue</v>
      </c>
      <c r="W2" s="45"/>
      <c r="AA2" s="43" t="str">
        <f>O2</f>
        <v>Distribution of Debt Services after 2010C Bond Issue</v>
      </c>
      <c r="AE2"/>
      <c r="AF2"/>
      <c r="AG2"/>
      <c r="AI2" s="45"/>
      <c r="AJ2"/>
      <c r="AK2"/>
      <c r="AL2"/>
      <c r="AM2" s="43" t="str">
        <f>AA2</f>
        <v>Distribution of Debt Services after 2010C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2010C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2010C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2010C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2010C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2010C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2010C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2010C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W3" s="45"/>
      <c r="AA3" s="45" t="s">
        <v>172</v>
      </c>
      <c r="AE3"/>
      <c r="AF3" s="12"/>
      <c r="AG3"/>
      <c r="AI3" s="45"/>
      <c r="AJ3"/>
      <c r="AK3"/>
      <c r="AL3"/>
      <c r="AM3" s="45" t="s">
        <v>172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172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172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172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172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172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172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172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176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41" t="s">
        <v>173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173</v>
      </c>
      <c r="N6" s="33"/>
      <c r="O6" s="40"/>
      <c r="P6" s="53">
        <v>0.0661452</v>
      </c>
      <c r="Q6" s="39"/>
      <c r="R6" s="41" t="s">
        <v>168</v>
      </c>
      <c r="S6" s="41" t="s">
        <v>173</v>
      </c>
      <c r="T6" s="33"/>
      <c r="U6" s="40"/>
      <c r="V6" s="53">
        <v>0.0011296</v>
      </c>
      <c r="W6" s="39"/>
      <c r="X6" s="41" t="s">
        <v>168</v>
      </c>
      <c r="Y6" s="41" t="s">
        <v>173</v>
      </c>
      <c r="Z6" s="33"/>
      <c r="AA6" s="40"/>
      <c r="AB6" s="53">
        <v>0.0050994</v>
      </c>
      <c r="AC6" s="39"/>
      <c r="AD6" s="41" t="s">
        <v>168</v>
      </c>
      <c r="AE6" s="41" t="s">
        <v>173</v>
      </c>
      <c r="AF6" s="33"/>
      <c r="AG6" s="40"/>
      <c r="AH6" s="53">
        <v>0.0886797</v>
      </c>
      <c r="AI6" s="39"/>
      <c r="AJ6" s="41" t="s">
        <v>168</v>
      </c>
      <c r="AK6" s="41" t="s">
        <v>173</v>
      </c>
      <c r="AL6" s="33"/>
      <c r="AM6" s="40"/>
      <c r="AN6" s="53">
        <v>0.0010742</v>
      </c>
      <c r="AO6" s="39"/>
      <c r="AP6" s="41" t="s">
        <v>168</v>
      </c>
      <c r="AQ6" s="41" t="s">
        <v>173</v>
      </c>
      <c r="AR6" s="63"/>
      <c r="AS6" s="40"/>
      <c r="AT6" s="53">
        <v>0.0009059</v>
      </c>
      <c r="AU6" s="39"/>
      <c r="AV6" s="41" t="s">
        <v>168</v>
      </c>
      <c r="AW6" s="41" t="s">
        <v>173</v>
      </c>
      <c r="AX6" s="33"/>
      <c r="AY6" s="40"/>
      <c r="AZ6" s="53">
        <v>0.0371668</v>
      </c>
      <c r="BA6" s="39"/>
      <c r="BB6" s="41" t="s">
        <v>168</v>
      </c>
      <c r="BC6" s="41" t="s">
        <v>173</v>
      </c>
      <c r="BD6" s="33"/>
      <c r="BE6" s="40"/>
      <c r="BF6" s="53">
        <v>0.0762623</v>
      </c>
      <c r="BG6" s="39"/>
      <c r="BH6" s="41" t="s">
        <v>168</v>
      </c>
      <c r="BI6" s="41" t="s">
        <v>173</v>
      </c>
      <c r="BJ6" s="33"/>
      <c r="BK6" s="40"/>
      <c r="BL6" s="53">
        <v>0.0008804</v>
      </c>
      <c r="BM6" s="39"/>
      <c r="BN6" s="41" t="s">
        <v>168</v>
      </c>
      <c r="BO6" s="41" t="s">
        <v>173</v>
      </c>
      <c r="BP6" s="33"/>
      <c r="BQ6" s="40"/>
      <c r="BR6" s="53">
        <v>0.0005914</v>
      </c>
      <c r="BS6" s="39"/>
      <c r="BT6" s="41" t="s">
        <v>168</v>
      </c>
      <c r="BU6" s="41" t="s">
        <v>173</v>
      </c>
      <c r="BV6" s="33"/>
      <c r="BW6" s="40"/>
      <c r="BX6" s="53">
        <v>-8.81E-05</v>
      </c>
      <c r="BY6" s="39"/>
      <c r="BZ6" s="41" t="s">
        <v>168</v>
      </c>
      <c r="CA6" s="41" t="s">
        <v>173</v>
      </c>
      <c r="CB6" s="63"/>
      <c r="CC6" s="40"/>
      <c r="CD6" s="53">
        <v>-5.74E-05</v>
      </c>
      <c r="CE6" s="39"/>
      <c r="CF6" s="41" t="s">
        <v>168</v>
      </c>
      <c r="CG6" s="41" t="s">
        <v>173</v>
      </c>
      <c r="CH6" s="33"/>
      <c r="CI6" s="40"/>
      <c r="CJ6" s="53">
        <v>0.0021346</v>
      </c>
      <c r="CK6" s="39"/>
      <c r="CL6" s="41" t="s">
        <v>168</v>
      </c>
      <c r="CM6" s="41" t="s">
        <v>173</v>
      </c>
      <c r="CN6" s="33"/>
      <c r="CO6" s="40"/>
      <c r="CP6" s="53">
        <v>0.013127</v>
      </c>
      <c r="CQ6" s="39"/>
      <c r="CR6" s="41" t="s">
        <v>168</v>
      </c>
      <c r="CS6" s="41" t="s">
        <v>173</v>
      </c>
      <c r="CT6" s="33"/>
      <c r="CU6" s="40"/>
      <c r="CV6" s="53">
        <v>0.0881851</v>
      </c>
      <c r="CW6" s="39"/>
      <c r="CX6" s="41" t="s">
        <v>168</v>
      </c>
      <c r="CY6" s="41" t="s">
        <v>173</v>
      </c>
      <c r="CZ6" s="33"/>
      <c r="DA6" s="40"/>
      <c r="DB6" s="53">
        <v>0.0127232</v>
      </c>
      <c r="DC6" s="39"/>
      <c r="DD6" s="41" t="s">
        <v>168</v>
      </c>
      <c r="DE6" s="41" t="s">
        <v>173</v>
      </c>
      <c r="DF6" s="33"/>
      <c r="DG6" s="40"/>
      <c r="DH6" s="53">
        <v>0.0259972</v>
      </c>
      <c r="DI6" s="39"/>
      <c r="DJ6" s="41" t="s">
        <v>168</v>
      </c>
      <c r="DK6" s="41" t="s">
        <v>173</v>
      </c>
      <c r="DL6" s="33"/>
      <c r="DM6" s="40"/>
      <c r="DN6" s="53">
        <v>0.0042162</v>
      </c>
      <c r="DO6" s="39"/>
      <c r="DP6" s="41" t="s">
        <v>168</v>
      </c>
      <c r="DQ6" s="41" t="s">
        <v>173</v>
      </c>
      <c r="DR6" s="33"/>
      <c r="DS6" s="40"/>
      <c r="DT6" s="53">
        <v>0.0216282</v>
      </c>
      <c r="DU6" s="39"/>
      <c r="DV6" s="41" t="s">
        <v>168</v>
      </c>
      <c r="DW6" s="41" t="s">
        <v>173</v>
      </c>
      <c r="DX6" s="33"/>
      <c r="DY6" s="40"/>
      <c r="DZ6" s="53">
        <v>0.0001933</v>
      </c>
      <c r="EA6" s="39"/>
      <c r="EB6" s="41" t="s">
        <v>168</v>
      </c>
      <c r="EC6" s="41" t="s">
        <v>173</v>
      </c>
      <c r="ED6" s="33"/>
      <c r="EE6" s="40"/>
      <c r="EF6" s="53">
        <v>0.0002544</v>
      </c>
      <c r="EG6" s="39"/>
      <c r="EH6" s="41" t="s">
        <v>168</v>
      </c>
      <c r="EI6" s="41" t="s">
        <v>173</v>
      </c>
      <c r="EJ6" s="33"/>
      <c r="EK6" s="40"/>
      <c r="EL6" s="53">
        <v>0.0128187</v>
      </c>
      <c r="EM6" s="39"/>
      <c r="EN6" s="41" t="s">
        <v>168</v>
      </c>
      <c r="EO6" s="41" t="s">
        <v>173</v>
      </c>
      <c r="EP6" s="33"/>
      <c r="EQ6" s="40"/>
      <c r="ER6" s="53">
        <v>0.000244</v>
      </c>
      <c r="ES6" s="39"/>
      <c r="ET6" s="41" t="s">
        <v>168</v>
      </c>
      <c r="EU6" s="41" t="s">
        <v>173</v>
      </c>
      <c r="EV6" s="33"/>
      <c r="EW6" s="40"/>
      <c r="EX6" s="53">
        <v>0.0036459</v>
      </c>
      <c r="EY6" s="39"/>
      <c r="EZ6" s="41" t="s">
        <v>168</v>
      </c>
      <c r="FA6" s="41" t="s">
        <v>173</v>
      </c>
      <c r="FB6" s="33"/>
      <c r="FC6" s="40"/>
      <c r="FD6" s="53">
        <v>0.0025327</v>
      </c>
      <c r="FE6" s="39"/>
      <c r="FF6" s="41" t="s">
        <v>168</v>
      </c>
      <c r="FG6" s="41" t="s">
        <v>173</v>
      </c>
      <c r="FH6" s="33"/>
      <c r="FI6" s="40"/>
      <c r="FJ6" s="53">
        <v>0.0009887</v>
      </c>
      <c r="FK6" s="39"/>
      <c r="FL6" s="41" t="s">
        <v>168</v>
      </c>
      <c r="FM6" s="41" t="s">
        <v>173</v>
      </c>
      <c r="FN6" s="33"/>
      <c r="FO6" s="40"/>
      <c r="FP6" s="53">
        <v>0.0111111</v>
      </c>
      <c r="FQ6" s="39"/>
      <c r="FR6" s="41" t="s">
        <v>168</v>
      </c>
      <c r="FS6" s="41" t="s">
        <v>173</v>
      </c>
      <c r="FT6" s="33"/>
      <c r="FU6" s="40"/>
      <c r="FV6" s="53">
        <v>0.0250422</v>
      </c>
      <c r="FW6" s="39"/>
      <c r="FX6" s="41" t="s">
        <v>168</v>
      </c>
      <c r="FY6" s="41" t="s">
        <v>173</v>
      </c>
      <c r="FZ6" s="33"/>
      <c r="GA6" s="40"/>
      <c r="GB6" s="53">
        <v>0.0031957</v>
      </c>
      <c r="GC6" s="39"/>
      <c r="GD6" s="41" t="s">
        <v>168</v>
      </c>
      <c r="GE6" s="41" t="s">
        <v>173</v>
      </c>
      <c r="GF6" s="33"/>
      <c r="GG6" s="40"/>
      <c r="GH6" s="53">
        <v>0.0050748</v>
      </c>
      <c r="GI6" s="39"/>
      <c r="GJ6" s="41" t="s">
        <v>168</v>
      </c>
      <c r="GK6" s="41" t="s">
        <v>173</v>
      </c>
      <c r="GL6" s="33"/>
      <c r="GM6" s="40"/>
      <c r="GN6" s="53">
        <v>0.0235189</v>
      </c>
      <c r="GO6" s="39"/>
      <c r="GP6" s="41" t="s">
        <v>168</v>
      </c>
      <c r="GQ6" s="41" t="s">
        <v>173</v>
      </c>
      <c r="GR6" s="33"/>
      <c r="GS6" s="40"/>
      <c r="GT6" s="53">
        <v>0.0012482</v>
      </c>
      <c r="GU6" s="39"/>
      <c r="GV6" s="41" t="s">
        <v>168</v>
      </c>
      <c r="GW6" s="41" t="s">
        <v>173</v>
      </c>
      <c r="GX6" s="33"/>
      <c r="GY6" s="40"/>
      <c r="GZ6" s="53">
        <v>0.0071564</v>
      </c>
      <c r="HA6" s="39"/>
      <c r="HB6" s="41" t="s">
        <v>168</v>
      </c>
      <c r="HC6" s="41" t="s">
        <v>173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s="52" customFormat="1" ht="12.75">
      <c r="A8" s="51">
        <v>43739</v>
      </c>
      <c r="C8" s="42"/>
      <c r="D8" s="42">
        <v>236800</v>
      </c>
      <c r="E8" s="77">
        <f aca="true" t="shared" si="0" ref="E8:E17">C8+D8</f>
        <v>236800</v>
      </c>
      <c r="F8" s="77">
        <v>110239</v>
      </c>
      <c r="G8" s="77">
        <v>6590</v>
      </c>
      <c r="H8" s="79"/>
      <c r="I8" s="79"/>
      <c r="J8" s="79">
        <f aca="true" t="shared" si="1" ref="J8:J17">P8+V8+AB8+AH8+AN8+AT8+AZ8+BF8+BL8+BR8+BX8+CD8+CJ8+CP8+CV8+DB8+DH8+DN8+DT8+DZ8+EF8+EL8+ER8+EX8+FD8+FJ8+FP8+FV8+GB8+GH8+GN8+GT8+GZ8</f>
        <v>128541.17312</v>
      </c>
      <c r="K8" s="79">
        <f aca="true" t="shared" si="2" ref="K8:K17">I8+J8</f>
        <v>128541.17312</v>
      </c>
      <c r="L8" s="79">
        <f aca="true" t="shared" si="3" ref="L8:M17">R8+X8+AD8+AJ8+AP8+AV8+BB8+BH8+BN8+BT8+BZ8+CF8+CL8+CR8+CX8+DD8+DJ8+DP8+DV8+EB8+EH8+EN8+ET8+EZ8+FF8+FL8+FR8+FX8+GD8+GJ8+GP8+GV8+HB8</f>
        <v>59840.5843901</v>
      </c>
      <c r="M8" s="79">
        <f t="shared" si="3"/>
        <v>3577.2226809999993</v>
      </c>
      <c r="N8" s="79"/>
      <c r="O8" s="78"/>
      <c r="P8" s="78">
        <f aca="true" t="shared" si="4" ref="P8:P17">D8*6.61452/100</f>
        <v>15663.183359999999</v>
      </c>
      <c r="Q8" s="79">
        <f aca="true" t="shared" si="5" ref="Q8:Q16">O8+P8</f>
        <v>15663.183359999999</v>
      </c>
      <c r="R8" s="79">
        <f aca="true" t="shared" si="6" ref="R8:R17">P$6*$F8</f>
        <v>7291.7807028</v>
      </c>
      <c r="S8" s="77">
        <f aca="true" t="shared" si="7" ref="S8:S17">P$6*$G8</f>
        <v>435.896868</v>
      </c>
      <c r="T8" s="79"/>
      <c r="U8" s="78"/>
      <c r="V8" s="78">
        <f aca="true" t="shared" si="8" ref="V8:V17">D8*0.11296/100</f>
        <v>267.48928</v>
      </c>
      <c r="W8" s="78">
        <f aca="true" t="shared" si="9" ref="W8:W17">U8+V8</f>
        <v>267.48928</v>
      </c>
      <c r="X8" s="79">
        <f aca="true" t="shared" si="10" ref="X8:X17">V$6*$F8</f>
        <v>124.5259744</v>
      </c>
      <c r="Y8" s="77">
        <f aca="true" t="shared" si="11" ref="Y8:Y17">V$6*$G8</f>
        <v>7.444063999999999</v>
      </c>
      <c r="Z8" s="79"/>
      <c r="AA8" s="79"/>
      <c r="AB8" s="78">
        <f aca="true" t="shared" si="12" ref="AB8:AB17">D8*0.50994/100</f>
        <v>1207.5379199999998</v>
      </c>
      <c r="AC8" s="78">
        <f aca="true" t="shared" si="13" ref="AC8:AC17">AA8+AB8</f>
        <v>1207.5379199999998</v>
      </c>
      <c r="AD8" s="79">
        <f aca="true" t="shared" si="14" ref="AD8:AD17">AB$6*$F8</f>
        <v>562.1527566</v>
      </c>
      <c r="AE8" s="77">
        <f aca="true" t="shared" si="15" ref="AE8:AE17">AB$6*$G8</f>
        <v>33.605045999999994</v>
      </c>
      <c r="AF8" s="79"/>
      <c r="AG8" s="78"/>
      <c r="AH8" s="78">
        <f aca="true" t="shared" si="16" ref="AH8:AH17">D8*8.86797/100</f>
        <v>20999.35296</v>
      </c>
      <c r="AI8" s="78">
        <f aca="true" t="shared" si="17" ref="AI8:AI17">AG8+AH8</f>
        <v>20999.35296</v>
      </c>
      <c r="AJ8" s="79">
        <f aca="true" t="shared" si="18" ref="AJ8:AJ17">AH$6*$F8</f>
        <v>9775.9614483</v>
      </c>
      <c r="AK8" s="77">
        <f aca="true" t="shared" si="19" ref="AK8:AK17">AH$6*$G8</f>
        <v>584.399223</v>
      </c>
      <c r="AL8" s="79"/>
      <c r="AM8" s="78"/>
      <c r="AN8" s="78">
        <f aca="true" t="shared" si="20" ref="AN8:AN17">D8*0.10742/100</f>
        <v>254.37056</v>
      </c>
      <c r="AO8" s="78">
        <f aca="true" t="shared" si="21" ref="AO8:AO17">AM8+AN8</f>
        <v>254.37056</v>
      </c>
      <c r="AP8" s="79">
        <f aca="true" t="shared" si="22" ref="AP8:AP17">AN$6*$F8</f>
        <v>118.4187338</v>
      </c>
      <c r="AQ8" s="77">
        <f aca="true" t="shared" si="23" ref="AQ8:AQ17">AN$6*$G8</f>
        <v>7.078978</v>
      </c>
      <c r="AR8" s="78"/>
      <c r="AS8" s="78"/>
      <c r="AT8" s="78">
        <f aca="true" t="shared" si="24" ref="AT8:AT17">D8*0.09059/100</f>
        <v>214.51712</v>
      </c>
      <c r="AU8" s="78">
        <f aca="true" t="shared" si="25" ref="AU8:AU17">AS8+AT8</f>
        <v>214.51712</v>
      </c>
      <c r="AV8" s="79">
        <f aca="true" t="shared" si="26" ref="AV8:AV17">AT$6*$F8</f>
        <v>99.8655101</v>
      </c>
      <c r="AW8" s="77">
        <f aca="true" t="shared" si="27" ref="AW8:AW17">AT$6*$G8</f>
        <v>5.969881</v>
      </c>
      <c r="AX8" s="79"/>
      <c r="AY8" s="78"/>
      <c r="AZ8" s="78">
        <f aca="true" t="shared" si="28" ref="AZ8:AZ17">D8*3.71668/100</f>
        <v>8801.09824</v>
      </c>
      <c r="BA8" s="78">
        <f aca="true" t="shared" si="29" ref="BA8:BA17">AY8+AZ8</f>
        <v>8801.09824</v>
      </c>
      <c r="BB8" s="79">
        <f aca="true" t="shared" si="30" ref="BB8:BB17">AZ$6*$F8</f>
        <v>4097.2308652</v>
      </c>
      <c r="BC8" s="77">
        <f aca="true" t="shared" si="31" ref="BC8:BC17">AZ$6*$G8</f>
        <v>244.929212</v>
      </c>
      <c r="BD8" s="79"/>
      <c r="BE8" s="78"/>
      <c r="BF8" s="78">
        <f aca="true" t="shared" si="32" ref="BF8:BF17">D8*7.62623/100</f>
        <v>18058.91264</v>
      </c>
      <c r="BG8" s="78">
        <f aca="true" t="shared" si="33" ref="BG8:BG17">BE8+BF8</f>
        <v>18058.91264</v>
      </c>
      <c r="BH8" s="79">
        <f aca="true" t="shared" si="34" ref="BH8:BH17">BF$6*$F8</f>
        <v>8407.0796897</v>
      </c>
      <c r="BI8" s="77">
        <f aca="true" t="shared" si="35" ref="BI8:BI17">BF$6*$G8</f>
        <v>502.56855700000006</v>
      </c>
      <c r="BJ8" s="79"/>
      <c r="BK8" s="78"/>
      <c r="BL8" s="78">
        <f aca="true" t="shared" si="36" ref="BL8:BL17">D8*0.08804/100</f>
        <v>208.47871999999998</v>
      </c>
      <c r="BM8" s="78">
        <f aca="true" t="shared" si="37" ref="BM8:BM17">BK8+BL8</f>
        <v>208.47871999999998</v>
      </c>
      <c r="BN8" s="79">
        <f aca="true" t="shared" si="38" ref="BN8:BN17">BL$6*$F8</f>
        <v>97.0544156</v>
      </c>
      <c r="BO8" s="77">
        <f aca="true" t="shared" si="39" ref="BO8:BO17">BL$6*$G8</f>
        <v>5.801836000000001</v>
      </c>
      <c r="BP8" s="79"/>
      <c r="BQ8" s="78"/>
      <c r="BR8" s="78">
        <f aca="true" t="shared" si="40" ref="BR8:BR17">D8*0.05914/100</f>
        <v>140.04352</v>
      </c>
      <c r="BS8" s="78">
        <f aca="true" t="shared" si="41" ref="BS8:BS17">BQ8+BR8</f>
        <v>140.04352</v>
      </c>
      <c r="BT8" s="79">
        <f aca="true" t="shared" si="42" ref="BT8:BT17">BR$6*$F8</f>
        <v>65.1953446</v>
      </c>
      <c r="BU8" s="77">
        <f aca="true" t="shared" si="43" ref="BU8:BU17">BR$6*$G8</f>
        <v>3.8973259999999996</v>
      </c>
      <c r="BV8" s="79"/>
      <c r="BW8" s="78"/>
      <c r="BX8" s="78">
        <f aca="true" t="shared" si="44" ref="BX8:BX17">D8*-0.00881/100</f>
        <v>-20.862080000000002</v>
      </c>
      <c r="BY8" s="78">
        <f aca="true" t="shared" si="45" ref="BY8:BY17">BW8+BX8</f>
        <v>-20.862080000000002</v>
      </c>
      <c r="BZ8" s="79">
        <f aca="true" t="shared" si="46" ref="BZ8:BZ17">BX$6*$F8</f>
        <v>-9.7120559</v>
      </c>
      <c r="CA8" s="77">
        <f aca="true" t="shared" si="47" ref="CA8:CA17">BX$6*$G8</f>
        <v>-0.580579</v>
      </c>
      <c r="CB8" s="78"/>
      <c r="CC8" s="78"/>
      <c r="CD8" s="78">
        <f aca="true" t="shared" si="48" ref="CD8:CD17">D8*-0.00574/100</f>
        <v>-13.592319999999999</v>
      </c>
      <c r="CE8" s="78">
        <f aca="true" t="shared" si="49" ref="CE8:CE17">CC8+CD8</f>
        <v>-13.592319999999999</v>
      </c>
      <c r="CF8" s="79">
        <f aca="true" t="shared" si="50" ref="CF8:CF17">CD$6*$F8</f>
        <v>-6.3277186</v>
      </c>
      <c r="CG8" s="77">
        <f aca="true" t="shared" si="51" ref="CG8:CG17">CD$6*$G8</f>
        <v>-0.378266</v>
      </c>
      <c r="CH8" s="79"/>
      <c r="CI8" s="78"/>
      <c r="CJ8" s="78">
        <f aca="true" t="shared" si="52" ref="CJ8:CJ17">D8*0.21346/100</f>
        <v>505.47328</v>
      </c>
      <c r="CK8" s="78">
        <f aca="true" t="shared" si="53" ref="CK8:CK17">CI8+CJ8</f>
        <v>505.47328</v>
      </c>
      <c r="CL8" s="79">
        <f aca="true" t="shared" si="54" ref="CL8:CL17">CJ$6*$F8</f>
        <v>235.3161694</v>
      </c>
      <c r="CM8" s="77">
        <f aca="true" t="shared" si="55" ref="CM8:CM17">CJ$6*$G8</f>
        <v>14.067014</v>
      </c>
      <c r="CN8" s="79"/>
      <c r="CO8" s="78"/>
      <c r="CP8" s="78">
        <f aca="true" t="shared" si="56" ref="CP8:CP17">D8*1.3127/100</f>
        <v>3108.4736</v>
      </c>
      <c r="CQ8" s="78">
        <f aca="true" t="shared" si="57" ref="CQ8:CQ17">CO8+CP8</f>
        <v>3108.4736</v>
      </c>
      <c r="CR8" s="79">
        <f aca="true" t="shared" si="58" ref="CR8:CR17">CP$6*$F8</f>
        <v>1447.1073529999999</v>
      </c>
      <c r="CS8" s="77">
        <f aca="true" t="shared" si="59" ref="CS8:CS17">CP$6*$G8</f>
        <v>86.50693</v>
      </c>
      <c r="CT8" s="79"/>
      <c r="CU8" s="78"/>
      <c r="CV8" s="78">
        <f aca="true" t="shared" si="60" ref="CV8:CV17">D8*8.81851/100</f>
        <v>20882.23168</v>
      </c>
      <c r="CW8" s="78">
        <f aca="true" t="shared" si="61" ref="CW8:CW17">CU8+CV8</f>
        <v>20882.23168</v>
      </c>
      <c r="CX8" s="79">
        <f aca="true" t="shared" si="62" ref="CX8:CX17">CV$6*$F8</f>
        <v>9721.4372389</v>
      </c>
      <c r="CY8" s="77">
        <f aca="true" t="shared" si="63" ref="CY8:CY17">CV$6*$G8</f>
        <v>581.139809</v>
      </c>
      <c r="CZ8" s="79"/>
      <c r="DA8" s="78"/>
      <c r="DB8" s="78">
        <f aca="true" t="shared" si="64" ref="DB8:DB17">D8*1.27232/100</f>
        <v>3012.85376</v>
      </c>
      <c r="DC8" s="78">
        <f aca="true" t="shared" si="65" ref="DC8:DC17">DA8+DB8</f>
        <v>3012.85376</v>
      </c>
      <c r="DD8" s="79">
        <f aca="true" t="shared" si="66" ref="DD8:DD17">DB$6*$F8</f>
        <v>1402.5928448</v>
      </c>
      <c r="DE8" s="77">
        <f aca="true" t="shared" si="67" ref="DE8:DE17">DB$6*$G8</f>
        <v>83.845888</v>
      </c>
      <c r="DF8" s="79"/>
      <c r="DG8" s="78"/>
      <c r="DH8" s="78">
        <f aca="true" t="shared" si="68" ref="DH8:DH17">D8*2.59972/100</f>
        <v>6156.13696</v>
      </c>
      <c r="DI8" s="78">
        <f aca="true" t="shared" si="69" ref="DI8:DI17">DG8+DH8</f>
        <v>6156.13696</v>
      </c>
      <c r="DJ8" s="79">
        <f aca="true" t="shared" si="70" ref="DJ8:DJ17">DH$6*$F8</f>
        <v>2865.9053308000002</v>
      </c>
      <c r="DK8" s="77">
        <f aca="true" t="shared" si="71" ref="DK8:DK17">DH$6*$G8</f>
        <v>171.321548</v>
      </c>
      <c r="DL8" s="79"/>
      <c r="DM8" s="78"/>
      <c r="DN8" s="78">
        <f aca="true" t="shared" si="72" ref="DN8:DN17">D8*0.42162/100</f>
        <v>998.3961599999999</v>
      </c>
      <c r="DO8" s="78">
        <f aca="true" t="shared" si="73" ref="DO8:DO17">DM8+DN8</f>
        <v>998.3961599999999</v>
      </c>
      <c r="DP8" s="79">
        <f aca="true" t="shared" si="74" ref="DP8:DP17">DN$6*$F8</f>
        <v>464.78967179999995</v>
      </c>
      <c r="DQ8" s="77">
        <f aca="true" t="shared" si="75" ref="DQ8:DQ17">DN$6*$G8</f>
        <v>27.784758</v>
      </c>
      <c r="DR8" s="79"/>
      <c r="DS8" s="78"/>
      <c r="DT8" s="78">
        <f aca="true" t="shared" si="76" ref="DT8:DT17">D8*2.16282/100</f>
        <v>5121.55776</v>
      </c>
      <c r="DU8" s="78">
        <f aca="true" t="shared" si="77" ref="DU8:DU17">DS8+DT8</f>
        <v>5121.55776</v>
      </c>
      <c r="DV8" s="79">
        <f aca="true" t="shared" si="78" ref="DV8:DV17">DT$6*$F8</f>
        <v>2384.2711398</v>
      </c>
      <c r="DW8" s="77">
        <f aca="true" t="shared" si="79" ref="DW8:DW17">DT$6*$G8</f>
        <v>142.529838</v>
      </c>
      <c r="DX8" s="79"/>
      <c r="DY8" s="78"/>
      <c r="DZ8" s="78">
        <f aca="true" t="shared" si="80" ref="DZ8:DZ17">D8*0.01933/100</f>
        <v>45.77344</v>
      </c>
      <c r="EA8" s="78">
        <f aca="true" t="shared" si="81" ref="EA8:EA17">DY8+DZ8</f>
        <v>45.77344</v>
      </c>
      <c r="EB8" s="79">
        <f aca="true" t="shared" si="82" ref="EB8:EB17">DZ$6*$F8</f>
        <v>21.3091987</v>
      </c>
      <c r="EC8" s="77">
        <f aca="true" t="shared" si="83" ref="EC8:EC17">DZ$6*$G8</f>
        <v>1.273847</v>
      </c>
      <c r="ED8" s="79"/>
      <c r="EE8" s="78"/>
      <c r="EF8" s="78">
        <f aca="true" t="shared" si="84" ref="EF8:EF17">D8*0.02544/100</f>
        <v>60.24192</v>
      </c>
      <c r="EG8" s="78">
        <f aca="true" t="shared" si="85" ref="EG8:EG17">EE8+EF8</f>
        <v>60.24192</v>
      </c>
      <c r="EH8" s="79">
        <f aca="true" t="shared" si="86" ref="EH8:EH17">EF$6*$F8</f>
        <v>28.0448016</v>
      </c>
      <c r="EI8" s="77">
        <f aca="true" t="shared" si="87" ref="EI8:EI17">EF$6*$G8</f>
        <v>1.676496</v>
      </c>
      <c r="EJ8" s="79"/>
      <c r="EK8" s="78"/>
      <c r="EL8" s="78">
        <f aca="true" t="shared" si="88" ref="EL8:EL17">D8*1.28187/100</f>
        <v>3035.46816</v>
      </c>
      <c r="EM8" s="78">
        <f aca="true" t="shared" si="89" ref="EM8:EM17">EK8+EL8</f>
        <v>3035.46816</v>
      </c>
      <c r="EN8" s="79">
        <f aca="true" t="shared" si="90" ref="EN8:EN17">EL$6*$F8</f>
        <v>1413.1206693000001</v>
      </c>
      <c r="EO8" s="77">
        <f aca="true" t="shared" si="91" ref="EO8:EO17">EL$6*$G8</f>
        <v>84.475233</v>
      </c>
      <c r="EP8" s="79"/>
      <c r="EQ8" s="78"/>
      <c r="ER8" s="78">
        <f aca="true" t="shared" si="92" ref="ER8:ER17">D8*0.0244/100</f>
        <v>57.7792</v>
      </c>
      <c r="ES8" s="78">
        <f aca="true" t="shared" si="93" ref="ES8:ES17">EQ8+ER8</f>
        <v>57.7792</v>
      </c>
      <c r="ET8" s="79">
        <f aca="true" t="shared" si="94" ref="ET8:ET17">ER$6*$F8</f>
        <v>26.898315999999998</v>
      </c>
      <c r="EU8" s="77">
        <f aca="true" t="shared" si="95" ref="EU8:EU17">ER$6*$G8</f>
        <v>1.60796</v>
      </c>
      <c r="EV8" s="79"/>
      <c r="EW8" s="78"/>
      <c r="EX8" s="78">
        <f aca="true" t="shared" si="96" ref="EX8:EX17">D8*0.36459/100</f>
        <v>863.3491200000001</v>
      </c>
      <c r="EY8" s="78">
        <f aca="true" t="shared" si="97" ref="EY8:EY17">EW8+EX8</f>
        <v>863.3491200000001</v>
      </c>
      <c r="EZ8" s="79">
        <f aca="true" t="shared" si="98" ref="EZ8:EZ17">EX$6*$F8</f>
        <v>401.9203701</v>
      </c>
      <c r="FA8" s="77">
        <f aca="true" t="shared" si="99" ref="FA8:FA17">EX$6*$G8</f>
        <v>24.026481</v>
      </c>
      <c r="FB8" s="79"/>
      <c r="FC8" s="78"/>
      <c r="FD8" s="78">
        <f aca="true" t="shared" si="100" ref="FD8:FD17">D8*0.25327/100</f>
        <v>599.7433599999999</v>
      </c>
      <c r="FE8" s="78">
        <f aca="true" t="shared" si="101" ref="FE8:FE17">FC8+FD8</f>
        <v>599.7433599999999</v>
      </c>
      <c r="FF8" s="79">
        <f aca="true" t="shared" si="102" ref="FF8:FF17">FD$6*$F8</f>
        <v>279.2023153</v>
      </c>
      <c r="FG8" s="77">
        <f aca="true" t="shared" si="103" ref="FG8:FG17">FD$6*$G8</f>
        <v>16.690493</v>
      </c>
      <c r="FH8" s="79"/>
      <c r="FI8" s="78"/>
      <c r="FJ8" s="78">
        <f aca="true" t="shared" si="104" ref="FJ8:FJ17">D8*0.09887/100</f>
        <v>234.12416000000002</v>
      </c>
      <c r="FK8" s="78">
        <f aca="true" t="shared" si="105" ref="FK8:FK17">FI8+FJ8</f>
        <v>234.12416000000002</v>
      </c>
      <c r="FL8" s="79">
        <f aca="true" t="shared" si="106" ref="FL8:FL17">FJ$6*$F8</f>
        <v>108.99329929999999</v>
      </c>
      <c r="FM8" s="77">
        <f aca="true" t="shared" si="107" ref="FM8:FM17">FJ$6*$G8</f>
        <v>6.515533</v>
      </c>
      <c r="FN8" s="79"/>
      <c r="FO8" s="78"/>
      <c r="FP8" s="78">
        <f aca="true" t="shared" si="108" ref="FP8:FP17">D8*1.11111/100</f>
        <v>2631.10848</v>
      </c>
      <c r="FQ8" s="78">
        <f aca="true" t="shared" si="109" ref="FQ8:FQ17">FO8+FP8</f>
        <v>2631.10848</v>
      </c>
      <c r="FR8" s="79">
        <f aca="true" t="shared" si="110" ref="FR8:FR17">FP$6*$F8</f>
        <v>1224.8765529</v>
      </c>
      <c r="FS8" s="77">
        <f aca="true" t="shared" si="111" ref="FS8:FS17">FP$6*$G8</f>
        <v>73.222149</v>
      </c>
      <c r="FT8" s="79"/>
      <c r="FU8" s="78"/>
      <c r="FV8" s="78">
        <f aca="true" t="shared" si="112" ref="FV8:FV17">D8*2.50422/100</f>
        <v>5929.99296</v>
      </c>
      <c r="FW8" s="78">
        <f aca="true" t="shared" si="113" ref="FW8:FW17">FU8+FV8</f>
        <v>5929.99296</v>
      </c>
      <c r="FX8" s="79">
        <f aca="true" t="shared" si="114" ref="FX8:FX17">FV$6*$F8</f>
        <v>2760.6270858000003</v>
      </c>
      <c r="FY8" s="77">
        <f aca="true" t="shared" si="115" ref="FY8:FY17">FV$6*$G8</f>
        <v>165.028098</v>
      </c>
      <c r="FZ8" s="79"/>
      <c r="GA8" s="78"/>
      <c r="GB8" s="78">
        <f aca="true" t="shared" si="116" ref="GB8:GB17">D8*0.31957/100</f>
        <v>756.7417600000001</v>
      </c>
      <c r="GC8" s="78">
        <f aca="true" t="shared" si="117" ref="GC8:GC17">GA8+GB8</f>
        <v>756.7417600000001</v>
      </c>
      <c r="GD8" s="79">
        <f aca="true" t="shared" si="118" ref="GD8:GD17">GB$6*$F8</f>
        <v>352.2907723</v>
      </c>
      <c r="GE8" s="77">
        <f aca="true" t="shared" si="119" ref="GE8:GE17">GB$6*$G8</f>
        <v>21.059663</v>
      </c>
      <c r="GF8" s="79"/>
      <c r="GG8" s="78"/>
      <c r="GH8" s="78">
        <f aca="true" t="shared" si="120" ref="GH8:GH17">D8*0.50748/100</f>
        <v>1201.7126400000002</v>
      </c>
      <c r="GI8" s="78">
        <f aca="true" t="shared" si="121" ref="GI8:GI17">GG8+GH8</f>
        <v>1201.7126400000002</v>
      </c>
      <c r="GJ8" s="79">
        <f aca="true" t="shared" si="122" ref="GJ8:GJ17">GH$6*$F8</f>
        <v>559.4408772</v>
      </c>
      <c r="GK8" s="77">
        <f aca="true" t="shared" si="123" ref="GK8:GK17">GH$6*$G8</f>
        <v>33.442932</v>
      </c>
      <c r="GL8" s="79"/>
      <c r="GM8" s="78"/>
      <c r="GN8" s="78">
        <f aca="true" t="shared" si="124" ref="GN8:GN17">D8*2.35189/100</f>
        <v>5569.27552</v>
      </c>
      <c r="GO8" s="78">
        <f aca="true" t="shared" si="125" ref="GO8:GO17">GM8+GN8</f>
        <v>5569.27552</v>
      </c>
      <c r="GP8" s="79">
        <f aca="true" t="shared" si="126" ref="GP8:GP17">GN$6*$F8</f>
        <v>2592.7000171</v>
      </c>
      <c r="GQ8" s="77">
        <f aca="true" t="shared" si="127" ref="GQ8:GQ17">GN$6*$G8</f>
        <v>154.989551</v>
      </c>
      <c r="GR8" s="79"/>
      <c r="GS8" s="78"/>
      <c r="GT8" s="78">
        <f aca="true" t="shared" si="128" ref="GT8:GT17">D8*0.12482/100</f>
        <v>295.57376</v>
      </c>
      <c r="GU8" s="78">
        <f aca="true" t="shared" si="129" ref="GU8:GU17">GS8+GT8</f>
        <v>295.57376</v>
      </c>
      <c r="GV8" s="79">
        <f aca="true" t="shared" si="130" ref="GV8:GV17">GT$6*$F8</f>
        <v>137.60031980000002</v>
      </c>
      <c r="GW8" s="77">
        <f aca="true" t="shared" si="131" ref="GW8:GW17">GT$6*$G8</f>
        <v>8.225638</v>
      </c>
      <c r="GX8" s="79"/>
      <c r="GY8" s="78"/>
      <c r="GZ8" s="78">
        <f aca="true" t="shared" si="132" ref="GZ8:GZ17">D8*0.71564/100</f>
        <v>1694.6355200000003</v>
      </c>
      <c r="HA8" s="78">
        <f aca="true" t="shared" si="133" ref="HA8:HA17">GY8+GZ8</f>
        <v>1694.6355200000003</v>
      </c>
      <c r="HB8" s="79">
        <f aca="true" t="shared" si="134" ref="HB8:HB17">GZ$6*$F8</f>
        <v>788.9143796000001</v>
      </c>
      <c r="HC8" s="77">
        <f aca="true" t="shared" si="135" ref="HC8:HC17">GZ$6*$G8</f>
        <v>47.160676</v>
      </c>
      <c r="HD8" s="79"/>
      <c r="HE8" s="79"/>
      <c r="HF8" s="79"/>
      <c r="HG8" s="79"/>
      <c r="HH8" s="79"/>
      <c r="HI8" s="79"/>
    </row>
    <row r="9" spans="1:217" s="52" customFormat="1" ht="12.75">
      <c r="A9" s="51">
        <v>43922</v>
      </c>
      <c r="C9" s="42">
        <v>5805000</v>
      </c>
      <c r="D9" s="42">
        <v>236800</v>
      </c>
      <c r="E9" s="77">
        <f t="shared" si="0"/>
        <v>6041800</v>
      </c>
      <c r="F9" s="77">
        <v>110239</v>
      </c>
      <c r="G9" s="77">
        <v>6590</v>
      </c>
      <c r="H9" s="79"/>
      <c r="I9" s="79">
        <f>O9+U9+AA9+AG9+AM9+AS9+AY9+BE9+BK9+BQ9+BW9+CC9+CI9+CO9+CU9+DA9+DG9+DM9+DS9+DY9+EE9+EK9+EQ9+EW9+FC9+FI9+FO9+FU9+GA9+GG9+GM9+GS9+GY9</f>
        <v>3151104.3494999995</v>
      </c>
      <c r="J9" s="79">
        <f t="shared" si="1"/>
        <v>128541.17312</v>
      </c>
      <c r="K9" s="79">
        <f t="shared" si="2"/>
        <v>3279645.5226199995</v>
      </c>
      <c r="L9" s="79">
        <f t="shared" si="3"/>
        <v>59840.5843901</v>
      </c>
      <c r="M9" s="79">
        <f t="shared" si="3"/>
        <v>3577.2226809999993</v>
      </c>
      <c r="N9" s="79"/>
      <c r="O9" s="78">
        <f aca="true" t="shared" si="136" ref="O9:O17">C9*6.61452/100</f>
        <v>383972.886</v>
      </c>
      <c r="P9" s="78">
        <f t="shared" si="4"/>
        <v>15663.183359999999</v>
      </c>
      <c r="Q9" s="79">
        <f t="shared" si="5"/>
        <v>399636.06936</v>
      </c>
      <c r="R9" s="79">
        <f t="shared" si="6"/>
        <v>7291.7807028</v>
      </c>
      <c r="S9" s="77">
        <f t="shared" si="7"/>
        <v>435.896868</v>
      </c>
      <c r="T9" s="79"/>
      <c r="U9" s="78">
        <f aca="true" t="shared" si="137" ref="U9:U17">C9*0.11296/100</f>
        <v>6557.328</v>
      </c>
      <c r="V9" s="78">
        <f t="shared" si="8"/>
        <v>267.48928</v>
      </c>
      <c r="W9" s="78">
        <f t="shared" si="9"/>
        <v>6824.81728</v>
      </c>
      <c r="X9" s="79">
        <f t="shared" si="10"/>
        <v>124.5259744</v>
      </c>
      <c r="Y9" s="77">
        <f t="shared" si="11"/>
        <v>7.444063999999999</v>
      </c>
      <c r="Z9" s="79"/>
      <c r="AA9" s="79">
        <f aca="true" t="shared" si="138" ref="AA9:AA17">C9*0.50994/100</f>
        <v>29602.016999999996</v>
      </c>
      <c r="AB9" s="78">
        <f t="shared" si="12"/>
        <v>1207.5379199999998</v>
      </c>
      <c r="AC9" s="78">
        <f t="shared" si="13"/>
        <v>30809.554919999995</v>
      </c>
      <c r="AD9" s="79">
        <f t="shared" si="14"/>
        <v>562.1527566</v>
      </c>
      <c r="AE9" s="77">
        <f t="shared" si="15"/>
        <v>33.605045999999994</v>
      </c>
      <c r="AF9" s="79"/>
      <c r="AG9" s="78">
        <f aca="true" t="shared" si="139" ref="AG9:AG17">C9*8.86797/100</f>
        <v>514785.6585</v>
      </c>
      <c r="AH9" s="78">
        <f t="shared" si="16"/>
        <v>20999.35296</v>
      </c>
      <c r="AI9" s="78">
        <f t="shared" si="17"/>
        <v>535785.0114600001</v>
      </c>
      <c r="AJ9" s="79">
        <f t="shared" si="18"/>
        <v>9775.9614483</v>
      </c>
      <c r="AK9" s="77">
        <f t="shared" si="19"/>
        <v>584.399223</v>
      </c>
      <c r="AL9" s="79"/>
      <c r="AM9" s="78">
        <f aca="true" t="shared" si="140" ref="AM9:AM17">C9*0.10742/100</f>
        <v>6235.731</v>
      </c>
      <c r="AN9" s="78">
        <f t="shared" si="20"/>
        <v>254.37056</v>
      </c>
      <c r="AO9" s="78">
        <f t="shared" si="21"/>
        <v>6490.10156</v>
      </c>
      <c r="AP9" s="79">
        <f t="shared" si="22"/>
        <v>118.4187338</v>
      </c>
      <c r="AQ9" s="77">
        <f t="shared" si="23"/>
        <v>7.078978</v>
      </c>
      <c r="AR9" s="78"/>
      <c r="AS9" s="78">
        <f aca="true" t="shared" si="141" ref="AS9:AS17">C9*0.09059/100</f>
        <v>5258.749500000001</v>
      </c>
      <c r="AT9" s="78">
        <f t="shared" si="24"/>
        <v>214.51712</v>
      </c>
      <c r="AU9" s="78">
        <f t="shared" si="25"/>
        <v>5473.266620000001</v>
      </c>
      <c r="AV9" s="79">
        <f t="shared" si="26"/>
        <v>99.8655101</v>
      </c>
      <c r="AW9" s="77">
        <f t="shared" si="27"/>
        <v>5.969881</v>
      </c>
      <c r="AX9" s="79"/>
      <c r="AY9" s="78">
        <f aca="true" t="shared" si="142" ref="AY9:AY17">C9*3.71668/100</f>
        <v>215753.27400000003</v>
      </c>
      <c r="AZ9" s="78">
        <f t="shared" si="28"/>
        <v>8801.09824</v>
      </c>
      <c r="BA9" s="78">
        <f t="shared" si="29"/>
        <v>224554.37224000003</v>
      </c>
      <c r="BB9" s="79">
        <f t="shared" si="30"/>
        <v>4097.2308652</v>
      </c>
      <c r="BC9" s="77">
        <f t="shared" si="31"/>
        <v>244.929212</v>
      </c>
      <c r="BD9" s="79"/>
      <c r="BE9" s="78">
        <f aca="true" t="shared" si="143" ref="BE9:BE17">C9*7.62623/100</f>
        <v>442702.6515</v>
      </c>
      <c r="BF9" s="78">
        <f t="shared" si="32"/>
        <v>18058.91264</v>
      </c>
      <c r="BG9" s="78">
        <f t="shared" si="33"/>
        <v>460761.56414</v>
      </c>
      <c r="BH9" s="79">
        <f t="shared" si="34"/>
        <v>8407.0796897</v>
      </c>
      <c r="BI9" s="77">
        <f t="shared" si="35"/>
        <v>502.56855700000006</v>
      </c>
      <c r="BJ9" s="79"/>
      <c r="BK9" s="78">
        <f aca="true" t="shared" si="144" ref="BK9:BK17">C9*0.08804/100</f>
        <v>5110.722</v>
      </c>
      <c r="BL9" s="78">
        <f t="shared" si="36"/>
        <v>208.47871999999998</v>
      </c>
      <c r="BM9" s="78">
        <f t="shared" si="37"/>
        <v>5319.20072</v>
      </c>
      <c r="BN9" s="79">
        <f t="shared" si="38"/>
        <v>97.0544156</v>
      </c>
      <c r="BO9" s="77">
        <f t="shared" si="39"/>
        <v>5.801836000000001</v>
      </c>
      <c r="BP9" s="79"/>
      <c r="BQ9" s="78">
        <f aca="true" t="shared" si="145" ref="BQ9:BQ17">C9*0.05914/100</f>
        <v>3433.077</v>
      </c>
      <c r="BR9" s="78">
        <f t="shared" si="40"/>
        <v>140.04352</v>
      </c>
      <c r="BS9" s="78">
        <f t="shared" si="41"/>
        <v>3573.1205200000004</v>
      </c>
      <c r="BT9" s="79">
        <f t="shared" si="42"/>
        <v>65.1953446</v>
      </c>
      <c r="BU9" s="77">
        <f t="shared" si="43"/>
        <v>3.8973259999999996</v>
      </c>
      <c r="BV9" s="79"/>
      <c r="BW9" s="78">
        <f aca="true" t="shared" si="146" ref="BW9:BW17">C9*-0.00881/100</f>
        <v>-511.4205</v>
      </c>
      <c r="BX9" s="78">
        <f t="shared" si="44"/>
        <v>-20.862080000000002</v>
      </c>
      <c r="BY9" s="78">
        <f t="shared" si="45"/>
        <v>-532.28258</v>
      </c>
      <c r="BZ9" s="79">
        <f t="shared" si="46"/>
        <v>-9.7120559</v>
      </c>
      <c r="CA9" s="77">
        <f t="shared" si="47"/>
        <v>-0.580579</v>
      </c>
      <c r="CB9" s="78"/>
      <c r="CC9" s="78">
        <f aca="true" t="shared" si="147" ref="CC9:CC17">C9*-0.00574/100</f>
        <v>-333.20700000000005</v>
      </c>
      <c r="CD9" s="78">
        <f t="shared" si="48"/>
        <v>-13.592319999999999</v>
      </c>
      <c r="CE9" s="78">
        <f t="shared" si="49"/>
        <v>-346.79932</v>
      </c>
      <c r="CF9" s="79">
        <f t="shared" si="50"/>
        <v>-6.3277186</v>
      </c>
      <c r="CG9" s="77">
        <f t="shared" si="51"/>
        <v>-0.378266</v>
      </c>
      <c r="CH9" s="79"/>
      <c r="CI9" s="78">
        <f aca="true" t="shared" si="148" ref="CI9:CI17">C9*0.21346/100</f>
        <v>12391.353000000001</v>
      </c>
      <c r="CJ9" s="78">
        <f t="shared" si="52"/>
        <v>505.47328</v>
      </c>
      <c r="CK9" s="78">
        <f t="shared" si="53"/>
        <v>12896.826280000001</v>
      </c>
      <c r="CL9" s="79">
        <f t="shared" si="54"/>
        <v>235.3161694</v>
      </c>
      <c r="CM9" s="77">
        <f t="shared" si="55"/>
        <v>14.067014</v>
      </c>
      <c r="CN9" s="79"/>
      <c r="CO9" s="78">
        <f aca="true" t="shared" si="149" ref="CO9:CO17">C9*1.3127/100</f>
        <v>76202.235</v>
      </c>
      <c r="CP9" s="78">
        <f t="shared" si="56"/>
        <v>3108.4736</v>
      </c>
      <c r="CQ9" s="78">
        <f t="shared" si="57"/>
        <v>79310.7086</v>
      </c>
      <c r="CR9" s="79">
        <f t="shared" si="58"/>
        <v>1447.1073529999999</v>
      </c>
      <c r="CS9" s="77">
        <f t="shared" si="59"/>
        <v>86.50693</v>
      </c>
      <c r="CT9" s="79"/>
      <c r="CU9" s="78">
        <f aca="true" t="shared" si="150" ref="CU9:CU17">C9*8.81851/100</f>
        <v>511914.50549999997</v>
      </c>
      <c r="CV9" s="78">
        <f t="shared" si="60"/>
        <v>20882.23168</v>
      </c>
      <c r="CW9" s="78">
        <f t="shared" si="61"/>
        <v>532796.7371799999</v>
      </c>
      <c r="CX9" s="79">
        <f t="shared" si="62"/>
        <v>9721.4372389</v>
      </c>
      <c r="CY9" s="77">
        <f t="shared" si="63"/>
        <v>581.139809</v>
      </c>
      <c r="CZ9" s="79"/>
      <c r="DA9" s="78">
        <f aca="true" t="shared" si="151" ref="DA9:DA17">C9*1.27232/100</f>
        <v>73858.17599999999</v>
      </c>
      <c r="DB9" s="78">
        <f t="shared" si="64"/>
        <v>3012.85376</v>
      </c>
      <c r="DC9" s="78">
        <f t="shared" si="65"/>
        <v>76871.02975999999</v>
      </c>
      <c r="DD9" s="79">
        <f t="shared" si="66"/>
        <v>1402.5928448</v>
      </c>
      <c r="DE9" s="77">
        <f t="shared" si="67"/>
        <v>83.845888</v>
      </c>
      <c r="DF9" s="79"/>
      <c r="DG9" s="78">
        <f aca="true" t="shared" si="152" ref="DG9:DG17">C9*2.59972/100</f>
        <v>150913.74599999998</v>
      </c>
      <c r="DH9" s="78">
        <f t="shared" si="68"/>
        <v>6156.13696</v>
      </c>
      <c r="DI9" s="78">
        <f t="shared" si="69"/>
        <v>157069.88296</v>
      </c>
      <c r="DJ9" s="79">
        <f t="shared" si="70"/>
        <v>2865.9053308000002</v>
      </c>
      <c r="DK9" s="77">
        <f t="shared" si="71"/>
        <v>171.321548</v>
      </c>
      <c r="DL9" s="79"/>
      <c r="DM9" s="78">
        <f aca="true" t="shared" si="153" ref="DM9:DM17">C9*0.42162/100</f>
        <v>24475.041</v>
      </c>
      <c r="DN9" s="78">
        <f t="shared" si="72"/>
        <v>998.3961599999999</v>
      </c>
      <c r="DO9" s="78">
        <f t="shared" si="73"/>
        <v>25473.43716</v>
      </c>
      <c r="DP9" s="79">
        <f t="shared" si="74"/>
        <v>464.78967179999995</v>
      </c>
      <c r="DQ9" s="77">
        <f t="shared" si="75"/>
        <v>27.784758</v>
      </c>
      <c r="DR9" s="79"/>
      <c r="DS9" s="78">
        <f aca="true" t="shared" si="154" ref="DS9:DS17">C9*2.16282/100</f>
        <v>125551.701</v>
      </c>
      <c r="DT9" s="78">
        <f t="shared" si="76"/>
        <v>5121.55776</v>
      </c>
      <c r="DU9" s="78">
        <f t="shared" si="77"/>
        <v>130673.25876</v>
      </c>
      <c r="DV9" s="79">
        <f t="shared" si="78"/>
        <v>2384.2711398</v>
      </c>
      <c r="DW9" s="77">
        <f t="shared" si="79"/>
        <v>142.529838</v>
      </c>
      <c r="DX9" s="79"/>
      <c r="DY9" s="78">
        <f aca="true" t="shared" si="155" ref="DY9:DY17">C9*0.01933/100</f>
        <v>1122.1064999999999</v>
      </c>
      <c r="DZ9" s="78">
        <f t="shared" si="80"/>
        <v>45.77344</v>
      </c>
      <c r="EA9" s="78">
        <f t="shared" si="81"/>
        <v>1167.8799399999998</v>
      </c>
      <c r="EB9" s="79">
        <f t="shared" si="82"/>
        <v>21.3091987</v>
      </c>
      <c r="EC9" s="77">
        <f t="shared" si="83"/>
        <v>1.273847</v>
      </c>
      <c r="ED9" s="79"/>
      <c r="EE9" s="78">
        <f aca="true" t="shared" si="156" ref="EE9:EE17">C9*0.02544/100</f>
        <v>1476.7920000000001</v>
      </c>
      <c r="EF9" s="78">
        <f t="shared" si="84"/>
        <v>60.24192</v>
      </c>
      <c r="EG9" s="78">
        <f t="shared" si="85"/>
        <v>1537.03392</v>
      </c>
      <c r="EH9" s="79">
        <f t="shared" si="86"/>
        <v>28.0448016</v>
      </c>
      <c r="EI9" s="77">
        <f t="shared" si="87"/>
        <v>1.676496</v>
      </c>
      <c r="EJ9" s="79"/>
      <c r="EK9" s="78">
        <f aca="true" t="shared" si="157" ref="EK9:EK17">C9*1.28187/100</f>
        <v>74412.55350000001</v>
      </c>
      <c r="EL9" s="78">
        <f t="shared" si="88"/>
        <v>3035.46816</v>
      </c>
      <c r="EM9" s="78">
        <f t="shared" si="89"/>
        <v>77448.02166000001</v>
      </c>
      <c r="EN9" s="79">
        <f t="shared" si="90"/>
        <v>1413.1206693000001</v>
      </c>
      <c r="EO9" s="77">
        <f t="shared" si="91"/>
        <v>84.475233</v>
      </c>
      <c r="EP9" s="79"/>
      <c r="EQ9" s="78">
        <f aca="true" t="shared" si="158" ref="EQ9:EQ17">C9*0.0244/100</f>
        <v>1416.42</v>
      </c>
      <c r="ER9" s="78">
        <f t="shared" si="92"/>
        <v>57.7792</v>
      </c>
      <c r="ES9" s="78">
        <f t="shared" si="93"/>
        <v>1474.1992</v>
      </c>
      <c r="ET9" s="79">
        <f t="shared" si="94"/>
        <v>26.898315999999998</v>
      </c>
      <c r="EU9" s="77">
        <f t="shared" si="95"/>
        <v>1.60796</v>
      </c>
      <c r="EV9" s="79"/>
      <c r="EW9" s="78">
        <f aca="true" t="shared" si="159" ref="EW9:EW17">C9*0.36459/100</f>
        <v>21164.449500000002</v>
      </c>
      <c r="EX9" s="78">
        <f t="shared" si="96"/>
        <v>863.3491200000001</v>
      </c>
      <c r="EY9" s="78">
        <f t="shared" si="97"/>
        <v>22027.79862</v>
      </c>
      <c r="EZ9" s="79">
        <f t="shared" si="98"/>
        <v>401.9203701</v>
      </c>
      <c r="FA9" s="77">
        <f t="shared" si="99"/>
        <v>24.026481</v>
      </c>
      <c r="FB9" s="79"/>
      <c r="FC9" s="78">
        <f aca="true" t="shared" si="160" ref="FC9:FC17">C9*0.25327/100</f>
        <v>14702.323499999999</v>
      </c>
      <c r="FD9" s="78">
        <f t="shared" si="100"/>
        <v>599.7433599999999</v>
      </c>
      <c r="FE9" s="78">
        <f t="shared" si="101"/>
        <v>15302.066859999999</v>
      </c>
      <c r="FF9" s="79">
        <f t="shared" si="102"/>
        <v>279.2023153</v>
      </c>
      <c r="FG9" s="77">
        <f t="shared" si="103"/>
        <v>16.690493</v>
      </c>
      <c r="FH9" s="79"/>
      <c r="FI9" s="78">
        <f aca="true" t="shared" si="161" ref="FI9:FI17">C9*0.09887/100</f>
        <v>5739.403499999999</v>
      </c>
      <c r="FJ9" s="78">
        <f t="shared" si="104"/>
        <v>234.12416000000002</v>
      </c>
      <c r="FK9" s="78">
        <f t="shared" si="105"/>
        <v>5973.52766</v>
      </c>
      <c r="FL9" s="79">
        <f t="shared" si="106"/>
        <v>108.99329929999999</v>
      </c>
      <c r="FM9" s="77">
        <f t="shared" si="107"/>
        <v>6.515533</v>
      </c>
      <c r="FN9" s="79"/>
      <c r="FO9" s="78">
        <f aca="true" t="shared" si="162" ref="FO9:FO17">C9*1.11111/100</f>
        <v>64499.9355</v>
      </c>
      <c r="FP9" s="78">
        <f t="shared" si="108"/>
        <v>2631.10848</v>
      </c>
      <c r="FQ9" s="78">
        <f t="shared" si="109"/>
        <v>67131.04398</v>
      </c>
      <c r="FR9" s="79">
        <f t="shared" si="110"/>
        <v>1224.8765529</v>
      </c>
      <c r="FS9" s="77">
        <f t="shared" si="111"/>
        <v>73.222149</v>
      </c>
      <c r="FT9" s="79"/>
      <c r="FU9" s="78">
        <f aca="true" t="shared" si="163" ref="FU9:FU17">C9*2.50422/100</f>
        <v>145369.97100000002</v>
      </c>
      <c r="FV9" s="78">
        <f t="shared" si="112"/>
        <v>5929.99296</v>
      </c>
      <c r="FW9" s="78">
        <f t="shared" si="113"/>
        <v>151299.96396000002</v>
      </c>
      <c r="FX9" s="79">
        <f t="shared" si="114"/>
        <v>2760.6270858000003</v>
      </c>
      <c r="FY9" s="77">
        <f t="shared" si="115"/>
        <v>165.028098</v>
      </c>
      <c r="FZ9" s="79"/>
      <c r="GA9" s="78">
        <f aca="true" t="shared" si="164" ref="GA9:GA17">C9*0.31957/100</f>
        <v>18551.038500000002</v>
      </c>
      <c r="GB9" s="78">
        <f t="shared" si="116"/>
        <v>756.7417600000001</v>
      </c>
      <c r="GC9" s="78">
        <f t="shared" si="117"/>
        <v>19307.780260000003</v>
      </c>
      <c r="GD9" s="79">
        <f t="shared" si="118"/>
        <v>352.2907723</v>
      </c>
      <c r="GE9" s="77">
        <f t="shared" si="119"/>
        <v>21.059663</v>
      </c>
      <c r="GF9" s="79"/>
      <c r="GG9" s="78">
        <f aca="true" t="shared" si="165" ref="GG9:GG17">C9*0.50748/100</f>
        <v>29459.214000000004</v>
      </c>
      <c r="GH9" s="78">
        <f t="shared" si="120"/>
        <v>1201.7126400000002</v>
      </c>
      <c r="GI9" s="78">
        <f t="shared" si="121"/>
        <v>30660.926640000005</v>
      </c>
      <c r="GJ9" s="79">
        <f t="shared" si="122"/>
        <v>559.4408772</v>
      </c>
      <c r="GK9" s="77">
        <f t="shared" si="123"/>
        <v>33.442932</v>
      </c>
      <c r="GL9" s="79"/>
      <c r="GM9" s="78">
        <f aca="true" t="shared" si="166" ref="GM9:GM17">C9*2.35189/100</f>
        <v>136527.2145</v>
      </c>
      <c r="GN9" s="78">
        <f t="shared" si="124"/>
        <v>5569.27552</v>
      </c>
      <c r="GO9" s="78">
        <f t="shared" si="125"/>
        <v>142096.49002</v>
      </c>
      <c r="GP9" s="79">
        <f t="shared" si="126"/>
        <v>2592.7000171</v>
      </c>
      <c r="GQ9" s="77">
        <f t="shared" si="127"/>
        <v>154.989551</v>
      </c>
      <c r="GR9" s="79"/>
      <c r="GS9" s="78">
        <f aca="true" t="shared" si="167" ref="GS9:GS17">C9*0.12482/100</f>
        <v>7245.8009999999995</v>
      </c>
      <c r="GT9" s="78">
        <f t="shared" si="128"/>
        <v>295.57376</v>
      </c>
      <c r="GU9" s="78">
        <f t="shared" si="129"/>
        <v>7541.37476</v>
      </c>
      <c r="GV9" s="79">
        <f t="shared" si="130"/>
        <v>137.60031980000002</v>
      </c>
      <c r="GW9" s="77">
        <f t="shared" si="131"/>
        <v>8.225638</v>
      </c>
      <c r="GX9" s="79"/>
      <c r="GY9" s="78">
        <f aca="true" t="shared" si="168" ref="GY9:GY17">C9*0.71564/100</f>
        <v>41542.902</v>
      </c>
      <c r="GZ9" s="78">
        <f t="shared" si="132"/>
        <v>1694.6355200000003</v>
      </c>
      <c r="HA9" s="78">
        <f t="shared" si="133"/>
        <v>43237.537520000005</v>
      </c>
      <c r="HB9" s="79">
        <f t="shared" si="134"/>
        <v>788.9143796000001</v>
      </c>
      <c r="HC9" s="77">
        <f t="shared" si="135"/>
        <v>47.160676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44105</v>
      </c>
      <c r="C10" s="42"/>
      <c r="D10" s="42">
        <v>120700</v>
      </c>
      <c r="E10" s="77">
        <f t="shared" si="0"/>
        <v>120700</v>
      </c>
      <c r="F10" s="77">
        <v>110239</v>
      </c>
      <c r="G10" s="77">
        <v>6590</v>
      </c>
      <c r="H10" s="79"/>
      <c r="I10" s="79"/>
      <c r="J10" s="79">
        <f t="shared" si="1"/>
        <v>65519.086129999996</v>
      </c>
      <c r="K10" s="79">
        <f t="shared" si="2"/>
        <v>65519.086129999996</v>
      </c>
      <c r="L10" s="79">
        <f t="shared" si="3"/>
        <v>59840.5843901</v>
      </c>
      <c r="M10" s="79">
        <f t="shared" si="3"/>
        <v>3577.2226809999993</v>
      </c>
      <c r="N10" s="79"/>
      <c r="O10" s="78"/>
      <c r="P10" s="78">
        <f t="shared" si="4"/>
        <v>7983.725640000001</v>
      </c>
      <c r="Q10" s="79">
        <f t="shared" si="5"/>
        <v>7983.725640000001</v>
      </c>
      <c r="R10" s="79">
        <f t="shared" si="6"/>
        <v>7291.7807028</v>
      </c>
      <c r="S10" s="77">
        <f t="shared" si="7"/>
        <v>435.896868</v>
      </c>
      <c r="T10" s="79"/>
      <c r="U10" s="78"/>
      <c r="V10" s="78">
        <f t="shared" si="8"/>
        <v>136.34272</v>
      </c>
      <c r="W10" s="78">
        <f t="shared" si="9"/>
        <v>136.34272</v>
      </c>
      <c r="X10" s="79">
        <f t="shared" si="10"/>
        <v>124.5259744</v>
      </c>
      <c r="Y10" s="77">
        <f t="shared" si="11"/>
        <v>7.444063999999999</v>
      </c>
      <c r="Z10" s="79"/>
      <c r="AA10" s="79"/>
      <c r="AB10" s="78">
        <f t="shared" si="12"/>
        <v>615.49758</v>
      </c>
      <c r="AC10" s="78">
        <f t="shared" si="13"/>
        <v>615.49758</v>
      </c>
      <c r="AD10" s="79">
        <f t="shared" si="14"/>
        <v>562.1527566</v>
      </c>
      <c r="AE10" s="77">
        <f t="shared" si="15"/>
        <v>33.605045999999994</v>
      </c>
      <c r="AF10" s="79"/>
      <c r="AG10" s="78"/>
      <c r="AH10" s="78">
        <f t="shared" si="16"/>
        <v>10703.639790000001</v>
      </c>
      <c r="AI10" s="78">
        <f t="shared" si="17"/>
        <v>10703.639790000001</v>
      </c>
      <c r="AJ10" s="79">
        <f t="shared" si="18"/>
        <v>9775.9614483</v>
      </c>
      <c r="AK10" s="77">
        <f t="shared" si="19"/>
        <v>584.399223</v>
      </c>
      <c r="AL10" s="79"/>
      <c r="AM10" s="78"/>
      <c r="AN10" s="78">
        <f t="shared" si="20"/>
        <v>129.65594000000002</v>
      </c>
      <c r="AO10" s="78">
        <f t="shared" si="21"/>
        <v>129.65594000000002</v>
      </c>
      <c r="AP10" s="79">
        <f t="shared" si="22"/>
        <v>118.4187338</v>
      </c>
      <c r="AQ10" s="77">
        <f t="shared" si="23"/>
        <v>7.078978</v>
      </c>
      <c r="AR10" s="78"/>
      <c r="AS10" s="78"/>
      <c r="AT10" s="78">
        <f t="shared" si="24"/>
        <v>109.34213</v>
      </c>
      <c r="AU10" s="78">
        <f t="shared" si="25"/>
        <v>109.34213</v>
      </c>
      <c r="AV10" s="79">
        <f t="shared" si="26"/>
        <v>99.8655101</v>
      </c>
      <c r="AW10" s="77">
        <f t="shared" si="27"/>
        <v>5.969881</v>
      </c>
      <c r="AX10" s="79"/>
      <c r="AY10" s="78"/>
      <c r="AZ10" s="78">
        <f t="shared" si="28"/>
        <v>4486.03276</v>
      </c>
      <c r="BA10" s="78">
        <f t="shared" si="29"/>
        <v>4486.03276</v>
      </c>
      <c r="BB10" s="79">
        <f t="shared" si="30"/>
        <v>4097.2308652</v>
      </c>
      <c r="BC10" s="77">
        <f t="shared" si="31"/>
        <v>244.929212</v>
      </c>
      <c r="BD10" s="79"/>
      <c r="BE10" s="78"/>
      <c r="BF10" s="78">
        <f t="shared" si="32"/>
        <v>9204.85961</v>
      </c>
      <c r="BG10" s="78">
        <f t="shared" si="33"/>
        <v>9204.85961</v>
      </c>
      <c r="BH10" s="79">
        <f t="shared" si="34"/>
        <v>8407.0796897</v>
      </c>
      <c r="BI10" s="77">
        <f t="shared" si="35"/>
        <v>502.56855700000006</v>
      </c>
      <c r="BJ10" s="79"/>
      <c r="BK10" s="78"/>
      <c r="BL10" s="78">
        <f t="shared" si="36"/>
        <v>106.26428</v>
      </c>
      <c r="BM10" s="78">
        <f t="shared" si="37"/>
        <v>106.26428</v>
      </c>
      <c r="BN10" s="79">
        <f t="shared" si="38"/>
        <v>97.0544156</v>
      </c>
      <c r="BO10" s="77">
        <f t="shared" si="39"/>
        <v>5.801836000000001</v>
      </c>
      <c r="BP10" s="79"/>
      <c r="BQ10" s="78"/>
      <c r="BR10" s="78">
        <f t="shared" si="40"/>
        <v>71.38198</v>
      </c>
      <c r="BS10" s="78">
        <f t="shared" si="41"/>
        <v>71.38198</v>
      </c>
      <c r="BT10" s="79">
        <f t="shared" si="42"/>
        <v>65.1953446</v>
      </c>
      <c r="BU10" s="77">
        <f t="shared" si="43"/>
        <v>3.8973259999999996</v>
      </c>
      <c r="BV10" s="79"/>
      <c r="BW10" s="78"/>
      <c r="BX10" s="78">
        <f t="shared" si="44"/>
        <v>-10.63367</v>
      </c>
      <c r="BY10" s="78">
        <f t="shared" si="45"/>
        <v>-10.63367</v>
      </c>
      <c r="BZ10" s="79">
        <f t="shared" si="46"/>
        <v>-9.7120559</v>
      </c>
      <c r="CA10" s="77">
        <f t="shared" si="47"/>
        <v>-0.580579</v>
      </c>
      <c r="CB10" s="78"/>
      <c r="CC10" s="78"/>
      <c r="CD10" s="78">
        <f t="shared" si="48"/>
        <v>-6.92818</v>
      </c>
      <c r="CE10" s="78">
        <f t="shared" si="49"/>
        <v>-6.92818</v>
      </c>
      <c r="CF10" s="79">
        <f t="shared" si="50"/>
        <v>-6.3277186</v>
      </c>
      <c r="CG10" s="77">
        <f t="shared" si="51"/>
        <v>-0.378266</v>
      </c>
      <c r="CH10" s="79"/>
      <c r="CI10" s="78"/>
      <c r="CJ10" s="78">
        <f t="shared" si="52"/>
        <v>257.64622</v>
      </c>
      <c r="CK10" s="78">
        <f t="shared" si="53"/>
        <v>257.64622</v>
      </c>
      <c r="CL10" s="79">
        <f t="shared" si="54"/>
        <v>235.3161694</v>
      </c>
      <c r="CM10" s="77">
        <f t="shared" si="55"/>
        <v>14.067014</v>
      </c>
      <c r="CN10" s="79"/>
      <c r="CO10" s="78"/>
      <c r="CP10" s="78">
        <f t="shared" si="56"/>
        <v>1584.4288999999999</v>
      </c>
      <c r="CQ10" s="78">
        <f t="shared" si="57"/>
        <v>1584.4288999999999</v>
      </c>
      <c r="CR10" s="79">
        <f t="shared" si="58"/>
        <v>1447.1073529999999</v>
      </c>
      <c r="CS10" s="77">
        <f t="shared" si="59"/>
        <v>86.50693</v>
      </c>
      <c r="CT10" s="79"/>
      <c r="CU10" s="78"/>
      <c r="CV10" s="78">
        <f t="shared" si="60"/>
        <v>10643.941569999999</v>
      </c>
      <c r="CW10" s="78">
        <f t="shared" si="61"/>
        <v>10643.941569999999</v>
      </c>
      <c r="CX10" s="79">
        <f t="shared" si="62"/>
        <v>9721.4372389</v>
      </c>
      <c r="CY10" s="77">
        <f t="shared" si="63"/>
        <v>581.139809</v>
      </c>
      <c r="CZ10" s="79"/>
      <c r="DA10" s="78"/>
      <c r="DB10" s="78">
        <f t="shared" si="64"/>
        <v>1535.6902399999997</v>
      </c>
      <c r="DC10" s="78">
        <f t="shared" si="65"/>
        <v>1535.6902399999997</v>
      </c>
      <c r="DD10" s="79">
        <f t="shared" si="66"/>
        <v>1402.5928448</v>
      </c>
      <c r="DE10" s="77">
        <f t="shared" si="67"/>
        <v>83.845888</v>
      </c>
      <c r="DF10" s="79"/>
      <c r="DG10" s="78"/>
      <c r="DH10" s="78">
        <f t="shared" si="68"/>
        <v>3137.8620400000004</v>
      </c>
      <c r="DI10" s="78">
        <f t="shared" si="69"/>
        <v>3137.8620400000004</v>
      </c>
      <c r="DJ10" s="79">
        <f t="shared" si="70"/>
        <v>2865.9053308000002</v>
      </c>
      <c r="DK10" s="77">
        <f t="shared" si="71"/>
        <v>171.321548</v>
      </c>
      <c r="DL10" s="79"/>
      <c r="DM10" s="78"/>
      <c r="DN10" s="78">
        <f t="shared" si="72"/>
        <v>508.89534</v>
      </c>
      <c r="DO10" s="78">
        <f t="shared" si="73"/>
        <v>508.89534</v>
      </c>
      <c r="DP10" s="79">
        <f t="shared" si="74"/>
        <v>464.78967179999995</v>
      </c>
      <c r="DQ10" s="77">
        <f t="shared" si="75"/>
        <v>27.784758</v>
      </c>
      <c r="DR10" s="79"/>
      <c r="DS10" s="78"/>
      <c r="DT10" s="78">
        <f t="shared" si="76"/>
        <v>2610.5237399999996</v>
      </c>
      <c r="DU10" s="78">
        <f t="shared" si="77"/>
        <v>2610.5237399999996</v>
      </c>
      <c r="DV10" s="79">
        <f t="shared" si="78"/>
        <v>2384.2711398</v>
      </c>
      <c r="DW10" s="77">
        <f t="shared" si="79"/>
        <v>142.529838</v>
      </c>
      <c r="DX10" s="79"/>
      <c r="DY10" s="78"/>
      <c r="DZ10" s="78">
        <f t="shared" si="80"/>
        <v>23.33131</v>
      </c>
      <c r="EA10" s="78">
        <f t="shared" si="81"/>
        <v>23.33131</v>
      </c>
      <c r="EB10" s="79">
        <f t="shared" si="82"/>
        <v>21.3091987</v>
      </c>
      <c r="EC10" s="77">
        <f t="shared" si="83"/>
        <v>1.273847</v>
      </c>
      <c r="ED10" s="79"/>
      <c r="EE10" s="78"/>
      <c r="EF10" s="78">
        <f t="shared" si="84"/>
        <v>30.70608</v>
      </c>
      <c r="EG10" s="78">
        <f t="shared" si="85"/>
        <v>30.70608</v>
      </c>
      <c r="EH10" s="79">
        <f t="shared" si="86"/>
        <v>28.0448016</v>
      </c>
      <c r="EI10" s="77">
        <f t="shared" si="87"/>
        <v>1.676496</v>
      </c>
      <c r="EJ10" s="79"/>
      <c r="EK10" s="78"/>
      <c r="EL10" s="78">
        <f t="shared" si="88"/>
        <v>1547.21709</v>
      </c>
      <c r="EM10" s="78">
        <f t="shared" si="89"/>
        <v>1547.21709</v>
      </c>
      <c r="EN10" s="79">
        <f t="shared" si="90"/>
        <v>1413.1206693000001</v>
      </c>
      <c r="EO10" s="77">
        <f t="shared" si="91"/>
        <v>84.475233</v>
      </c>
      <c r="EP10" s="79"/>
      <c r="EQ10" s="78"/>
      <c r="ER10" s="78">
        <f t="shared" si="92"/>
        <v>29.450800000000005</v>
      </c>
      <c r="ES10" s="78">
        <f t="shared" si="93"/>
        <v>29.450800000000005</v>
      </c>
      <c r="ET10" s="79">
        <f t="shared" si="94"/>
        <v>26.898315999999998</v>
      </c>
      <c r="EU10" s="77">
        <f t="shared" si="95"/>
        <v>1.60796</v>
      </c>
      <c r="EV10" s="79"/>
      <c r="EW10" s="78"/>
      <c r="EX10" s="78">
        <f t="shared" si="96"/>
        <v>440.0601300000001</v>
      </c>
      <c r="EY10" s="78">
        <f t="shared" si="97"/>
        <v>440.0601300000001</v>
      </c>
      <c r="EZ10" s="79">
        <f t="shared" si="98"/>
        <v>401.9203701</v>
      </c>
      <c r="FA10" s="77">
        <f t="shared" si="99"/>
        <v>24.026481</v>
      </c>
      <c r="FB10" s="79"/>
      <c r="FC10" s="78"/>
      <c r="FD10" s="78">
        <f t="shared" si="100"/>
        <v>305.69689</v>
      </c>
      <c r="FE10" s="78">
        <f t="shared" si="101"/>
        <v>305.69689</v>
      </c>
      <c r="FF10" s="79">
        <f t="shared" si="102"/>
        <v>279.2023153</v>
      </c>
      <c r="FG10" s="77">
        <f t="shared" si="103"/>
        <v>16.690493</v>
      </c>
      <c r="FH10" s="79"/>
      <c r="FI10" s="78"/>
      <c r="FJ10" s="78">
        <f t="shared" si="104"/>
        <v>119.33609</v>
      </c>
      <c r="FK10" s="78">
        <f t="shared" si="105"/>
        <v>119.33609</v>
      </c>
      <c r="FL10" s="79">
        <f t="shared" si="106"/>
        <v>108.99329929999999</v>
      </c>
      <c r="FM10" s="77">
        <f t="shared" si="107"/>
        <v>6.515533</v>
      </c>
      <c r="FN10" s="79"/>
      <c r="FO10" s="78"/>
      <c r="FP10" s="78">
        <f t="shared" si="108"/>
        <v>1341.10977</v>
      </c>
      <c r="FQ10" s="78">
        <f t="shared" si="109"/>
        <v>1341.10977</v>
      </c>
      <c r="FR10" s="79">
        <f t="shared" si="110"/>
        <v>1224.8765529</v>
      </c>
      <c r="FS10" s="77">
        <f t="shared" si="111"/>
        <v>73.222149</v>
      </c>
      <c r="FT10" s="79"/>
      <c r="FU10" s="78"/>
      <c r="FV10" s="78">
        <f t="shared" si="112"/>
        <v>3022.59354</v>
      </c>
      <c r="FW10" s="78">
        <f t="shared" si="113"/>
        <v>3022.59354</v>
      </c>
      <c r="FX10" s="79">
        <f t="shared" si="114"/>
        <v>2760.6270858000003</v>
      </c>
      <c r="FY10" s="77">
        <f t="shared" si="115"/>
        <v>165.028098</v>
      </c>
      <c r="FZ10" s="79"/>
      <c r="GA10" s="78"/>
      <c r="GB10" s="78">
        <f t="shared" si="116"/>
        <v>385.72099000000003</v>
      </c>
      <c r="GC10" s="78">
        <f t="shared" si="117"/>
        <v>385.72099000000003</v>
      </c>
      <c r="GD10" s="79">
        <f t="shared" si="118"/>
        <v>352.2907723</v>
      </c>
      <c r="GE10" s="77">
        <f t="shared" si="119"/>
        <v>21.059663</v>
      </c>
      <c r="GF10" s="79"/>
      <c r="GG10" s="78"/>
      <c r="GH10" s="78">
        <f t="shared" si="120"/>
        <v>612.52836</v>
      </c>
      <c r="GI10" s="78">
        <f t="shared" si="121"/>
        <v>612.52836</v>
      </c>
      <c r="GJ10" s="79">
        <f t="shared" si="122"/>
        <v>559.4408772</v>
      </c>
      <c r="GK10" s="77">
        <f t="shared" si="123"/>
        <v>33.442932</v>
      </c>
      <c r="GL10" s="79"/>
      <c r="GM10" s="78"/>
      <c r="GN10" s="78">
        <f t="shared" si="124"/>
        <v>2838.7312300000003</v>
      </c>
      <c r="GO10" s="78">
        <f t="shared" si="125"/>
        <v>2838.7312300000003</v>
      </c>
      <c r="GP10" s="79">
        <f t="shared" si="126"/>
        <v>2592.7000171</v>
      </c>
      <c r="GQ10" s="77">
        <f t="shared" si="127"/>
        <v>154.989551</v>
      </c>
      <c r="GR10" s="79"/>
      <c r="GS10" s="78"/>
      <c r="GT10" s="78">
        <f t="shared" si="128"/>
        <v>150.65774</v>
      </c>
      <c r="GU10" s="78">
        <f t="shared" si="129"/>
        <v>150.65774</v>
      </c>
      <c r="GV10" s="79">
        <f t="shared" si="130"/>
        <v>137.60031980000002</v>
      </c>
      <c r="GW10" s="77">
        <f t="shared" si="131"/>
        <v>8.225638</v>
      </c>
      <c r="GX10" s="79"/>
      <c r="GY10" s="78"/>
      <c r="GZ10" s="78">
        <f t="shared" si="132"/>
        <v>863.7774800000001</v>
      </c>
      <c r="HA10" s="78">
        <f t="shared" si="133"/>
        <v>863.7774800000001</v>
      </c>
      <c r="HB10" s="79">
        <f t="shared" si="134"/>
        <v>788.9143796000001</v>
      </c>
      <c r="HC10" s="77">
        <f t="shared" si="135"/>
        <v>47.160676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44287</v>
      </c>
      <c r="C11" s="42">
        <v>6035000</v>
      </c>
      <c r="D11" s="42">
        <v>120700</v>
      </c>
      <c r="E11" s="77">
        <f t="shared" si="0"/>
        <v>6155700</v>
      </c>
      <c r="F11" s="77">
        <v>110238</v>
      </c>
      <c r="G11" s="77">
        <v>6587</v>
      </c>
      <c r="H11" s="79"/>
      <c r="I11" s="79">
        <f>O11+U11+AA11+AG11+AM11+AS11+AY11+BE11+BK11+BQ11+BW11+CC11+CI11+CO11+CU11+DA11+DG11+DM11+DS11+DY11+EE11+EK11+EQ11+EW11+FC11+FI11+FO11+FU11+GA11+GG11+GM11+GS11+GY11</f>
        <v>3275954.3065000004</v>
      </c>
      <c r="J11" s="79">
        <f t="shared" si="1"/>
        <v>65519.086129999996</v>
      </c>
      <c r="K11" s="79">
        <f t="shared" si="2"/>
        <v>3341473.3926300006</v>
      </c>
      <c r="L11" s="79">
        <f t="shared" si="3"/>
        <v>59840.04156420001</v>
      </c>
      <c r="M11" s="79">
        <f t="shared" si="3"/>
        <v>3575.5942032999997</v>
      </c>
      <c r="N11" s="79"/>
      <c r="O11" s="78">
        <f t="shared" si="136"/>
        <v>399186.28199999995</v>
      </c>
      <c r="P11" s="78">
        <f t="shared" si="4"/>
        <v>7983.725640000001</v>
      </c>
      <c r="Q11" s="79">
        <f t="shared" si="5"/>
        <v>407170.00763999997</v>
      </c>
      <c r="R11" s="79">
        <f t="shared" si="6"/>
        <v>7291.7145576</v>
      </c>
      <c r="S11" s="77">
        <f t="shared" si="7"/>
        <v>435.6984324</v>
      </c>
      <c r="T11" s="79"/>
      <c r="U11" s="78">
        <f t="shared" si="137"/>
        <v>6817.1359999999995</v>
      </c>
      <c r="V11" s="78">
        <f t="shared" si="8"/>
        <v>136.34272</v>
      </c>
      <c r="W11" s="78">
        <f t="shared" si="9"/>
        <v>6953.478719999999</v>
      </c>
      <c r="X11" s="79">
        <f t="shared" si="10"/>
        <v>124.5248448</v>
      </c>
      <c r="Y11" s="77">
        <f t="shared" si="11"/>
        <v>7.440675199999999</v>
      </c>
      <c r="Z11" s="79"/>
      <c r="AA11" s="79">
        <f t="shared" si="138"/>
        <v>30774.879</v>
      </c>
      <c r="AB11" s="78">
        <f t="shared" si="12"/>
        <v>615.49758</v>
      </c>
      <c r="AC11" s="78">
        <f t="shared" si="13"/>
        <v>31390.37658</v>
      </c>
      <c r="AD11" s="79">
        <f t="shared" si="14"/>
        <v>562.1476571999999</v>
      </c>
      <c r="AE11" s="77">
        <f t="shared" si="15"/>
        <v>33.5897478</v>
      </c>
      <c r="AF11" s="79"/>
      <c r="AG11" s="78">
        <f t="shared" si="139"/>
        <v>535181.9894999999</v>
      </c>
      <c r="AH11" s="78">
        <f t="shared" si="16"/>
        <v>10703.639790000001</v>
      </c>
      <c r="AI11" s="78">
        <f t="shared" si="17"/>
        <v>545885.62929</v>
      </c>
      <c r="AJ11" s="79">
        <f t="shared" si="18"/>
        <v>9775.8727686</v>
      </c>
      <c r="AK11" s="77">
        <f t="shared" si="19"/>
        <v>584.1331839</v>
      </c>
      <c r="AL11" s="79"/>
      <c r="AM11" s="78">
        <f t="shared" si="140"/>
        <v>6482.797</v>
      </c>
      <c r="AN11" s="78">
        <f t="shared" si="20"/>
        <v>129.65594000000002</v>
      </c>
      <c r="AO11" s="78">
        <f t="shared" si="21"/>
        <v>6612.452939999999</v>
      </c>
      <c r="AP11" s="79">
        <f t="shared" si="22"/>
        <v>118.4176596</v>
      </c>
      <c r="AQ11" s="77">
        <f t="shared" si="23"/>
        <v>7.0757554</v>
      </c>
      <c r="AR11" s="78"/>
      <c r="AS11" s="78">
        <f t="shared" si="141"/>
        <v>5467.1065</v>
      </c>
      <c r="AT11" s="78">
        <f t="shared" si="24"/>
        <v>109.34213</v>
      </c>
      <c r="AU11" s="78">
        <f t="shared" si="25"/>
        <v>5576.44863</v>
      </c>
      <c r="AV11" s="79">
        <f t="shared" si="26"/>
        <v>99.8646042</v>
      </c>
      <c r="AW11" s="77">
        <f t="shared" si="27"/>
        <v>5.967163299999999</v>
      </c>
      <c r="AX11" s="79"/>
      <c r="AY11" s="78">
        <f t="shared" si="142"/>
        <v>224301.638</v>
      </c>
      <c r="AZ11" s="78">
        <f t="shared" si="28"/>
        <v>4486.03276</v>
      </c>
      <c r="BA11" s="78">
        <f t="shared" si="29"/>
        <v>228787.67076</v>
      </c>
      <c r="BB11" s="79">
        <f t="shared" si="30"/>
        <v>4097.1936984</v>
      </c>
      <c r="BC11" s="77">
        <f t="shared" si="31"/>
        <v>244.8177116</v>
      </c>
      <c r="BD11" s="79"/>
      <c r="BE11" s="78">
        <f t="shared" si="143"/>
        <v>460242.98049999995</v>
      </c>
      <c r="BF11" s="78">
        <f t="shared" si="32"/>
        <v>9204.85961</v>
      </c>
      <c r="BG11" s="78">
        <f t="shared" si="33"/>
        <v>469447.84010999993</v>
      </c>
      <c r="BH11" s="79">
        <f t="shared" si="34"/>
        <v>8407.0034274</v>
      </c>
      <c r="BI11" s="77">
        <f t="shared" si="35"/>
        <v>502.3397701</v>
      </c>
      <c r="BJ11" s="79"/>
      <c r="BK11" s="78">
        <f t="shared" si="144"/>
        <v>5313.213999999999</v>
      </c>
      <c r="BL11" s="78">
        <f t="shared" si="36"/>
        <v>106.26428</v>
      </c>
      <c r="BM11" s="78">
        <f t="shared" si="37"/>
        <v>5419.478279999999</v>
      </c>
      <c r="BN11" s="79">
        <f t="shared" si="38"/>
        <v>97.0535352</v>
      </c>
      <c r="BO11" s="77">
        <f t="shared" si="39"/>
        <v>5.7991948</v>
      </c>
      <c r="BP11" s="79"/>
      <c r="BQ11" s="78">
        <f t="shared" si="145"/>
        <v>3569.0989999999997</v>
      </c>
      <c r="BR11" s="78">
        <f t="shared" si="40"/>
        <v>71.38198</v>
      </c>
      <c r="BS11" s="78">
        <f t="shared" si="41"/>
        <v>3640.48098</v>
      </c>
      <c r="BT11" s="79">
        <f t="shared" si="42"/>
        <v>65.1947532</v>
      </c>
      <c r="BU11" s="77">
        <f t="shared" si="43"/>
        <v>3.8955518</v>
      </c>
      <c r="BV11" s="79"/>
      <c r="BW11" s="78">
        <f t="shared" si="146"/>
        <v>-531.6835</v>
      </c>
      <c r="BX11" s="78">
        <f t="shared" si="44"/>
        <v>-10.63367</v>
      </c>
      <c r="BY11" s="78">
        <f t="shared" si="45"/>
        <v>-542.31717</v>
      </c>
      <c r="BZ11" s="79">
        <f t="shared" si="46"/>
        <v>-9.7119678</v>
      </c>
      <c r="CA11" s="77">
        <f t="shared" si="47"/>
        <v>-0.5803147</v>
      </c>
      <c r="CB11" s="78"/>
      <c r="CC11" s="78">
        <f t="shared" si="147"/>
        <v>-346.409</v>
      </c>
      <c r="CD11" s="78">
        <f t="shared" si="48"/>
        <v>-6.92818</v>
      </c>
      <c r="CE11" s="78">
        <f t="shared" si="49"/>
        <v>-353.33718</v>
      </c>
      <c r="CF11" s="79">
        <f t="shared" si="50"/>
        <v>-6.3276612</v>
      </c>
      <c r="CG11" s="77">
        <f t="shared" si="51"/>
        <v>-0.3780938</v>
      </c>
      <c r="CH11" s="79"/>
      <c r="CI11" s="78">
        <f t="shared" si="148"/>
        <v>12882.311000000002</v>
      </c>
      <c r="CJ11" s="78">
        <f t="shared" si="52"/>
        <v>257.64622</v>
      </c>
      <c r="CK11" s="78">
        <f t="shared" si="53"/>
        <v>13139.957220000002</v>
      </c>
      <c r="CL11" s="79">
        <f t="shared" si="54"/>
        <v>235.3140348</v>
      </c>
      <c r="CM11" s="77">
        <f t="shared" si="55"/>
        <v>14.0606102</v>
      </c>
      <c r="CN11" s="79"/>
      <c r="CO11" s="78">
        <f t="shared" si="149"/>
        <v>79221.445</v>
      </c>
      <c r="CP11" s="78">
        <f t="shared" si="56"/>
        <v>1584.4288999999999</v>
      </c>
      <c r="CQ11" s="78">
        <f t="shared" si="57"/>
        <v>80805.8739</v>
      </c>
      <c r="CR11" s="79">
        <f t="shared" si="58"/>
        <v>1447.094226</v>
      </c>
      <c r="CS11" s="77">
        <f t="shared" si="59"/>
        <v>86.467549</v>
      </c>
      <c r="CT11" s="79"/>
      <c r="CU11" s="78">
        <f t="shared" si="150"/>
        <v>532197.0785000001</v>
      </c>
      <c r="CV11" s="78">
        <f t="shared" si="60"/>
        <v>10643.941569999999</v>
      </c>
      <c r="CW11" s="78">
        <f t="shared" si="61"/>
        <v>542841.0200700001</v>
      </c>
      <c r="CX11" s="79">
        <f t="shared" si="62"/>
        <v>9721.3490538</v>
      </c>
      <c r="CY11" s="77">
        <f t="shared" si="63"/>
        <v>580.8752537</v>
      </c>
      <c r="CZ11" s="79"/>
      <c r="DA11" s="78">
        <f t="shared" si="151"/>
        <v>76784.51199999999</v>
      </c>
      <c r="DB11" s="78">
        <f t="shared" si="64"/>
        <v>1535.6902399999997</v>
      </c>
      <c r="DC11" s="78">
        <f t="shared" si="65"/>
        <v>78320.20223999998</v>
      </c>
      <c r="DD11" s="79">
        <f t="shared" si="66"/>
        <v>1402.5801216</v>
      </c>
      <c r="DE11" s="77">
        <f t="shared" si="67"/>
        <v>83.8077184</v>
      </c>
      <c r="DF11" s="79"/>
      <c r="DG11" s="78">
        <f t="shared" si="152"/>
        <v>156893.10199999998</v>
      </c>
      <c r="DH11" s="78">
        <f t="shared" si="68"/>
        <v>3137.8620400000004</v>
      </c>
      <c r="DI11" s="78">
        <f t="shared" si="69"/>
        <v>160030.96404</v>
      </c>
      <c r="DJ11" s="79">
        <f t="shared" si="70"/>
        <v>2865.8793336000003</v>
      </c>
      <c r="DK11" s="77">
        <f t="shared" si="71"/>
        <v>171.24355640000002</v>
      </c>
      <c r="DL11" s="79"/>
      <c r="DM11" s="78">
        <f t="shared" si="153"/>
        <v>25444.767000000003</v>
      </c>
      <c r="DN11" s="78">
        <f t="shared" si="72"/>
        <v>508.89534</v>
      </c>
      <c r="DO11" s="78">
        <f t="shared" si="73"/>
        <v>25953.662340000003</v>
      </c>
      <c r="DP11" s="79">
        <f t="shared" si="74"/>
        <v>464.7854556</v>
      </c>
      <c r="DQ11" s="77">
        <f t="shared" si="75"/>
        <v>27.772109399999998</v>
      </c>
      <c r="DR11" s="79"/>
      <c r="DS11" s="78">
        <f t="shared" si="154"/>
        <v>130526.18699999999</v>
      </c>
      <c r="DT11" s="78">
        <f t="shared" si="76"/>
        <v>2610.5237399999996</v>
      </c>
      <c r="DU11" s="78">
        <f t="shared" si="77"/>
        <v>133136.71073999998</v>
      </c>
      <c r="DV11" s="79">
        <f t="shared" si="78"/>
        <v>2384.2495116</v>
      </c>
      <c r="DW11" s="77">
        <f t="shared" si="79"/>
        <v>142.4649534</v>
      </c>
      <c r="DX11" s="79"/>
      <c r="DY11" s="78">
        <f t="shared" si="155"/>
        <v>1166.5655</v>
      </c>
      <c r="DZ11" s="78">
        <f t="shared" si="80"/>
        <v>23.33131</v>
      </c>
      <c r="EA11" s="78">
        <f t="shared" si="81"/>
        <v>1189.89681</v>
      </c>
      <c r="EB11" s="79">
        <f t="shared" si="82"/>
        <v>21.3090054</v>
      </c>
      <c r="EC11" s="77">
        <f t="shared" si="83"/>
        <v>1.2732671</v>
      </c>
      <c r="ED11" s="79"/>
      <c r="EE11" s="78">
        <f t="shared" si="156"/>
        <v>1535.3039999999999</v>
      </c>
      <c r="EF11" s="78">
        <f t="shared" si="84"/>
        <v>30.70608</v>
      </c>
      <c r="EG11" s="78">
        <f t="shared" si="85"/>
        <v>1566.0100799999998</v>
      </c>
      <c r="EH11" s="79">
        <f t="shared" si="86"/>
        <v>28.0445472</v>
      </c>
      <c r="EI11" s="77">
        <f t="shared" si="87"/>
        <v>1.6757328</v>
      </c>
      <c r="EJ11" s="79"/>
      <c r="EK11" s="78">
        <f t="shared" si="157"/>
        <v>77360.8545</v>
      </c>
      <c r="EL11" s="78">
        <f t="shared" si="88"/>
        <v>1547.21709</v>
      </c>
      <c r="EM11" s="78">
        <f t="shared" si="89"/>
        <v>78908.07159</v>
      </c>
      <c r="EN11" s="79">
        <f t="shared" si="90"/>
        <v>1413.1078506000001</v>
      </c>
      <c r="EO11" s="77">
        <f t="shared" si="91"/>
        <v>84.4367769</v>
      </c>
      <c r="EP11" s="79"/>
      <c r="EQ11" s="78">
        <f t="shared" si="158"/>
        <v>1472.54</v>
      </c>
      <c r="ER11" s="78">
        <f t="shared" si="92"/>
        <v>29.450800000000005</v>
      </c>
      <c r="ES11" s="78">
        <f t="shared" si="93"/>
        <v>1501.9908</v>
      </c>
      <c r="ET11" s="79">
        <f t="shared" si="94"/>
        <v>26.898072</v>
      </c>
      <c r="EU11" s="77">
        <f t="shared" si="95"/>
        <v>1.6072279999999999</v>
      </c>
      <c r="EV11" s="79"/>
      <c r="EW11" s="78">
        <f t="shared" si="159"/>
        <v>22003.006500000003</v>
      </c>
      <c r="EX11" s="78">
        <f t="shared" si="96"/>
        <v>440.0601300000001</v>
      </c>
      <c r="EY11" s="78">
        <f t="shared" si="97"/>
        <v>22443.066630000005</v>
      </c>
      <c r="EZ11" s="79">
        <f t="shared" si="98"/>
        <v>401.91672420000003</v>
      </c>
      <c r="FA11" s="77">
        <f t="shared" si="99"/>
        <v>24.0155433</v>
      </c>
      <c r="FB11" s="79"/>
      <c r="FC11" s="78">
        <f t="shared" si="160"/>
        <v>15284.8445</v>
      </c>
      <c r="FD11" s="78">
        <f t="shared" si="100"/>
        <v>305.69689</v>
      </c>
      <c r="FE11" s="78">
        <f t="shared" si="101"/>
        <v>15590.541389999999</v>
      </c>
      <c r="FF11" s="79">
        <f t="shared" si="102"/>
        <v>279.1997826</v>
      </c>
      <c r="FG11" s="77">
        <f t="shared" si="103"/>
        <v>16.6828949</v>
      </c>
      <c r="FH11" s="79"/>
      <c r="FI11" s="78">
        <f t="shared" si="161"/>
        <v>5966.804499999999</v>
      </c>
      <c r="FJ11" s="78">
        <f t="shared" si="104"/>
        <v>119.33609</v>
      </c>
      <c r="FK11" s="78">
        <f t="shared" si="105"/>
        <v>6086.140589999999</v>
      </c>
      <c r="FL11" s="79">
        <f t="shared" si="106"/>
        <v>108.9923106</v>
      </c>
      <c r="FM11" s="77">
        <f t="shared" si="107"/>
        <v>6.5125668999999995</v>
      </c>
      <c r="FN11" s="79"/>
      <c r="FO11" s="78">
        <f t="shared" si="162"/>
        <v>67055.4885</v>
      </c>
      <c r="FP11" s="78">
        <f t="shared" si="108"/>
        <v>1341.10977</v>
      </c>
      <c r="FQ11" s="78">
        <f t="shared" si="109"/>
        <v>68396.59827</v>
      </c>
      <c r="FR11" s="79">
        <f t="shared" si="110"/>
        <v>1224.8654418</v>
      </c>
      <c r="FS11" s="77">
        <f t="shared" si="111"/>
        <v>73.1888157</v>
      </c>
      <c r="FT11" s="79"/>
      <c r="FU11" s="78">
        <f t="shared" si="163"/>
        <v>151129.67700000003</v>
      </c>
      <c r="FV11" s="78">
        <f t="shared" si="112"/>
        <v>3022.59354</v>
      </c>
      <c r="FW11" s="78">
        <f t="shared" si="113"/>
        <v>154152.27054000003</v>
      </c>
      <c r="FX11" s="79">
        <f t="shared" si="114"/>
        <v>2760.6020436</v>
      </c>
      <c r="FY11" s="77">
        <f t="shared" si="115"/>
        <v>164.9529714</v>
      </c>
      <c r="FZ11" s="79"/>
      <c r="GA11" s="78">
        <f t="shared" si="164"/>
        <v>19286.0495</v>
      </c>
      <c r="GB11" s="78">
        <f t="shared" si="116"/>
        <v>385.72099000000003</v>
      </c>
      <c r="GC11" s="78">
        <f t="shared" si="117"/>
        <v>19671.770490000003</v>
      </c>
      <c r="GD11" s="79">
        <f t="shared" si="118"/>
        <v>352.2875766</v>
      </c>
      <c r="GE11" s="77">
        <f t="shared" si="119"/>
        <v>21.0500759</v>
      </c>
      <c r="GF11" s="79"/>
      <c r="GG11" s="78">
        <f t="shared" si="165"/>
        <v>30626.418</v>
      </c>
      <c r="GH11" s="78">
        <f t="shared" si="120"/>
        <v>612.52836</v>
      </c>
      <c r="GI11" s="78">
        <f t="shared" si="121"/>
        <v>31238.94636</v>
      </c>
      <c r="GJ11" s="79">
        <f t="shared" si="122"/>
        <v>559.4358024</v>
      </c>
      <c r="GK11" s="77">
        <f t="shared" si="123"/>
        <v>33.4277076</v>
      </c>
      <c r="GL11" s="79"/>
      <c r="GM11" s="78">
        <f t="shared" si="166"/>
        <v>141936.5615</v>
      </c>
      <c r="GN11" s="78">
        <f t="shared" si="124"/>
        <v>2838.7312300000003</v>
      </c>
      <c r="GO11" s="78">
        <f t="shared" si="125"/>
        <v>144775.29273000002</v>
      </c>
      <c r="GP11" s="79">
        <f t="shared" si="126"/>
        <v>2592.6764982</v>
      </c>
      <c r="GQ11" s="77">
        <f t="shared" si="127"/>
        <v>154.91899429999998</v>
      </c>
      <c r="GR11" s="79"/>
      <c r="GS11" s="78">
        <f t="shared" si="167"/>
        <v>7532.887</v>
      </c>
      <c r="GT11" s="78">
        <f t="shared" si="128"/>
        <v>150.65774</v>
      </c>
      <c r="GU11" s="78">
        <f t="shared" si="129"/>
        <v>7683.544739999999</v>
      </c>
      <c r="GV11" s="79">
        <f t="shared" si="130"/>
        <v>137.5990716</v>
      </c>
      <c r="GW11" s="77">
        <f t="shared" si="131"/>
        <v>8.2218934</v>
      </c>
      <c r="GX11" s="79"/>
      <c r="GY11" s="78">
        <f t="shared" si="168"/>
        <v>43188.874</v>
      </c>
      <c r="GZ11" s="78">
        <f t="shared" si="132"/>
        <v>863.7774800000001</v>
      </c>
      <c r="HA11" s="78">
        <f t="shared" si="133"/>
        <v>44052.65148</v>
      </c>
      <c r="HB11" s="79">
        <f t="shared" si="134"/>
        <v>788.9072232</v>
      </c>
      <c r="HC11" s="77">
        <f t="shared" si="135"/>
        <v>47.139206800000004</v>
      </c>
      <c r="HD11" s="79"/>
      <c r="HE11" s="79"/>
      <c r="HF11" s="79"/>
      <c r="HG11" s="79"/>
      <c r="HH11" s="79"/>
      <c r="HI11" s="79"/>
    </row>
    <row r="12" spans="1:217" s="52" customFormat="1" ht="12.75" hidden="1">
      <c r="A12" s="51">
        <v>44470</v>
      </c>
      <c r="C12" s="80"/>
      <c r="D12" s="80"/>
      <c r="E12" s="77">
        <f t="shared" si="0"/>
        <v>0</v>
      </c>
      <c r="F12" s="77"/>
      <c r="G12" s="77"/>
      <c r="H12" s="79"/>
      <c r="I12" s="79"/>
      <c r="J12" s="79">
        <f t="shared" si="1"/>
        <v>0</v>
      </c>
      <c r="K12" s="79">
        <f t="shared" si="2"/>
        <v>0</v>
      </c>
      <c r="L12" s="79">
        <f t="shared" si="3"/>
        <v>0</v>
      </c>
      <c r="M12" s="79">
        <f t="shared" si="3"/>
        <v>0</v>
      </c>
      <c r="N12" s="79"/>
      <c r="O12" s="78"/>
      <c r="P12" s="78">
        <f t="shared" si="4"/>
        <v>0</v>
      </c>
      <c r="Q12" s="79">
        <f t="shared" si="5"/>
        <v>0</v>
      </c>
      <c r="R12" s="79">
        <f t="shared" si="6"/>
        <v>0</v>
      </c>
      <c r="S12" s="77">
        <f t="shared" si="7"/>
        <v>0</v>
      </c>
      <c r="T12" s="79"/>
      <c r="U12" s="78"/>
      <c r="V12" s="78">
        <f t="shared" si="8"/>
        <v>0</v>
      </c>
      <c r="W12" s="78">
        <f t="shared" si="9"/>
        <v>0</v>
      </c>
      <c r="X12" s="79">
        <f t="shared" si="10"/>
        <v>0</v>
      </c>
      <c r="Y12" s="77">
        <f t="shared" si="11"/>
        <v>0</v>
      </c>
      <c r="Z12" s="79"/>
      <c r="AA12" s="79"/>
      <c r="AB12" s="78">
        <f t="shared" si="12"/>
        <v>0</v>
      </c>
      <c r="AC12" s="78">
        <f t="shared" si="13"/>
        <v>0</v>
      </c>
      <c r="AD12" s="79">
        <f t="shared" si="14"/>
        <v>0</v>
      </c>
      <c r="AE12" s="77">
        <f t="shared" si="15"/>
        <v>0</v>
      </c>
      <c r="AF12" s="79"/>
      <c r="AG12" s="78"/>
      <c r="AH12" s="78">
        <f t="shared" si="16"/>
        <v>0</v>
      </c>
      <c r="AI12" s="78">
        <f t="shared" si="17"/>
        <v>0</v>
      </c>
      <c r="AJ12" s="79">
        <f t="shared" si="18"/>
        <v>0</v>
      </c>
      <c r="AK12" s="77">
        <f t="shared" si="19"/>
        <v>0</v>
      </c>
      <c r="AL12" s="79"/>
      <c r="AM12" s="78"/>
      <c r="AN12" s="78">
        <f t="shared" si="20"/>
        <v>0</v>
      </c>
      <c r="AO12" s="78">
        <f t="shared" si="21"/>
        <v>0</v>
      </c>
      <c r="AP12" s="79">
        <f t="shared" si="22"/>
        <v>0</v>
      </c>
      <c r="AQ12" s="77">
        <f t="shared" si="23"/>
        <v>0</v>
      </c>
      <c r="AR12" s="78"/>
      <c r="AS12" s="78"/>
      <c r="AT12" s="78">
        <f t="shared" si="24"/>
        <v>0</v>
      </c>
      <c r="AU12" s="78">
        <f t="shared" si="25"/>
        <v>0</v>
      </c>
      <c r="AV12" s="79">
        <f t="shared" si="26"/>
        <v>0</v>
      </c>
      <c r="AW12" s="77">
        <f t="shared" si="27"/>
        <v>0</v>
      </c>
      <c r="AX12" s="79"/>
      <c r="AY12" s="78"/>
      <c r="AZ12" s="78">
        <f t="shared" si="28"/>
        <v>0</v>
      </c>
      <c r="BA12" s="78">
        <f t="shared" si="29"/>
        <v>0</v>
      </c>
      <c r="BB12" s="79">
        <f t="shared" si="30"/>
        <v>0</v>
      </c>
      <c r="BC12" s="77">
        <f t="shared" si="31"/>
        <v>0</v>
      </c>
      <c r="BD12" s="79"/>
      <c r="BE12" s="78"/>
      <c r="BF12" s="78">
        <f t="shared" si="32"/>
        <v>0</v>
      </c>
      <c r="BG12" s="78">
        <f t="shared" si="33"/>
        <v>0</v>
      </c>
      <c r="BH12" s="79">
        <f t="shared" si="34"/>
        <v>0</v>
      </c>
      <c r="BI12" s="77">
        <f t="shared" si="35"/>
        <v>0</v>
      </c>
      <c r="BJ12" s="79"/>
      <c r="BK12" s="78"/>
      <c r="BL12" s="78">
        <f t="shared" si="36"/>
        <v>0</v>
      </c>
      <c r="BM12" s="78">
        <f t="shared" si="37"/>
        <v>0</v>
      </c>
      <c r="BN12" s="79">
        <f t="shared" si="38"/>
        <v>0</v>
      </c>
      <c r="BO12" s="77">
        <f t="shared" si="39"/>
        <v>0</v>
      </c>
      <c r="BP12" s="79"/>
      <c r="BQ12" s="78"/>
      <c r="BR12" s="78">
        <f t="shared" si="40"/>
        <v>0</v>
      </c>
      <c r="BS12" s="78">
        <f t="shared" si="41"/>
        <v>0</v>
      </c>
      <c r="BT12" s="79">
        <f t="shared" si="42"/>
        <v>0</v>
      </c>
      <c r="BU12" s="77">
        <f t="shared" si="43"/>
        <v>0</v>
      </c>
      <c r="BV12" s="79"/>
      <c r="BW12" s="78"/>
      <c r="BX12" s="78">
        <f t="shared" si="44"/>
        <v>0</v>
      </c>
      <c r="BY12" s="78">
        <f t="shared" si="45"/>
        <v>0</v>
      </c>
      <c r="BZ12" s="79">
        <f t="shared" si="46"/>
        <v>0</v>
      </c>
      <c r="CA12" s="77">
        <f t="shared" si="47"/>
        <v>0</v>
      </c>
      <c r="CB12" s="78"/>
      <c r="CC12" s="78"/>
      <c r="CD12" s="78">
        <f t="shared" si="48"/>
        <v>0</v>
      </c>
      <c r="CE12" s="78">
        <f t="shared" si="49"/>
        <v>0</v>
      </c>
      <c r="CF12" s="79">
        <f t="shared" si="50"/>
        <v>0</v>
      </c>
      <c r="CG12" s="77">
        <f t="shared" si="51"/>
        <v>0</v>
      </c>
      <c r="CH12" s="79"/>
      <c r="CI12" s="78"/>
      <c r="CJ12" s="78">
        <f t="shared" si="52"/>
        <v>0</v>
      </c>
      <c r="CK12" s="78">
        <f t="shared" si="53"/>
        <v>0</v>
      </c>
      <c r="CL12" s="79">
        <f t="shared" si="54"/>
        <v>0</v>
      </c>
      <c r="CM12" s="77">
        <f t="shared" si="55"/>
        <v>0</v>
      </c>
      <c r="CN12" s="79"/>
      <c r="CO12" s="78"/>
      <c r="CP12" s="78">
        <f t="shared" si="56"/>
        <v>0</v>
      </c>
      <c r="CQ12" s="78">
        <f t="shared" si="57"/>
        <v>0</v>
      </c>
      <c r="CR12" s="79">
        <f t="shared" si="58"/>
        <v>0</v>
      </c>
      <c r="CS12" s="77">
        <f t="shared" si="59"/>
        <v>0</v>
      </c>
      <c r="CT12" s="79"/>
      <c r="CU12" s="78"/>
      <c r="CV12" s="78">
        <f t="shared" si="60"/>
        <v>0</v>
      </c>
      <c r="CW12" s="78">
        <f t="shared" si="61"/>
        <v>0</v>
      </c>
      <c r="CX12" s="79">
        <f t="shared" si="62"/>
        <v>0</v>
      </c>
      <c r="CY12" s="77">
        <f t="shared" si="63"/>
        <v>0</v>
      </c>
      <c r="CZ12" s="79"/>
      <c r="DA12" s="78"/>
      <c r="DB12" s="78">
        <f t="shared" si="64"/>
        <v>0</v>
      </c>
      <c r="DC12" s="78">
        <f t="shared" si="65"/>
        <v>0</v>
      </c>
      <c r="DD12" s="79">
        <f t="shared" si="66"/>
        <v>0</v>
      </c>
      <c r="DE12" s="77">
        <f t="shared" si="67"/>
        <v>0</v>
      </c>
      <c r="DF12" s="79"/>
      <c r="DG12" s="78"/>
      <c r="DH12" s="78">
        <f t="shared" si="68"/>
        <v>0</v>
      </c>
      <c r="DI12" s="78">
        <f t="shared" si="69"/>
        <v>0</v>
      </c>
      <c r="DJ12" s="79">
        <f t="shared" si="70"/>
        <v>0</v>
      </c>
      <c r="DK12" s="77">
        <f t="shared" si="71"/>
        <v>0</v>
      </c>
      <c r="DL12" s="79"/>
      <c r="DM12" s="78"/>
      <c r="DN12" s="78">
        <f t="shared" si="72"/>
        <v>0</v>
      </c>
      <c r="DO12" s="78">
        <f t="shared" si="73"/>
        <v>0</v>
      </c>
      <c r="DP12" s="79">
        <f t="shared" si="74"/>
        <v>0</v>
      </c>
      <c r="DQ12" s="77">
        <f t="shared" si="75"/>
        <v>0</v>
      </c>
      <c r="DR12" s="79"/>
      <c r="DS12" s="78"/>
      <c r="DT12" s="78">
        <f t="shared" si="76"/>
        <v>0</v>
      </c>
      <c r="DU12" s="78">
        <f t="shared" si="77"/>
        <v>0</v>
      </c>
      <c r="DV12" s="79">
        <f t="shared" si="78"/>
        <v>0</v>
      </c>
      <c r="DW12" s="77">
        <f t="shared" si="79"/>
        <v>0</v>
      </c>
      <c r="DX12" s="79"/>
      <c r="DY12" s="78"/>
      <c r="DZ12" s="78">
        <f t="shared" si="80"/>
        <v>0</v>
      </c>
      <c r="EA12" s="78">
        <f t="shared" si="81"/>
        <v>0</v>
      </c>
      <c r="EB12" s="79">
        <f t="shared" si="82"/>
        <v>0</v>
      </c>
      <c r="EC12" s="77">
        <f t="shared" si="83"/>
        <v>0</v>
      </c>
      <c r="ED12" s="79"/>
      <c r="EE12" s="78"/>
      <c r="EF12" s="78">
        <f t="shared" si="84"/>
        <v>0</v>
      </c>
      <c r="EG12" s="78">
        <f t="shared" si="85"/>
        <v>0</v>
      </c>
      <c r="EH12" s="79">
        <f t="shared" si="86"/>
        <v>0</v>
      </c>
      <c r="EI12" s="77">
        <f t="shared" si="87"/>
        <v>0</v>
      </c>
      <c r="EJ12" s="79"/>
      <c r="EK12" s="78"/>
      <c r="EL12" s="78">
        <f t="shared" si="88"/>
        <v>0</v>
      </c>
      <c r="EM12" s="78">
        <f t="shared" si="89"/>
        <v>0</v>
      </c>
      <c r="EN12" s="79">
        <f t="shared" si="90"/>
        <v>0</v>
      </c>
      <c r="EO12" s="77">
        <f t="shared" si="91"/>
        <v>0</v>
      </c>
      <c r="EP12" s="79"/>
      <c r="EQ12" s="78"/>
      <c r="ER12" s="78">
        <f t="shared" si="92"/>
        <v>0</v>
      </c>
      <c r="ES12" s="78">
        <f t="shared" si="93"/>
        <v>0</v>
      </c>
      <c r="ET12" s="79">
        <f t="shared" si="94"/>
        <v>0</v>
      </c>
      <c r="EU12" s="77">
        <f t="shared" si="95"/>
        <v>0</v>
      </c>
      <c r="EV12" s="79"/>
      <c r="EW12" s="78"/>
      <c r="EX12" s="78">
        <f t="shared" si="96"/>
        <v>0</v>
      </c>
      <c r="EY12" s="78">
        <f t="shared" si="97"/>
        <v>0</v>
      </c>
      <c r="EZ12" s="79">
        <f t="shared" si="98"/>
        <v>0</v>
      </c>
      <c r="FA12" s="77">
        <f t="shared" si="99"/>
        <v>0</v>
      </c>
      <c r="FB12" s="79"/>
      <c r="FC12" s="78"/>
      <c r="FD12" s="78">
        <f t="shared" si="100"/>
        <v>0</v>
      </c>
      <c r="FE12" s="78">
        <f t="shared" si="101"/>
        <v>0</v>
      </c>
      <c r="FF12" s="79">
        <f t="shared" si="102"/>
        <v>0</v>
      </c>
      <c r="FG12" s="77">
        <f t="shared" si="103"/>
        <v>0</v>
      </c>
      <c r="FH12" s="79"/>
      <c r="FI12" s="78"/>
      <c r="FJ12" s="78">
        <f t="shared" si="104"/>
        <v>0</v>
      </c>
      <c r="FK12" s="78">
        <f t="shared" si="105"/>
        <v>0</v>
      </c>
      <c r="FL12" s="79">
        <f t="shared" si="106"/>
        <v>0</v>
      </c>
      <c r="FM12" s="77">
        <f t="shared" si="107"/>
        <v>0</v>
      </c>
      <c r="FN12" s="79"/>
      <c r="FO12" s="78"/>
      <c r="FP12" s="78">
        <f t="shared" si="108"/>
        <v>0</v>
      </c>
      <c r="FQ12" s="78">
        <f t="shared" si="109"/>
        <v>0</v>
      </c>
      <c r="FR12" s="79">
        <f t="shared" si="110"/>
        <v>0</v>
      </c>
      <c r="FS12" s="77">
        <f t="shared" si="111"/>
        <v>0</v>
      </c>
      <c r="FT12" s="79"/>
      <c r="FU12" s="78"/>
      <c r="FV12" s="78">
        <f t="shared" si="112"/>
        <v>0</v>
      </c>
      <c r="FW12" s="78">
        <f t="shared" si="113"/>
        <v>0</v>
      </c>
      <c r="FX12" s="79">
        <f t="shared" si="114"/>
        <v>0</v>
      </c>
      <c r="FY12" s="77">
        <f t="shared" si="115"/>
        <v>0</v>
      </c>
      <c r="FZ12" s="79"/>
      <c r="GA12" s="78"/>
      <c r="GB12" s="78">
        <f t="shared" si="116"/>
        <v>0</v>
      </c>
      <c r="GC12" s="78">
        <f t="shared" si="117"/>
        <v>0</v>
      </c>
      <c r="GD12" s="79">
        <f t="shared" si="118"/>
        <v>0</v>
      </c>
      <c r="GE12" s="77">
        <f t="shared" si="119"/>
        <v>0</v>
      </c>
      <c r="GF12" s="79"/>
      <c r="GG12" s="78"/>
      <c r="GH12" s="78">
        <f t="shared" si="120"/>
        <v>0</v>
      </c>
      <c r="GI12" s="78">
        <f t="shared" si="121"/>
        <v>0</v>
      </c>
      <c r="GJ12" s="79">
        <f t="shared" si="122"/>
        <v>0</v>
      </c>
      <c r="GK12" s="77">
        <f t="shared" si="123"/>
        <v>0</v>
      </c>
      <c r="GL12" s="79"/>
      <c r="GM12" s="78"/>
      <c r="GN12" s="78">
        <f t="shared" si="124"/>
        <v>0</v>
      </c>
      <c r="GO12" s="78">
        <f t="shared" si="125"/>
        <v>0</v>
      </c>
      <c r="GP12" s="79">
        <f t="shared" si="126"/>
        <v>0</v>
      </c>
      <c r="GQ12" s="77">
        <f t="shared" si="127"/>
        <v>0</v>
      </c>
      <c r="GR12" s="79"/>
      <c r="GS12" s="78"/>
      <c r="GT12" s="78">
        <f t="shared" si="128"/>
        <v>0</v>
      </c>
      <c r="GU12" s="78">
        <f t="shared" si="129"/>
        <v>0</v>
      </c>
      <c r="GV12" s="79">
        <f t="shared" si="130"/>
        <v>0</v>
      </c>
      <c r="GW12" s="77">
        <f t="shared" si="131"/>
        <v>0</v>
      </c>
      <c r="GX12" s="79"/>
      <c r="GY12" s="78"/>
      <c r="GZ12" s="78">
        <f t="shared" si="132"/>
        <v>0</v>
      </c>
      <c r="HA12" s="78">
        <f t="shared" si="133"/>
        <v>0</v>
      </c>
      <c r="HB12" s="79">
        <f t="shared" si="134"/>
        <v>0</v>
      </c>
      <c r="HC12" s="77">
        <f t="shared" si="135"/>
        <v>0</v>
      </c>
      <c r="HD12" s="79"/>
      <c r="HE12" s="79"/>
      <c r="HF12" s="79"/>
      <c r="HG12" s="79"/>
      <c r="HH12" s="79"/>
      <c r="HI12" s="79"/>
    </row>
    <row r="13" spans="1:217" s="52" customFormat="1" ht="12.75" hidden="1">
      <c r="A13" s="51">
        <v>44652</v>
      </c>
      <c r="C13" s="80"/>
      <c r="D13" s="80"/>
      <c r="E13" s="77">
        <f t="shared" si="0"/>
        <v>0</v>
      </c>
      <c r="F13" s="77"/>
      <c r="G13" s="77"/>
      <c r="H13" s="79"/>
      <c r="I13" s="79">
        <f>O13+U13+AA13+AG13+AM13+AS13+AY13+BE13+BK13+BQ13+BW13+CC13+CI13+CO13+CU13+DA13+DG13+DM13+DS13+DY13+EE13+EK13+EQ13+EW13+FC13+FI13+FO13+FU13+GA13+GG13+GM13+GS13+GY13</f>
        <v>0</v>
      </c>
      <c r="J13" s="79">
        <f t="shared" si="1"/>
        <v>0</v>
      </c>
      <c r="K13" s="79">
        <f t="shared" si="2"/>
        <v>0</v>
      </c>
      <c r="L13" s="79">
        <f t="shared" si="3"/>
        <v>0</v>
      </c>
      <c r="M13" s="79">
        <f t="shared" si="3"/>
        <v>0</v>
      </c>
      <c r="N13" s="79"/>
      <c r="O13" s="78">
        <f t="shared" si="136"/>
        <v>0</v>
      </c>
      <c r="P13" s="78">
        <f t="shared" si="4"/>
        <v>0</v>
      </c>
      <c r="Q13" s="79">
        <f t="shared" si="5"/>
        <v>0</v>
      </c>
      <c r="R13" s="79">
        <f t="shared" si="6"/>
        <v>0</v>
      </c>
      <c r="S13" s="77">
        <f t="shared" si="7"/>
        <v>0</v>
      </c>
      <c r="T13" s="79"/>
      <c r="U13" s="78">
        <f t="shared" si="137"/>
        <v>0</v>
      </c>
      <c r="V13" s="78">
        <f t="shared" si="8"/>
        <v>0</v>
      </c>
      <c r="W13" s="78">
        <f t="shared" si="9"/>
        <v>0</v>
      </c>
      <c r="X13" s="79">
        <f t="shared" si="10"/>
        <v>0</v>
      </c>
      <c r="Y13" s="77">
        <f t="shared" si="11"/>
        <v>0</v>
      </c>
      <c r="Z13" s="79"/>
      <c r="AA13" s="79">
        <f t="shared" si="138"/>
        <v>0</v>
      </c>
      <c r="AB13" s="78">
        <f t="shared" si="12"/>
        <v>0</v>
      </c>
      <c r="AC13" s="78">
        <f t="shared" si="13"/>
        <v>0</v>
      </c>
      <c r="AD13" s="79">
        <f t="shared" si="14"/>
        <v>0</v>
      </c>
      <c r="AE13" s="77">
        <f t="shared" si="15"/>
        <v>0</v>
      </c>
      <c r="AF13" s="79"/>
      <c r="AG13" s="78">
        <f t="shared" si="139"/>
        <v>0</v>
      </c>
      <c r="AH13" s="78">
        <f t="shared" si="16"/>
        <v>0</v>
      </c>
      <c r="AI13" s="78">
        <f t="shared" si="17"/>
        <v>0</v>
      </c>
      <c r="AJ13" s="79">
        <f t="shared" si="18"/>
        <v>0</v>
      </c>
      <c r="AK13" s="77">
        <f t="shared" si="19"/>
        <v>0</v>
      </c>
      <c r="AL13" s="79"/>
      <c r="AM13" s="78">
        <f t="shared" si="140"/>
        <v>0</v>
      </c>
      <c r="AN13" s="78">
        <f t="shared" si="20"/>
        <v>0</v>
      </c>
      <c r="AO13" s="78">
        <f t="shared" si="21"/>
        <v>0</v>
      </c>
      <c r="AP13" s="79">
        <f t="shared" si="22"/>
        <v>0</v>
      </c>
      <c r="AQ13" s="77">
        <f t="shared" si="23"/>
        <v>0</v>
      </c>
      <c r="AR13" s="78"/>
      <c r="AS13" s="78">
        <f t="shared" si="141"/>
        <v>0</v>
      </c>
      <c r="AT13" s="78">
        <f t="shared" si="24"/>
        <v>0</v>
      </c>
      <c r="AU13" s="78">
        <f t="shared" si="25"/>
        <v>0</v>
      </c>
      <c r="AV13" s="79">
        <f t="shared" si="26"/>
        <v>0</v>
      </c>
      <c r="AW13" s="77">
        <f t="shared" si="27"/>
        <v>0</v>
      </c>
      <c r="AX13" s="79"/>
      <c r="AY13" s="78">
        <f t="shared" si="142"/>
        <v>0</v>
      </c>
      <c r="AZ13" s="78">
        <f t="shared" si="28"/>
        <v>0</v>
      </c>
      <c r="BA13" s="78">
        <f t="shared" si="29"/>
        <v>0</v>
      </c>
      <c r="BB13" s="79">
        <f t="shared" si="30"/>
        <v>0</v>
      </c>
      <c r="BC13" s="77">
        <f t="shared" si="31"/>
        <v>0</v>
      </c>
      <c r="BD13" s="79"/>
      <c r="BE13" s="78">
        <f t="shared" si="143"/>
        <v>0</v>
      </c>
      <c r="BF13" s="78">
        <f t="shared" si="32"/>
        <v>0</v>
      </c>
      <c r="BG13" s="78">
        <f t="shared" si="33"/>
        <v>0</v>
      </c>
      <c r="BH13" s="79">
        <f t="shared" si="34"/>
        <v>0</v>
      </c>
      <c r="BI13" s="77">
        <f t="shared" si="35"/>
        <v>0</v>
      </c>
      <c r="BJ13" s="79"/>
      <c r="BK13" s="78">
        <f t="shared" si="144"/>
        <v>0</v>
      </c>
      <c r="BL13" s="78">
        <f t="shared" si="36"/>
        <v>0</v>
      </c>
      <c r="BM13" s="78">
        <f t="shared" si="37"/>
        <v>0</v>
      </c>
      <c r="BN13" s="79">
        <f t="shared" si="38"/>
        <v>0</v>
      </c>
      <c r="BO13" s="77">
        <f t="shared" si="39"/>
        <v>0</v>
      </c>
      <c r="BP13" s="79"/>
      <c r="BQ13" s="78">
        <f t="shared" si="145"/>
        <v>0</v>
      </c>
      <c r="BR13" s="78">
        <f t="shared" si="40"/>
        <v>0</v>
      </c>
      <c r="BS13" s="78">
        <f t="shared" si="41"/>
        <v>0</v>
      </c>
      <c r="BT13" s="79">
        <f t="shared" si="42"/>
        <v>0</v>
      </c>
      <c r="BU13" s="77">
        <f t="shared" si="43"/>
        <v>0</v>
      </c>
      <c r="BV13" s="79"/>
      <c r="BW13" s="78">
        <f t="shared" si="146"/>
        <v>0</v>
      </c>
      <c r="BX13" s="78">
        <f t="shared" si="44"/>
        <v>0</v>
      </c>
      <c r="BY13" s="78">
        <f t="shared" si="45"/>
        <v>0</v>
      </c>
      <c r="BZ13" s="79">
        <f t="shared" si="46"/>
        <v>0</v>
      </c>
      <c r="CA13" s="77">
        <f t="shared" si="47"/>
        <v>0</v>
      </c>
      <c r="CB13" s="78"/>
      <c r="CC13" s="78">
        <f t="shared" si="147"/>
        <v>0</v>
      </c>
      <c r="CD13" s="78">
        <f t="shared" si="48"/>
        <v>0</v>
      </c>
      <c r="CE13" s="78">
        <f t="shared" si="49"/>
        <v>0</v>
      </c>
      <c r="CF13" s="79">
        <f t="shared" si="50"/>
        <v>0</v>
      </c>
      <c r="CG13" s="77">
        <f t="shared" si="51"/>
        <v>0</v>
      </c>
      <c r="CH13" s="79"/>
      <c r="CI13" s="78">
        <f t="shared" si="148"/>
        <v>0</v>
      </c>
      <c r="CJ13" s="78">
        <f t="shared" si="52"/>
        <v>0</v>
      </c>
      <c r="CK13" s="78">
        <f t="shared" si="53"/>
        <v>0</v>
      </c>
      <c r="CL13" s="79">
        <f t="shared" si="54"/>
        <v>0</v>
      </c>
      <c r="CM13" s="77">
        <f t="shared" si="55"/>
        <v>0</v>
      </c>
      <c r="CN13" s="79"/>
      <c r="CO13" s="78">
        <f t="shared" si="149"/>
        <v>0</v>
      </c>
      <c r="CP13" s="78">
        <f t="shared" si="56"/>
        <v>0</v>
      </c>
      <c r="CQ13" s="78">
        <f t="shared" si="57"/>
        <v>0</v>
      </c>
      <c r="CR13" s="79">
        <f t="shared" si="58"/>
        <v>0</v>
      </c>
      <c r="CS13" s="77">
        <f t="shared" si="59"/>
        <v>0</v>
      </c>
      <c r="CT13" s="79"/>
      <c r="CU13" s="78">
        <f t="shared" si="150"/>
        <v>0</v>
      </c>
      <c r="CV13" s="78">
        <f t="shared" si="60"/>
        <v>0</v>
      </c>
      <c r="CW13" s="78">
        <f t="shared" si="61"/>
        <v>0</v>
      </c>
      <c r="CX13" s="79">
        <f t="shared" si="62"/>
        <v>0</v>
      </c>
      <c r="CY13" s="77">
        <f t="shared" si="63"/>
        <v>0</v>
      </c>
      <c r="CZ13" s="79"/>
      <c r="DA13" s="78">
        <f t="shared" si="151"/>
        <v>0</v>
      </c>
      <c r="DB13" s="78">
        <f t="shared" si="64"/>
        <v>0</v>
      </c>
      <c r="DC13" s="78">
        <f t="shared" si="65"/>
        <v>0</v>
      </c>
      <c r="DD13" s="79">
        <f t="shared" si="66"/>
        <v>0</v>
      </c>
      <c r="DE13" s="77">
        <f t="shared" si="67"/>
        <v>0</v>
      </c>
      <c r="DF13" s="79"/>
      <c r="DG13" s="78">
        <f t="shared" si="152"/>
        <v>0</v>
      </c>
      <c r="DH13" s="78">
        <f t="shared" si="68"/>
        <v>0</v>
      </c>
      <c r="DI13" s="78">
        <f t="shared" si="69"/>
        <v>0</v>
      </c>
      <c r="DJ13" s="79">
        <f t="shared" si="70"/>
        <v>0</v>
      </c>
      <c r="DK13" s="77">
        <f t="shared" si="71"/>
        <v>0</v>
      </c>
      <c r="DL13" s="79"/>
      <c r="DM13" s="78">
        <f t="shared" si="153"/>
        <v>0</v>
      </c>
      <c r="DN13" s="78">
        <f t="shared" si="72"/>
        <v>0</v>
      </c>
      <c r="DO13" s="78">
        <f t="shared" si="73"/>
        <v>0</v>
      </c>
      <c r="DP13" s="79">
        <f t="shared" si="74"/>
        <v>0</v>
      </c>
      <c r="DQ13" s="77">
        <f t="shared" si="75"/>
        <v>0</v>
      </c>
      <c r="DR13" s="79"/>
      <c r="DS13" s="78">
        <f t="shared" si="154"/>
        <v>0</v>
      </c>
      <c r="DT13" s="78">
        <f t="shared" si="76"/>
        <v>0</v>
      </c>
      <c r="DU13" s="78">
        <f t="shared" si="77"/>
        <v>0</v>
      </c>
      <c r="DV13" s="79">
        <f t="shared" si="78"/>
        <v>0</v>
      </c>
      <c r="DW13" s="77">
        <f t="shared" si="79"/>
        <v>0</v>
      </c>
      <c r="DX13" s="79"/>
      <c r="DY13" s="78">
        <f t="shared" si="155"/>
        <v>0</v>
      </c>
      <c r="DZ13" s="78">
        <f t="shared" si="80"/>
        <v>0</v>
      </c>
      <c r="EA13" s="78">
        <f t="shared" si="81"/>
        <v>0</v>
      </c>
      <c r="EB13" s="79">
        <f t="shared" si="82"/>
        <v>0</v>
      </c>
      <c r="EC13" s="77">
        <f t="shared" si="83"/>
        <v>0</v>
      </c>
      <c r="ED13" s="79"/>
      <c r="EE13" s="78">
        <f t="shared" si="156"/>
        <v>0</v>
      </c>
      <c r="EF13" s="78">
        <f t="shared" si="84"/>
        <v>0</v>
      </c>
      <c r="EG13" s="78">
        <f t="shared" si="85"/>
        <v>0</v>
      </c>
      <c r="EH13" s="79">
        <f t="shared" si="86"/>
        <v>0</v>
      </c>
      <c r="EI13" s="77">
        <f t="shared" si="87"/>
        <v>0</v>
      </c>
      <c r="EJ13" s="79"/>
      <c r="EK13" s="78">
        <f t="shared" si="157"/>
        <v>0</v>
      </c>
      <c r="EL13" s="78">
        <f t="shared" si="88"/>
        <v>0</v>
      </c>
      <c r="EM13" s="78">
        <f t="shared" si="89"/>
        <v>0</v>
      </c>
      <c r="EN13" s="79">
        <f t="shared" si="90"/>
        <v>0</v>
      </c>
      <c r="EO13" s="77">
        <f t="shared" si="91"/>
        <v>0</v>
      </c>
      <c r="EP13" s="79"/>
      <c r="EQ13" s="78">
        <f t="shared" si="158"/>
        <v>0</v>
      </c>
      <c r="ER13" s="78">
        <f t="shared" si="92"/>
        <v>0</v>
      </c>
      <c r="ES13" s="78">
        <f t="shared" si="93"/>
        <v>0</v>
      </c>
      <c r="ET13" s="79">
        <f t="shared" si="94"/>
        <v>0</v>
      </c>
      <c r="EU13" s="77">
        <f t="shared" si="95"/>
        <v>0</v>
      </c>
      <c r="EV13" s="79"/>
      <c r="EW13" s="78">
        <f t="shared" si="159"/>
        <v>0</v>
      </c>
      <c r="EX13" s="78">
        <f t="shared" si="96"/>
        <v>0</v>
      </c>
      <c r="EY13" s="78">
        <f t="shared" si="97"/>
        <v>0</v>
      </c>
      <c r="EZ13" s="79">
        <f t="shared" si="98"/>
        <v>0</v>
      </c>
      <c r="FA13" s="77">
        <f t="shared" si="99"/>
        <v>0</v>
      </c>
      <c r="FB13" s="79"/>
      <c r="FC13" s="78">
        <f t="shared" si="160"/>
        <v>0</v>
      </c>
      <c r="FD13" s="78">
        <f t="shared" si="100"/>
        <v>0</v>
      </c>
      <c r="FE13" s="78">
        <f t="shared" si="101"/>
        <v>0</v>
      </c>
      <c r="FF13" s="79">
        <f t="shared" si="102"/>
        <v>0</v>
      </c>
      <c r="FG13" s="77">
        <f t="shared" si="103"/>
        <v>0</v>
      </c>
      <c r="FH13" s="79"/>
      <c r="FI13" s="78">
        <f t="shared" si="161"/>
        <v>0</v>
      </c>
      <c r="FJ13" s="78">
        <f t="shared" si="104"/>
        <v>0</v>
      </c>
      <c r="FK13" s="78">
        <f t="shared" si="105"/>
        <v>0</v>
      </c>
      <c r="FL13" s="79">
        <f t="shared" si="106"/>
        <v>0</v>
      </c>
      <c r="FM13" s="77">
        <f t="shared" si="107"/>
        <v>0</v>
      </c>
      <c r="FN13" s="79"/>
      <c r="FO13" s="78">
        <f t="shared" si="162"/>
        <v>0</v>
      </c>
      <c r="FP13" s="78">
        <f t="shared" si="108"/>
        <v>0</v>
      </c>
      <c r="FQ13" s="78">
        <f t="shared" si="109"/>
        <v>0</v>
      </c>
      <c r="FR13" s="79">
        <f t="shared" si="110"/>
        <v>0</v>
      </c>
      <c r="FS13" s="77">
        <f t="shared" si="111"/>
        <v>0</v>
      </c>
      <c r="FT13" s="79"/>
      <c r="FU13" s="78">
        <f t="shared" si="163"/>
        <v>0</v>
      </c>
      <c r="FV13" s="78">
        <f t="shared" si="112"/>
        <v>0</v>
      </c>
      <c r="FW13" s="78">
        <f t="shared" si="113"/>
        <v>0</v>
      </c>
      <c r="FX13" s="79">
        <f t="shared" si="114"/>
        <v>0</v>
      </c>
      <c r="FY13" s="77">
        <f t="shared" si="115"/>
        <v>0</v>
      </c>
      <c r="FZ13" s="79"/>
      <c r="GA13" s="78">
        <f t="shared" si="164"/>
        <v>0</v>
      </c>
      <c r="GB13" s="78">
        <f t="shared" si="116"/>
        <v>0</v>
      </c>
      <c r="GC13" s="78">
        <f t="shared" si="117"/>
        <v>0</v>
      </c>
      <c r="GD13" s="79">
        <f t="shared" si="118"/>
        <v>0</v>
      </c>
      <c r="GE13" s="77">
        <f t="shared" si="119"/>
        <v>0</v>
      </c>
      <c r="GF13" s="79"/>
      <c r="GG13" s="78">
        <f t="shared" si="165"/>
        <v>0</v>
      </c>
      <c r="GH13" s="78">
        <f t="shared" si="120"/>
        <v>0</v>
      </c>
      <c r="GI13" s="78">
        <f t="shared" si="121"/>
        <v>0</v>
      </c>
      <c r="GJ13" s="79">
        <f t="shared" si="122"/>
        <v>0</v>
      </c>
      <c r="GK13" s="77">
        <f t="shared" si="123"/>
        <v>0</v>
      </c>
      <c r="GL13" s="79"/>
      <c r="GM13" s="78">
        <f t="shared" si="166"/>
        <v>0</v>
      </c>
      <c r="GN13" s="78">
        <f t="shared" si="124"/>
        <v>0</v>
      </c>
      <c r="GO13" s="78">
        <f t="shared" si="125"/>
        <v>0</v>
      </c>
      <c r="GP13" s="79">
        <f t="shared" si="126"/>
        <v>0</v>
      </c>
      <c r="GQ13" s="77">
        <f t="shared" si="127"/>
        <v>0</v>
      </c>
      <c r="GR13" s="79"/>
      <c r="GS13" s="78">
        <f t="shared" si="167"/>
        <v>0</v>
      </c>
      <c r="GT13" s="78">
        <f t="shared" si="128"/>
        <v>0</v>
      </c>
      <c r="GU13" s="78">
        <f t="shared" si="129"/>
        <v>0</v>
      </c>
      <c r="GV13" s="79">
        <f t="shared" si="130"/>
        <v>0</v>
      </c>
      <c r="GW13" s="77">
        <f t="shared" si="131"/>
        <v>0</v>
      </c>
      <c r="GX13" s="79"/>
      <c r="GY13" s="78">
        <f t="shared" si="168"/>
        <v>0</v>
      </c>
      <c r="GZ13" s="78">
        <f t="shared" si="132"/>
        <v>0</v>
      </c>
      <c r="HA13" s="78">
        <f t="shared" si="133"/>
        <v>0</v>
      </c>
      <c r="HB13" s="79">
        <f t="shared" si="134"/>
        <v>0</v>
      </c>
      <c r="HC13" s="77">
        <f t="shared" si="135"/>
        <v>0</v>
      </c>
      <c r="HD13" s="79"/>
      <c r="HE13" s="79"/>
      <c r="HF13" s="79"/>
      <c r="HG13" s="79"/>
      <c r="HH13" s="79"/>
      <c r="HI13" s="79"/>
    </row>
    <row r="14" spans="1:217" s="52" customFormat="1" ht="12.75" hidden="1">
      <c r="A14" s="51">
        <v>44835</v>
      </c>
      <c r="C14" s="80"/>
      <c r="D14" s="80"/>
      <c r="E14" s="77">
        <f t="shared" si="0"/>
        <v>0</v>
      </c>
      <c r="F14" s="77"/>
      <c r="G14" s="77"/>
      <c r="H14" s="79"/>
      <c r="I14" s="79"/>
      <c r="J14" s="79">
        <f t="shared" si="1"/>
        <v>0</v>
      </c>
      <c r="K14" s="79">
        <f t="shared" si="2"/>
        <v>0</v>
      </c>
      <c r="L14" s="79">
        <f t="shared" si="3"/>
        <v>0</v>
      </c>
      <c r="M14" s="79">
        <f t="shared" si="3"/>
        <v>0</v>
      </c>
      <c r="N14" s="79"/>
      <c r="O14" s="78"/>
      <c r="P14" s="78">
        <f t="shared" si="4"/>
        <v>0</v>
      </c>
      <c r="Q14" s="79">
        <f t="shared" si="5"/>
        <v>0</v>
      </c>
      <c r="R14" s="79">
        <f t="shared" si="6"/>
        <v>0</v>
      </c>
      <c r="S14" s="77">
        <f t="shared" si="7"/>
        <v>0</v>
      </c>
      <c r="T14" s="79"/>
      <c r="U14" s="78"/>
      <c r="V14" s="78">
        <f t="shared" si="8"/>
        <v>0</v>
      </c>
      <c r="W14" s="78">
        <f t="shared" si="9"/>
        <v>0</v>
      </c>
      <c r="X14" s="79">
        <f t="shared" si="10"/>
        <v>0</v>
      </c>
      <c r="Y14" s="77">
        <f t="shared" si="11"/>
        <v>0</v>
      </c>
      <c r="Z14" s="79"/>
      <c r="AA14" s="79"/>
      <c r="AB14" s="78">
        <f t="shared" si="12"/>
        <v>0</v>
      </c>
      <c r="AC14" s="78">
        <f t="shared" si="13"/>
        <v>0</v>
      </c>
      <c r="AD14" s="79">
        <f t="shared" si="14"/>
        <v>0</v>
      </c>
      <c r="AE14" s="77">
        <f t="shared" si="15"/>
        <v>0</v>
      </c>
      <c r="AF14" s="79"/>
      <c r="AG14" s="78"/>
      <c r="AH14" s="78">
        <f t="shared" si="16"/>
        <v>0</v>
      </c>
      <c r="AI14" s="78">
        <f t="shared" si="17"/>
        <v>0</v>
      </c>
      <c r="AJ14" s="79">
        <f t="shared" si="18"/>
        <v>0</v>
      </c>
      <c r="AK14" s="77">
        <f t="shared" si="19"/>
        <v>0</v>
      </c>
      <c r="AL14" s="79"/>
      <c r="AM14" s="78"/>
      <c r="AN14" s="78">
        <f t="shared" si="20"/>
        <v>0</v>
      </c>
      <c r="AO14" s="78">
        <f t="shared" si="21"/>
        <v>0</v>
      </c>
      <c r="AP14" s="79">
        <f t="shared" si="22"/>
        <v>0</v>
      </c>
      <c r="AQ14" s="77">
        <f t="shared" si="23"/>
        <v>0</v>
      </c>
      <c r="AR14" s="78"/>
      <c r="AS14" s="78"/>
      <c r="AT14" s="78">
        <f t="shared" si="24"/>
        <v>0</v>
      </c>
      <c r="AU14" s="78">
        <f t="shared" si="25"/>
        <v>0</v>
      </c>
      <c r="AV14" s="79">
        <f t="shared" si="26"/>
        <v>0</v>
      </c>
      <c r="AW14" s="77">
        <f t="shared" si="27"/>
        <v>0</v>
      </c>
      <c r="AX14" s="79"/>
      <c r="AY14" s="78"/>
      <c r="AZ14" s="78">
        <f t="shared" si="28"/>
        <v>0</v>
      </c>
      <c r="BA14" s="78">
        <f t="shared" si="29"/>
        <v>0</v>
      </c>
      <c r="BB14" s="79">
        <f t="shared" si="30"/>
        <v>0</v>
      </c>
      <c r="BC14" s="77">
        <f t="shared" si="31"/>
        <v>0</v>
      </c>
      <c r="BD14" s="79"/>
      <c r="BE14" s="78"/>
      <c r="BF14" s="78">
        <f t="shared" si="32"/>
        <v>0</v>
      </c>
      <c r="BG14" s="78">
        <f t="shared" si="33"/>
        <v>0</v>
      </c>
      <c r="BH14" s="79">
        <f t="shared" si="34"/>
        <v>0</v>
      </c>
      <c r="BI14" s="77">
        <f t="shared" si="35"/>
        <v>0</v>
      </c>
      <c r="BJ14" s="79"/>
      <c r="BK14" s="78"/>
      <c r="BL14" s="78">
        <f t="shared" si="36"/>
        <v>0</v>
      </c>
      <c r="BM14" s="78">
        <f t="shared" si="37"/>
        <v>0</v>
      </c>
      <c r="BN14" s="79">
        <f t="shared" si="38"/>
        <v>0</v>
      </c>
      <c r="BO14" s="77">
        <f t="shared" si="39"/>
        <v>0</v>
      </c>
      <c r="BP14" s="79"/>
      <c r="BQ14" s="78"/>
      <c r="BR14" s="78">
        <f t="shared" si="40"/>
        <v>0</v>
      </c>
      <c r="BS14" s="78">
        <f t="shared" si="41"/>
        <v>0</v>
      </c>
      <c r="BT14" s="79">
        <f t="shared" si="42"/>
        <v>0</v>
      </c>
      <c r="BU14" s="77">
        <f t="shared" si="43"/>
        <v>0</v>
      </c>
      <c r="BV14" s="79"/>
      <c r="BW14" s="78"/>
      <c r="BX14" s="78">
        <f t="shared" si="44"/>
        <v>0</v>
      </c>
      <c r="BY14" s="78">
        <f t="shared" si="45"/>
        <v>0</v>
      </c>
      <c r="BZ14" s="79">
        <f t="shared" si="46"/>
        <v>0</v>
      </c>
      <c r="CA14" s="77">
        <f t="shared" si="47"/>
        <v>0</v>
      </c>
      <c r="CB14" s="78"/>
      <c r="CC14" s="78"/>
      <c r="CD14" s="78">
        <f t="shared" si="48"/>
        <v>0</v>
      </c>
      <c r="CE14" s="78">
        <f t="shared" si="49"/>
        <v>0</v>
      </c>
      <c r="CF14" s="79">
        <f t="shared" si="50"/>
        <v>0</v>
      </c>
      <c r="CG14" s="77">
        <f t="shared" si="51"/>
        <v>0</v>
      </c>
      <c r="CH14" s="79"/>
      <c r="CI14" s="78"/>
      <c r="CJ14" s="78">
        <f t="shared" si="52"/>
        <v>0</v>
      </c>
      <c r="CK14" s="78">
        <f t="shared" si="53"/>
        <v>0</v>
      </c>
      <c r="CL14" s="79">
        <f t="shared" si="54"/>
        <v>0</v>
      </c>
      <c r="CM14" s="77">
        <f t="shared" si="55"/>
        <v>0</v>
      </c>
      <c r="CN14" s="79"/>
      <c r="CO14" s="78"/>
      <c r="CP14" s="78">
        <f t="shared" si="56"/>
        <v>0</v>
      </c>
      <c r="CQ14" s="78">
        <f t="shared" si="57"/>
        <v>0</v>
      </c>
      <c r="CR14" s="79">
        <f t="shared" si="58"/>
        <v>0</v>
      </c>
      <c r="CS14" s="77">
        <f t="shared" si="59"/>
        <v>0</v>
      </c>
      <c r="CT14" s="79"/>
      <c r="CU14" s="78"/>
      <c r="CV14" s="78">
        <f t="shared" si="60"/>
        <v>0</v>
      </c>
      <c r="CW14" s="78">
        <f t="shared" si="61"/>
        <v>0</v>
      </c>
      <c r="CX14" s="79">
        <f t="shared" si="62"/>
        <v>0</v>
      </c>
      <c r="CY14" s="77">
        <f t="shared" si="63"/>
        <v>0</v>
      </c>
      <c r="CZ14" s="79"/>
      <c r="DA14" s="78"/>
      <c r="DB14" s="78">
        <f t="shared" si="64"/>
        <v>0</v>
      </c>
      <c r="DC14" s="78">
        <f t="shared" si="65"/>
        <v>0</v>
      </c>
      <c r="DD14" s="79">
        <f t="shared" si="66"/>
        <v>0</v>
      </c>
      <c r="DE14" s="77">
        <f t="shared" si="67"/>
        <v>0</v>
      </c>
      <c r="DF14" s="79"/>
      <c r="DG14" s="78"/>
      <c r="DH14" s="78">
        <f t="shared" si="68"/>
        <v>0</v>
      </c>
      <c r="DI14" s="78">
        <f t="shared" si="69"/>
        <v>0</v>
      </c>
      <c r="DJ14" s="79">
        <f t="shared" si="70"/>
        <v>0</v>
      </c>
      <c r="DK14" s="77">
        <f t="shared" si="71"/>
        <v>0</v>
      </c>
      <c r="DL14" s="79"/>
      <c r="DM14" s="78"/>
      <c r="DN14" s="78">
        <f t="shared" si="72"/>
        <v>0</v>
      </c>
      <c r="DO14" s="78">
        <f t="shared" si="73"/>
        <v>0</v>
      </c>
      <c r="DP14" s="79">
        <f t="shared" si="74"/>
        <v>0</v>
      </c>
      <c r="DQ14" s="77">
        <f t="shared" si="75"/>
        <v>0</v>
      </c>
      <c r="DR14" s="79"/>
      <c r="DS14" s="78"/>
      <c r="DT14" s="78">
        <f t="shared" si="76"/>
        <v>0</v>
      </c>
      <c r="DU14" s="78">
        <f t="shared" si="77"/>
        <v>0</v>
      </c>
      <c r="DV14" s="79">
        <f t="shared" si="78"/>
        <v>0</v>
      </c>
      <c r="DW14" s="77">
        <f t="shared" si="79"/>
        <v>0</v>
      </c>
      <c r="DX14" s="79"/>
      <c r="DY14" s="78"/>
      <c r="DZ14" s="78">
        <f t="shared" si="80"/>
        <v>0</v>
      </c>
      <c r="EA14" s="78">
        <f t="shared" si="81"/>
        <v>0</v>
      </c>
      <c r="EB14" s="79">
        <f t="shared" si="82"/>
        <v>0</v>
      </c>
      <c r="EC14" s="77">
        <f t="shared" si="83"/>
        <v>0</v>
      </c>
      <c r="ED14" s="79"/>
      <c r="EE14" s="78"/>
      <c r="EF14" s="78">
        <f t="shared" si="84"/>
        <v>0</v>
      </c>
      <c r="EG14" s="78">
        <f t="shared" si="85"/>
        <v>0</v>
      </c>
      <c r="EH14" s="79">
        <f t="shared" si="86"/>
        <v>0</v>
      </c>
      <c r="EI14" s="77">
        <f t="shared" si="87"/>
        <v>0</v>
      </c>
      <c r="EJ14" s="79"/>
      <c r="EK14" s="78"/>
      <c r="EL14" s="78">
        <f t="shared" si="88"/>
        <v>0</v>
      </c>
      <c r="EM14" s="78">
        <f t="shared" si="89"/>
        <v>0</v>
      </c>
      <c r="EN14" s="79">
        <f t="shared" si="90"/>
        <v>0</v>
      </c>
      <c r="EO14" s="77">
        <f t="shared" si="91"/>
        <v>0</v>
      </c>
      <c r="EP14" s="79"/>
      <c r="EQ14" s="78"/>
      <c r="ER14" s="78">
        <f t="shared" si="92"/>
        <v>0</v>
      </c>
      <c r="ES14" s="78">
        <f t="shared" si="93"/>
        <v>0</v>
      </c>
      <c r="ET14" s="79">
        <f t="shared" si="94"/>
        <v>0</v>
      </c>
      <c r="EU14" s="77">
        <f t="shared" si="95"/>
        <v>0</v>
      </c>
      <c r="EV14" s="79"/>
      <c r="EW14" s="78"/>
      <c r="EX14" s="78">
        <f t="shared" si="96"/>
        <v>0</v>
      </c>
      <c r="EY14" s="78">
        <f t="shared" si="97"/>
        <v>0</v>
      </c>
      <c r="EZ14" s="79">
        <f t="shared" si="98"/>
        <v>0</v>
      </c>
      <c r="FA14" s="77">
        <f t="shared" si="99"/>
        <v>0</v>
      </c>
      <c r="FB14" s="79"/>
      <c r="FC14" s="78"/>
      <c r="FD14" s="78">
        <f t="shared" si="100"/>
        <v>0</v>
      </c>
      <c r="FE14" s="78">
        <f t="shared" si="101"/>
        <v>0</v>
      </c>
      <c r="FF14" s="79">
        <f t="shared" si="102"/>
        <v>0</v>
      </c>
      <c r="FG14" s="77">
        <f t="shared" si="103"/>
        <v>0</v>
      </c>
      <c r="FH14" s="79"/>
      <c r="FI14" s="78"/>
      <c r="FJ14" s="78">
        <f t="shared" si="104"/>
        <v>0</v>
      </c>
      <c r="FK14" s="78">
        <f t="shared" si="105"/>
        <v>0</v>
      </c>
      <c r="FL14" s="79">
        <f t="shared" si="106"/>
        <v>0</v>
      </c>
      <c r="FM14" s="77">
        <f t="shared" si="107"/>
        <v>0</v>
      </c>
      <c r="FN14" s="79"/>
      <c r="FO14" s="78"/>
      <c r="FP14" s="78">
        <f t="shared" si="108"/>
        <v>0</v>
      </c>
      <c r="FQ14" s="78">
        <f t="shared" si="109"/>
        <v>0</v>
      </c>
      <c r="FR14" s="79">
        <f t="shared" si="110"/>
        <v>0</v>
      </c>
      <c r="FS14" s="77">
        <f t="shared" si="111"/>
        <v>0</v>
      </c>
      <c r="FT14" s="79"/>
      <c r="FU14" s="78"/>
      <c r="FV14" s="78">
        <f t="shared" si="112"/>
        <v>0</v>
      </c>
      <c r="FW14" s="78">
        <f t="shared" si="113"/>
        <v>0</v>
      </c>
      <c r="FX14" s="79">
        <f t="shared" si="114"/>
        <v>0</v>
      </c>
      <c r="FY14" s="77">
        <f t="shared" si="115"/>
        <v>0</v>
      </c>
      <c r="FZ14" s="79"/>
      <c r="GA14" s="78"/>
      <c r="GB14" s="78">
        <f t="shared" si="116"/>
        <v>0</v>
      </c>
      <c r="GC14" s="78">
        <f t="shared" si="117"/>
        <v>0</v>
      </c>
      <c r="GD14" s="79">
        <f t="shared" si="118"/>
        <v>0</v>
      </c>
      <c r="GE14" s="77">
        <f t="shared" si="119"/>
        <v>0</v>
      </c>
      <c r="GF14" s="79"/>
      <c r="GG14" s="78"/>
      <c r="GH14" s="78">
        <f t="shared" si="120"/>
        <v>0</v>
      </c>
      <c r="GI14" s="78">
        <f t="shared" si="121"/>
        <v>0</v>
      </c>
      <c r="GJ14" s="79">
        <f t="shared" si="122"/>
        <v>0</v>
      </c>
      <c r="GK14" s="77">
        <f t="shared" si="123"/>
        <v>0</v>
      </c>
      <c r="GL14" s="79"/>
      <c r="GM14" s="78"/>
      <c r="GN14" s="78">
        <f t="shared" si="124"/>
        <v>0</v>
      </c>
      <c r="GO14" s="78">
        <f t="shared" si="125"/>
        <v>0</v>
      </c>
      <c r="GP14" s="79">
        <f t="shared" si="126"/>
        <v>0</v>
      </c>
      <c r="GQ14" s="77">
        <f t="shared" si="127"/>
        <v>0</v>
      </c>
      <c r="GR14" s="79"/>
      <c r="GS14" s="78"/>
      <c r="GT14" s="78">
        <f t="shared" si="128"/>
        <v>0</v>
      </c>
      <c r="GU14" s="78">
        <f t="shared" si="129"/>
        <v>0</v>
      </c>
      <c r="GV14" s="79">
        <f t="shared" si="130"/>
        <v>0</v>
      </c>
      <c r="GW14" s="77">
        <f t="shared" si="131"/>
        <v>0</v>
      </c>
      <c r="GX14" s="79"/>
      <c r="GY14" s="78"/>
      <c r="GZ14" s="78">
        <f t="shared" si="132"/>
        <v>0</v>
      </c>
      <c r="HA14" s="78">
        <f t="shared" si="133"/>
        <v>0</v>
      </c>
      <c r="HB14" s="79">
        <f t="shared" si="134"/>
        <v>0</v>
      </c>
      <c r="HC14" s="77">
        <f t="shared" si="135"/>
        <v>0</v>
      </c>
      <c r="HD14" s="79"/>
      <c r="HE14" s="79"/>
      <c r="HF14" s="79"/>
      <c r="HG14" s="79"/>
      <c r="HH14" s="79"/>
      <c r="HI14" s="79"/>
    </row>
    <row r="15" spans="1:217" s="52" customFormat="1" ht="12.75" hidden="1">
      <c r="A15" s="51">
        <v>45017</v>
      </c>
      <c r="C15" s="80"/>
      <c r="D15" s="80"/>
      <c r="E15" s="77">
        <f t="shared" si="0"/>
        <v>0</v>
      </c>
      <c r="F15" s="77"/>
      <c r="G15" s="77"/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0</v>
      </c>
      <c r="K15" s="79">
        <f t="shared" si="2"/>
        <v>0</v>
      </c>
      <c r="L15" s="79">
        <f t="shared" si="3"/>
        <v>0</v>
      </c>
      <c r="M15" s="79">
        <f t="shared" si="3"/>
        <v>0</v>
      </c>
      <c r="N15" s="79"/>
      <c r="O15" s="78">
        <f t="shared" si="136"/>
        <v>0</v>
      </c>
      <c r="P15" s="78">
        <f t="shared" si="4"/>
        <v>0</v>
      </c>
      <c r="Q15" s="79">
        <f t="shared" si="5"/>
        <v>0</v>
      </c>
      <c r="R15" s="79">
        <f t="shared" si="6"/>
        <v>0</v>
      </c>
      <c r="S15" s="77">
        <f t="shared" si="7"/>
        <v>0</v>
      </c>
      <c r="T15" s="79"/>
      <c r="U15" s="78">
        <f t="shared" si="137"/>
        <v>0</v>
      </c>
      <c r="V15" s="78">
        <f t="shared" si="8"/>
        <v>0</v>
      </c>
      <c r="W15" s="78">
        <f t="shared" si="9"/>
        <v>0</v>
      </c>
      <c r="X15" s="79">
        <f t="shared" si="10"/>
        <v>0</v>
      </c>
      <c r="Y15" s="77">
        <f t="shared" si="11"/>
        <v>0</v>
      </c>
      <c r="Z15" s="79"/>
      <c r="AA15" s="79">
        <f t="shared" si="138"/>
        <v>0</v>
      </c>
      <c r="AB15" s="78">
        <f t="shared" si="12"/>
        <v>0</v>
      </c>
      <c r="AC15" s="78">
        <f t="shared" si="13"/>
        <v>0</v>
      </c>
      <c r="AD15" s="79">
        <f t="shared" si="14"/>
        <v>0</v>
      </c>
      <c r="AE15" s="77">
        <f t="shared" si="15"/>
        <v>0</v>
      </c>
      <c r="AF15" s="79"/>
      <c r="AG15" s="78">
        <f t="shared" si="139"/>
        <v>0</v>
      </c>
      <c r="AH15" s="78">
        <f t="shared" si="16"/>
        <v>0</v>
      </c>
      <c r="AI15" s="78">
        <f t="shared" si="17"/>
        <v>0</v>
      </c>
      <c r="AJ15" s="79">
        <f t="shared" si="18"/>
        <v>0</v>
      </c>
      <c r="AK15" s="77">
        <f t="shared" si="19"/>
        <v>0</v>
      </c>
      <c r="AL15" s="79"/>
      <c r="AM15" s="78">
        <f t="shared" si="140"/>
        <v>0</v>
      </c>
      <c r="AN15" s="78">
        <f t="shared" si="20"/>
        <v>0</v>
      </c>
      <c r="AO15" s="78">
        <f t="shared" si="21"/>
        <v>0</v>
      </c>
      <c r="AP15" s="79">
        <f t="shared" si="22"/>
        <v>0</v>
      </c>
      <c r="AQ15" s="77">
        <f t="shared" si="23"/>
        <v>0</v>
      </c>
      <c r="AR15" s="78"/>
      <c r="AS15" s="78">
        <f t="shared" si="141"/>
        <v>0</v>
      </c>
      <c r="AT15" s="78">
        <f t="shared" si="24"/>
        <v>0</v>
      </c>
      <c r="AU15" s="78">
        <f t="shared" si="25"/>
        <v>0</v>
      </c>
      <c r="AV15" s="79">
        <f t="shared" si="26"/>
        <v>0</v>
      </c>
      <c r="AW15" s="77">
        <f t="shared" si="27"/>
        <v>0</v>
      </c>
      <c r="AX15" s="79"/>
      <c r="AY15" s="78">
        <f t="shared" si="142"/>
        <v>0</v>
      </c>
      <c r="AZ15" s="78">
        <f t="shared" si="28"/>
        <v>0</v>
      </c>
      <c r="BA15" s="78">
        <f t="shared" si="29"/>
        <v>0</v>
      </c>
      <c r="BB15" s="79">
        <f t="shared" si="30"/>
        <v>0</v>
      </c>
      <c r="BC15" s="77">
        <f t="shared" si="31"/>
        <v>0</v>
      </c>
      <c r="BD15" s="79"/>
      <c r="BE15" s="78">
        <f t="shared" si="143"/>
        <v>0</v>
      </c>
      <c r="BF15" s="78">
        <f t="shared" si="32"/>
        <v>0</v>
      </c>
      <c r="BG15" s="78">
        <f t="shared" si="33"/>
        <v>0</v>
      </c>
      <c r="BH15" s="79">
        <f t="shared" si="34"/>
        <v>0</v>
      </c>
      <c r="BI15" s="77">
        <f t="shared" si="35"/>
        <v>0</v>
      </c>
      <c r="BJ15" s="79"/>
      <c r="BK15" s="78">
        <f t="shared" si="144"/>
        <v>0</v>
      </c>
      <c r="BL15" s="78">
        <f t="shared" si="36"/>
        <v>0</v>
      </c>
      <c r="BM15" s="78">
        <f t="shared" si="37"/>
        <v>0</v>
      </c>
      <c r="BN15" s="79">
        <f t="shared" si="38"/>
        <v>0</v>
      </c>
      <c r="BO15" s="77">
        <f t="shared" si="39"/>
        <v>0</v>
      </c>
      <c r="BP15" s="79"/>
      <c r="BQ15" s="78">
        <f t="shared" si="145"/>
        <v>0</v>
      </c>
      <c r="BR15" s="78">
        <f t="shared" si="40"/>
        <v>0</v>
      </c>
      <c r="BS15" s="78">
        <f t="shared" si="41"/>
        <v>0</v>
      </c>
      <c r="BT15" s="79">
        <f t="shared" si="42"/>
        <v>0</v>
      </c>
      <c r="BU15" s="77">
        <f t="shared" si="43"/>
        <v>0</v>
      </c>
      <c r="BV15" s="79"/>
      <c r="BW15" s="78">
        <f t="shared" si="146"/>
        <v>0</v>
      </c>
      <c r="BX15" s="78">
        <f t="shared" si="44"/>
        <v>0</v>
      </c>
      <c r="BY15" s="78">
        <f t="shared" si="45"/>
        <v>0</v>
      </c>
      <c r="BZ15" s="79">
        <f t="shared" si="46"/>
        <v>0</v>
      </c>
      <c r="CA15" s="77">
        <f t="shared" si="47"/>
        <v>0</v>
      </c>
      <c r="CB15" s="78"/>
      <c r="CC15" s="78">
        <f t="shared" si="147"/>
        <v>0</v>
      </c>
      <c r="CD15" s="78">
        <f t="shared" si="48"/>
        <v>0</v>
      </c>
      <c r="CE15" s="78">
        <f t="shared" si="49"/>
        <v>0</v>
      </c>
      <c r="CF15" s="79">
        <f t="shared" si="50"/>
        <v>0</v>
      </c>
      <c r="CG15" s="77">
        <f t="shared" si="51"/>
        <v>0</v>
      </c>
      <c r="CH15" s="79"/>
      <c r="CI15" s="78">
        <f t="shared" si="148"/>
        <v>0</v>
      </c>
      <c r="CJ15" s="78">
        <f t="shared" si="52"/>
        <v>0</v>
      </c>
      <c r="CK15" s="78">
        <f t="shared" si="53"/>
        <v>0</v>
      </c>
      <c r="CL15" s="79">
        <f t="shared" si="54"/>
        <v>0</v>
      </c>
      <c r="CM15" s="77">
        <f t="shared" si="55"/>
        <v>0</v>
      </c>
      <c r="CN15" s="79"/>
      <c r="CO15" s="78">
        <f t="shared" si="149"/>
        <v>0</v>
      </c>
      <c r="CP15" s="78">
        <f t="shared" si="56"/>
        <v>0</v>
      </c>
      <c r="CQ15" s="78">
        <f t="shared" si="57"/>
        <v>0</v>
      </c>
      <c r="CR15" s="79">
        <f t="shared" si="58"/>
        <v>0</v>
      </c>
      <c r="CS15" s="77">
        <f t="shared" si="59"/>
        <v>0</v>
      </c>
      <c r="CT15" s="79"/>
      <c r="CU15" s="78">
        <f t="shared" si="150"/>
        <v>0</v>
      </c>
      <c r="CV15" s="78">
        <f t="shared" si="60"/>
        <v>0</v>
      </c>
      <c r="CW15" s="78">
        <f t="shared" si="61"/>
        <v>0</v>
      </c>
      <c r="CX15" s="79">
        <f t="shared" si="62"/>
        <v>0</v>
      </c>
      <c r="CY15" s="77">
        <f t="shared" si="63"/>
        <v>0</v>
      </c>
      <c r="CZ15" s="79"/>
      <c r="DA15" s="78">
        <f t="shared" si="151"/>
        <v>0</v>
      </c>
      <c r="DB15" s="78">
        <f t="shared" si="64"/>
        <v>0</v>
      </c>
      <c r="DC15" s="78">
        <f t="shared" si="65"/>
        <v>0</v>
      </c>
      <c r="DD15" s="79">
        <f t="shared" si="66"/>
        <v>0</v>
      </c>
      <c r="DE15" s="77">
        <f t="shared" si="67"/>
        <v>0</v>
      </c>
      <c r="DF15" s="79"/>
      <c r="DG15" s="78">
        <f t="shared" si="152"/>
        <v>0</v>
      </c>
      <c r="DH15" s="78">
        <f t="shared" si="68"/>
        <v>0</v>
      </c>
      <c r="DI15" s="78">
        <f t="shared" si="69"/>
        <v>0</v>
      </c>
      <c r="DJ15" s="79">
        <f t="shared" si="70"/>
        <v>0</v>
      </c>
      <c r="DK15" s="77">
        <f t="shared" si="71"/>
        <v>0</v>
      </c>
      <c r="DL15" s="79"/>
      <c r="DM15" s="78">
        <f t="shared" si="153"/>
        <v>0</v>
      </c>
      <c r="DN15" s="78">
        <f t="shared" si="72"/>
        <v>0</v>
      </c>
      <c r="DO15" s="78">
        <f t="shared" si="73"/>
        <v>0</v>
      </c>
      <c r="DP15" s="79">
        <f t="shared" si="74"/>
        <v>0</v>
      </c>
      <c r="DQ15" s="77">
        <f t="shared" si="75"/>
        <v>0</v>
      </c>
      <c r="DR15" s="79"/>
      <c r="DS15" s="78">
        <f t="shared" si="154"/>
        <v>0</v>
      </c>
      <c r="DT15" s="78">
        <f t="shared" si="76"/>
        <v>0</v>
      </c>
      <c r="DU15" s="78">
        <f t="shared" si="77"/>
        <v>0</v>
      </c>
      <c r="DV15" s="79">
        <f t="shared" si="78"/>
        <v>0</v>
      </c>
      <c r="DW15" s="77">
        <f t="shared" si="79"/>
        <v>0</v>
      </c>
      <c r="DX15" s="79"/>
      <c r="DY15" s="78">
        <f t="shared" si="155"/>
        <v>0</v>
      </c>
      <c r="DZ15" s="78">
        <f t="shared" si="80"/>
        <v>0</v>
      </c>
      <c r="EA15" s="78">
        <f t="shared" si="81"/>
        <v>0</v>
      </c>
      <c r="EB15" s="79">
        <f t="shared" si="82"/>
        <v>0</v>
      </c>
      <c r="EC15" s="77">
        <f t="shared" si="83"/>
        <v>0</v>
      </c>
      <c r="ED15" s="79"/>
      <c r="EE15" s="78">
        <f t="shared" si="156"/>
        <v>0</v>
      </c>
      <c r="EF15" s="78">
        <f t="shared" si="84"/>
        <v>0</v>
      </c>
      <c r="EG15" s="78">
        <f t="shared" si="85"/>
        <v>0</v>
      </c>
      <c r="EH15" s="79">
        <f t="shared" si="86"/>
        <v>0</v>
      </c>
      <c r="EI15" s="77">
        <f t="shared" si="87"/>
        <v>0</v>
      </c>
      <c r="EJ15" s="79"/>
      <c r="EK15" s="78">
        <f t="shared" si="157"/>
        <v>0</v>
      </c>
      <c r="EL15" s="78">
        <f t="shared" si="88"/>
        <v>0</v>
      </c>
      <c r="EM15" s="78">
        <f t="shared" si="89"/>
        <v>0</v>
      </c>
      <c r="EN15" s="79">
        <f t="shared" si="90"/>
        <v>0</v>
      </c>
      <c r="EO15" s="77">
        <f t="shared" si="91"/>
        <v>0</v>
      </c>
      <c r="EP15" s="79"/>
      <c r="EQ15" s="78">
        <f t="shared" si="158"/>
        <v>0</v>
      </c>
      <c r="ER15" s="78">
        <f t="shared" si="92"/>
        <v>0</v>
      </c>
      <c r="ES15" s="78">
        <f t="shared" si="93"/>
        <v>0</v>
      </c>
      <c r="ET15" s="79">
        <f t="shared" si="94"/>
        <v>0</v>
      </c>
      <c r="EU15" s="77">
        <f t="shared" si="95"/>
        <v>0</v>
      </c>
      <c r="EV15" s="79"/>
      <c r="EW15" s="78">
        <f t="shared" si="159"/>
        <v>0</v>
      </c>
      <c r="EX15" s="78">
        <f t="shared" si="96"/>
        <v>0</v>
      </c>
      <c r="EY15" s="78">
        <f t="shared" si="97"/>
        <v>0</v>
      </c>
      <c r="EZ15" s="79">
        <f t="shared" si="98"/>
        <v>0</v>
      </c>
      <c r="FA15" s="77">
        <f t="shared" si="99"/>
        <v>0</v>
      </c>
      <c r="FB15" s="79"/>
      <c r="FC15" s="78">
        <f t="shared" si="160"/>
        <v>0</v>
      </c>
      <c r="FD15" s="78">
        <f t="shared" si="100"/>
        <v>0</v>
      </c>
      <c r="FE15" s="78">
        <f t="shared" si="101"/>
        <v>0</v>
      </c>
      <c r="FF15" s="79">
        <f t="shared" si="102"/>
        <v>0</v>
      </c>
      <c r="FG15" s="77">
        <f t="shared" si="103"/>
        <v>0</v>
      </c>
      <c r="FH15" s="79"/>
      <c r="FI15" s="78">
        <f t="shared" si="161"/>
        <v>0</v>
      </c>
      <c r="FJ15" s="78">
        <f t="shared" si="104"/>
        <v>0</v>
      </c>
      <c r="FK15" s="78">
        <f t="shared" si="105"/>
        <v>0</v>
      </c>
      <c r="FL15" s="79">
        <f t="shared" si="106"/>
        <v>0</v>
      </c>
      <c r="FM15" s="77">
        <f t="shared" si="107"/>
        <v>0</v>
      </c>
      <c r="FN15" s="79"/>
      <c r="FO15" s="78">
        <f t="shared" si="162"/>
        <v>0</v>
      </c>
      <c r="FP15" s="78">
        <f t="shared" si="108"/>
        <v>0</v>
      </c>
      <c r="FQ15" s="78">
        <f t="shared" si="109"/>
        <v>0</v>
      </c>
      <c r="FR15" s="79">
        <f t="shared" si="110"/>
        <v>0</v>
      </c>
      <c r="FS15" s="77">
        <f t="shared" si="111"/>
        <v>0</v>
      </c>
      <c r="FT15" s="79"/>
      <c r="FU15" s="78">
        <f t="shared" si="163"/>
        <v>0</v>
      </c>
      <c r="FV15" s="78">
        <f t="shared" si="112"/>
        <v>0</v>
      </c>
      <c r="FW15" s="78">
        <f t="shared" si="113"/>
        <v>0</v>
      </c>
      <c r="FX15" s="79">
        <f t="shared" si="114"/>
        <v>0</v>
      </c>
      <c r="FY15" s="77">
        <f t="shared" si="115"/>
        <v>0</v>
      </c>
      <c r="FZ15" s="79"/>
      <c r="GA15" s="78">
        <f t="shared" si="164"/>
        <v>0</v>
      </c>
      <c r="GB15" s="78">
        <f t="shared" si="116"/>
        <v>0</v>
      </c>
      <c r="GC15" s="78">
        <f t="shared" si="117"/>
        <v>0</v>
      </c>
      <c r="GD15" s="79">
        <f t="shared" si="118"/>
        <v>0</v>
      </c>
      <c r="GE15" s="77">
        <f t="shared" si="119"/>
        <v>0</v>
      </c>
      <c r="GF15" s="79"/>
      <c r="GG15" s="78">
        <f t="shared" si="165"/>
        <v>0</v>
      </c>
      <c r="GH15" s="78">
        <f t="shared" si="120"/>
        <v>0</v>
      </c>
      <c r="GI15" s="78">
        <f t="shared" si="121"/>
        <v>0</v>
      </c>
      <c r="GJ15" s="79">
        <f t="shared" si="122"/>
        <v>0</v>
      </c>
      <c r="GK15" s="77">
        <f t="shared" si="123"/>
        <v>0</v>
      </c>
      <c r="GL15" s="79"/>
      <c r="GM15" s="78">
        <f t="shared" si="166"/>
        <v>0</v>
      </c>
      <c r="GN15" s="78">
        <f t="shared" si="124"/>
        <v>0</v>
      </c>
      <c r="GO15" s="78">
        <f t="shared" si="125"/>
        <v>0</v>
      </c>
      <c r="GP15" s="79">
        <f t="shared" si="126"/>
        <v>0</v>
      </c>
      <c r="GQ15" s="77">
        <f t="shared" si="127"/>
        <v>0</v>
      </c>
      <c r="GR15" s="79"/>
      <c r="GS15" s="78">
        <f t="shared" si="167"/>
        <v>0</v>
      </c>
      <c r="GT15" s="78">
        <f t="shared" si="128"/>
        <v>0</v>
      </c>
      <c r="GU15" s="78">
        <f t="shared" si="129"/>
        <v>0</v>
      </c>
      <c r="GV15" s="79">
        <f t="shared" si="130"/>
        <v>0</v>
      </c>
      <c r="GW15" s="77">
        <f t="shared" si="131"/>
        <v>0</v>
      </c>
      <c r="GX15" s="79"/>
      <c r="GY15" s="78">
        <f t="shared" si="168"/>
        <v>0</v>
      </c>
      <c r="GZ15" s="78">
        <f t="shared" si="132"/>
        <v>0</v>
      </c>
      <c r="HA15" s="78">
        <f t="shared" si="133"/>
        <v>0</v>
      </c>
      <c r="HB15" s="79">
        <f t="shared" si="134"/>
        <v>0</v>
      </c>
      <c r="HC15" s="77">
        <f t="shared" si="135"/>
        <v>0</v>
      </c>
      <c r="HD15" s="79"/>
      <c r="HE15" s="79"/>
      <c r="HF15" s="79"/>
      <c r="HG15" s="79"/>
      <c r="HH15" s="79"/>
      <c r="HI15" s="79"/>
    </row>
    <row r="16" spans="1:217" s="52" customFormat="1" ht="12.75" hidden="1">
      <c r="A16" s="51">
        <v>45200</v>
      </c>
      <c r="C16" s="80"/>
      <c r="D16" s="80"/>
      <c r="E16" s="77">
        <f t="shared" si="0"/>
        <v>0</v>
      </c>
      <c r="F16" s="77"/>
      <c r="G16" s="77"/>
      <c r="H16" s="79"/>
      <c r="I16" s="79"/>
      <c r="J16" s="79">
        <f t="shared" si="1"/>
        <v>0</v>
      </c>
      <c r="K16" s="79">
        <f t="shared" si="2"/>
        <v>0</v>
      </c>
      <c r="L16" s="79">
        <f t="shared" si="3"/>
        <v>0</v>
      </c>
      <c r="M16" s="79">
        <f t="shared" si="3"/>
        <v>0</v>
      </c>
      <c r="N16" s="79"/>
      <c r="O16" s="78"/>
      <c r="P16" s="78">
        <f t="shared" si="4"/>
        <v>0</v>
      </c>
      <c r="Q16" s="79">
        <f t="shared" si="5"/>
        <v>0</v>
      </c>
      <c r="R16" s="79">
        <f t="shared" si="6"/>
        <v>0</v>
      </c>
      <c r="S16" s="77">
        <f t="shared" si="7"/>
        <v>0</v>
      </c>
      <c r="T16" s="79"/>
      <c r="U16" s="78"/>
      <c r="V16" s="78">
        <f t="shared" si="8"/>
        <v>0</v>
      </c>
      <c r="W16" s="78">
        <f t="shared" si="9"/>
        <v>0</v>
      </c>
      <c r="X16" s="79">
        <f t="shared" si="10"/>
        <v>0</v>
      </c>
      <c r="Y16" s="77">
        <f t="shared" si="11"/>
        <v>0</v>
      </c>
      <c r="Z16" s="79"/>
      <c r="AA16" s="79"/>
      <c r="AB16" s="78">
        <f t="shared" si="12"/>
        <v>0</v>
      </c>
      <c r="AC16" s="78">
        <f t="shared" si="13"/>
        <v>0</v>
      </c>
      <c r="AD16" s="79">
        <f t="shared" si="14"/>
        <v>0</v>
      </c>
      <c r="AE16" s="77">
        <f t="shared" si="15"/>
        <v>0</v>
      </c>
      <c r="AF16" s="79"/>
      <c r="AG16" s="78"/>
      <c r="AH16" s="78">
        <f t="shared" si="16"/>
        <v>0</v>
      </c>
      <c r="AI16" s="78">
        <f t="shared" si="17"/>
        <v>0</v>
      </c>
      <c r="AJ16" s="79">
        <f t="shared" si="18"/>
        <v>0</v>
      </c>
      <c r="AK16" s="77">
        <f t="shared" si="19"/>
        <v>0</v>
      </c>
      <c r="AL16" s="79"/>
      <c r="AM16" s="78"/>
      <c r="AN16" s="78">
        <f t="shared" si="20"/>
        <v>0</v>
      </c>
      <c r="AO16" s="78">
        <f t="shared" si="21"/>
        <v>0</v>
      </c>
      <c r="AP16" s="79">
        <f t="shared" si="22"/>
        <v>0</v>
      </c>
      <c r="AQ16" s="77">
        <f t="shared" si="23"/>
        <v>0</v>
      </c>
      <c r="AR16" s="78"/>
      <c r="AS16" s="78"/>
      <c r="AT16" s="78">
        <f t="shared" si="24"/>
        <v>0</v>
      </c>
      <c r="AU16" s="78">
        <f t="shared" si="25"/>
        <v>0</v>
      </c>
      <c r="AV16" s="79">
        <f t="shared" si="26"/>
        <v>0</v>
      </c>
      <c r="AW16" s="77">
        <f t="shared" si="27"/>
        <v>0</v>
      </c>
      <c r="AX16" s="79"/>
      <c r="AY16" s="78"/>
      <c r="AZ16" s="78">
        <f t="shared" si="28"/>
        <v>0</v>
      </c>
      <c r="BA16" s="78">
        <f t="shared" si="29"/>
        <v>0</v>
      </c>
      <c r="BB16" s="79">
        <f t="shared" si="30"/>
        <v>0</v>
      </c>
      <c r="BC16" s="77">
        <f t="shared" si="31"/>
        <v>0</v>
      </c>
      <c r="BD16" s="79"/>
      <c r="BE16" s="78"/>
      <c r="BF16" s="78">
        <f t="shared" si="32"/>
        <v>0</v>
      </c>
      <c r="BG16" s="78">
        <f t="shared" si="33"/>
        <v>0</v>
      </c>
      <c r="BH16" s="79">
        <f t="shared" si="34"/>
        <v>0</v>
      </c>
      <c r="BI16" s="77">
        <f t="shared" si="35"/>
        <v>0</v>
      </c>
      <c r="BJ16" s="79"/>
      <c r="BK16" s="78"/>
      <c r="BL16" s="78">
        <f t="shared" si="36"/>
        <v>0</v>
      </c>
      <c r="BM16" s="78">
        <f t="shared" si="37"/>
        <v>0</v>
      </c>
      <c r="BN16" s="79">
        <f t="shared" si="38"/>
        <v>0</v>
      </c>
      <c r="BO16" s="77">
        <f t="shared" si="39"/>
        <v>0</v>
      </c>
      <c r="BP16" s="79"/>
      <c r="BQ16" s="78"/>
      <c r="BR16" s="78">
        <f t="shared" si="40"/>
        <v>0</v>
      </c>
      <c r="BS16" s="78">
        <f t="shared" si="41"/>
        <v>0</v>
      </c>
      <c r="BT16" s="79">
        <f t="shared" si="42"/>
        <v>0</v>
      </c>
      <c r="BU16" s="77">
        <f t="shared" si="43"/>
        <v>0</v>
      </c>
      <c r="BV16" s="79"/>
      <c r="BW16" s="78"/>
      <c r="BX16" s="78">
        <f t="shared" si="44"/>
        <v>0</v>
      </c>
      <c r="BY16" s="78">
        <f t="shared" si="45"/>
        <v>0</v>
      </c>
      <c r="BZ16" s="79">
        <f t="shared" si="46"/>
        <v>0</v>
      </c>
      <c r="CA16" s="77">
        <f t="shared" si="47"/>
        <v>0</v>
      </c>
      <c r="CB16" s="78"/>
      <c r="CC16" s="78"/>
      <c r="CD16" s="78">
        <f t="shared" si="48"/>
        <v>0</v>
      </c>
      <c r="CE16" s="78">
        <f t="shared" si="49"/>
        <v>0</v>
      </c>
      <c r="CF16" s="79">
        <f t="shared" si="50"/>
        <v>0</v>
      </c>
      <c r="CG16" s="77">
        <f t="shared" si="51"/>
        <v>0</v>
      </c>
      <c r="CH16" s="79"/>
      <c r="CI16" s="78"/>
      <c r="CJ16" s="78">
        <f t="shared" si="52"/>
        <v>0</v>
      </c>
      <c r="CK16" s="78">
        <f t="shared" si="53"/>
        <v>0</v>
      </c>
      <c r="CL16" s="79">
        <f t="shared" si="54"/>
        <v>0</v>
      </c>
      <c r="CM16" s="77">
        <f t="shared" si="55"/>
        <v>0</v>
      </c>
      <c r="CN16" s="79"/>
      <c r="CO16" s="78"/>
      <c r="CP16" s="78">
        <f t="shared" si="56"/>
        <v>0</v>
      </c>
      <c r="CQ16" s="78">
        <f t="shared" si="57"/>
        <v>0</v>
      </c>
      <c r="CR16" s="79">
        <f t="shared" si="58"/>
        <v>0</v>
      </c>
      <c r="CS16" s="77">
        <f t="shared" si="59"/>
        <v>0</v>
      </c>
      <c r="CT16" s="79"/>
      <c r="CU16" s="78"/>
      <c r="CV16" s="78">
        <f t="shared" si="60"/>
        <v>0</v>
      </c>
      <c r="CW16" s="78">
        <f t="shared" si="61"/>
        <v>0</v>
      </c>
      <c r="CX16" s="79">
        <f t="shared" si="62"/>
        <v>0</v>
      </c>
      <c r="CY16" s="77">
        <f t="shared" si="63"/>
        <v>0</v>
      </c>
      <c r="CZ16" s="79"/>
      <c r="DA16" s="78"/>
      <c r="DB16" s="78">
        <f t="shared" si="64"/>
        <v>0</v>
      </c>
      <c r="DC16" s="78">
        <f t="shared" si="65"/>
        <v>0</v>
      </c>
      <c r="DD16" s="79">
        <f t="shared" si="66"/>
        <v>0</v>
      </c>
      <c r="DE16" s="77">
        <f t="shared" si="67"/>
        <v>0</v>
      </c>
      <c r="DF16" s="79"/>
      <c r="DG16" s="78"/>
      <c r="DH16" s="78">
        <f t="shared" si="68"/>
        <v>0</v>
      </c>
      <c r="DI16" s="78">
        <f t="shared" si="69"/>
        <v>0</v>
      </c>
      <c r="DJ16" s="79">
        <f t="shared" si="70"/>
        <v>0</v>
      </c>
      <c r="DK16" s="77">
        <f t="shared" si="71"/>
        <v>0</v>
      </c>
      <c r="DL16" s="79"/>
      <c r="DM16" s="78"/>
      <c r="DN16" s="78">
        <f t="shared" si="72"/>
        <v>0</v>
      </c>
      <c r="DO16" s="78">
        <f t="shared" si="73"/>
        <v>0</v>
      </c>
      <c r="DP16" s="79">
        <f t="shared" si="74"/>
        <v>0</v>
      </c>
      <c r="DQ16" s="77">
        <f t="shared" si="75"/>
        <v>0</v>
      </c>
      <c r="DR16" s="79"/>
      <c r="DS16" s="78"/>
      <c r="DT16" s="78">
        <f t="shared" si="76"/>
        <v>0</v>
      </c>
      <c r="DU16" s="78">
        <f t="shared" si="77"/>
        <v>0</v>
      </c>
      <c r="DV16" s="79">
        <f t="shared" si="78"/>
        <v>0</v>
      </c>
      <c r="DW16" s="77">
        <f t="shared" si="79"/>
        <v>0</v>
      </c>
      <c r="DX16" s="79"/>
      <c r="DY16" s="78"/>
      <c r="DZ16" s="78">
        <f t="shared" si="80"/>
        <v>0</v>
      </c>
      <c r="EA16" s="78">
        <f t="shared" si="81"/>
        <v>0</v>
      </c>
      <c r="EB16" s="79">
        <f t="shared" si="82"/>
        <v>0</v>
      </c>
      <c r="EC16" s="77">
        <f t="shared" si="83"/>
        <v>0</v>
      </c>
      <c r="ED16" s="79"/>
      <c r="EE16" s="78"/>
      <c r="EF16" s="78">
        <f t="shared" si="84"/>
        <v>0</v>
      </c>
      <c r="EG16" s="78">
        <f t="shared" si="85"/>
        <v>0</v>
      </c>
      <c r="EH16" s="79">
        <f t="shared" si="86"/>
        <v>0</v>
      </c>
      <c r="EI16" s="77">
        <f t="shared" si="87"/>
        <v>0</v>
      </c>
      <c r="EJ16" s="79"/>
      <c r="EK16" s="78"/>
      <c r="EL16" s="78">
        <f t="shared" si="88"/>
        <v>0</v>
      </c>
      <c r="EM16" s="78">
        <f t="shared" si="89"/>
        <v>0</v>
      </c>
      <c r="EN16" s="79">
        <f t="shared" si="90"/>
        <v>0</v>
      </c>
      <c r="EO16" s="77">
        <f t="shared" si="91"/>
        <v>0</v>
      </c>
      <c r="EP16" s="79"/>
      <c r="EQ16" s="78"/>
      <c r="ER16" s="78">
        <f t="shared" si="92"/>
        <v>0</v>
      </c>
      <c r="ES16" s="78">
        <f t="shared" si="93"/>
        <v>0</v>
      </c>
      <c r="ET16" s="79">
        <f t="shared" si="94"/>
        <v>0</v>
      </c>
      <c r="EU16" s="77">
        <f t="shared" si="95"/>
        <v>0</v>
      </c>
      <c r="EV16" s="79"/>
      <c r="EW16" s="78"/>
      <c r="EX16" s="78">
        <f t="shared" si="96"/>
        <v>0</v>
      </c>
      <c r="EY16" s="78">
        <f t="shared" si="97"/>
        <v>0</v>
      </c>
      <c r="EZ16" s="79">
        <f t="shared" si="98"/>
        <v>0</v>
      </c>
      <c r="FA16" s="77">
        <f t="shared" si="99"/>
        <v>0</v>
      </c>
      <c r="FB16" s="79"/>
      <c r="FC16" s="78"/>
      <c r="FD16" s="78">
        <f t="shared" si="100"/>
        <v>0</v>
      </c>
      <c r="FE16" s="78">
        <f t="shared" si="101"/>
        <v>0</v>
      </c>
      <c r="FF16" s="79">
        <f t="shared" si="102"/>
        <v>0</v>
      </c>
      <c r="FG16" s="77">
        <f t="shared" si="103"/>
        <v>0</v>
      </c>
      <c r="FH16" s="79"/>
      <c r="FI16" s="78"/>
      <c r="FJ16" s="78">
        <f t="shared" si="104"/>
        <v>0</v>
      </c>
      <c r="FK16" s="78">
        <f t="shared" si="105"/>
        <v>0</v>
      </c>
      <c r="FL16" s="79">
        <f t="shared" si="106"/>
        <v>0</v>
      </c>
      <c r="FM16" s="77">
        <f t="shared" si="107"/>
        <v>0</v>
      </c>
      <c r="FN16" s="79"/>
      <c r="FO16" s="78"/>
      <c r="FP16" s="78">
        <f t="shared" si="108"/>
        <v>0</v>
      </c>
      <c r="FQ16" s="78">
        <f t="shared" si="109"/>
        <v>0</v>
      </c>
      <c r="FR16" s="79">
        <f t="shared" si="110"/>
        <v>0</v>
      </c>
      <c r="FS16" s="77">
        <f t="shared" si="111"/>
        <v>0</v>
      </c>
      <c r="FT16" s="79"/>
      <c r="FU16" s="78"/>
      <c r="FV16" s="78">
        <f t="shared" si="112"/>
        <v>0</v>
      </c>
      <c r="FW16" s="78">
        <f t="shared" si="113"/>
        <v>0</v>
      </c>
      <c r="FX16" s="79">
        <f t="shared" si="114"/>
        <v>0</v>
      </c>
      <c r="FY16" s="77">
        <f t="shared" si="115"/>
        <v>0</v>
      </c>
      <c r="FZ16" s="79"/>
      <c r="GA16" s="78"/>
      <c r="GB16" s="78">
        <f t="shared" si="116"/>
        <v>0</v>
      </c>
      <c r="GC16" s="78">
        <f t="shared" si="117"/>
        <v>0</v>
      </c>
      <c r="GD16" s="79">
        <f t="shared" si="118"/>
        <v>0</v>
      </c>
      <c r="GE16" s="77">
        <f t="shared" si="119"/>
        <v>0</v>
      </c>
      <c r="GF16" s="79"/>
      <c r="GG16" s="78"/>
      <c r="GH16" s="78">
        <f t="shared" si="120"/>
        <v>0</v>
      </c>
      <c r="GI16" s="78">
        <f t="shared" si="121"/>
        <v>0</v>
      </c>
      <c r="GJ16" s="79">
        <f t="shared" si="122"/>
        <v>0</v>
      </c>
      <c r="GK16" s="77">
        <f t="shared" si="123"/>
        <v>0</v>
      </c>
      <c r="GL16" s="79"/>
      <c r="GM16" s="78"/>
      <c r="GN16" s="78">
        <f t="shared" si="124"/>
        <v>0</v>
      </c>
      <c r="GO16" s="78">
        <f t="shared" si="125"/>
        <v>0</v>
      </c>
      <c r="GP16" s="79">
        <f t="shared" si="126"/>
        <v>0</v>
      </c>
      <c r="GQ16" s="77">
        <f t="shared" si="127"/>
        <v>0</v>
      </c>
      <c r="GR16" s="79"/>
      <c r="GS16" s="78"/>
      <c r="GT16" s="78">
        <f t="shared" si="128"/>
        <v>0</v>
      </c>
      <c r="GU16" s="78">
        <f t="shared" si="129"/>
        <v>0</v>
      </c>
      <c r="GV16" s="79">
        <f t="shared" si="130"/>
        <v>0</v>
      </c>
      <c r="GW16" s="77">
        <f t="shared" si="131"/>
        <v>0</v>
      </c>
      <c r="GX16" s="79"/>
      <c r="GY16" s="78"/>
      <c r="GZ16" s="78">
        <f t="shared" si="132"/>
        <v>0</v>
      </c>
      <c r="HA16" s="78">
        <f t="shared" si="133"/>
        <v>0</v>
      </c>
      <c r="HB16" s="79">
        <f t="shared" si="134"/>
        <v>0</v>
      </c>
      <c r="HC16" s="77">
        <f t="shared" si="135"/>
        <v>0</v>
      </c>
      <c r="HD16" s="79"/>
      <c r="HE16" s="79"/>
      <c r="HF16" s="79"/>
      <c r="HG16" s="79"/>
      <c r="HH16" s="79"/>
      <c r="HI16" s="79"/>
    </row>
    <row r="17" spans="1:217" s="52" customFormat="1" ht="12.75" hidden="1">
      <c r="A17" s="51">
        <v>45383</v>
      </c>
      <c r="C17" s="80"/>
      <c r="D17" s="80"/>
      <c r="E17" s="77">
        <f t="shared" si="0"/>
        <v>0</v>
      </c>
      <c r="F17" s="77"/>
      <c r="G17" s="77"/>
      <c r="H17" s="79"/>
      <c r="I17" s="79">
        <f>O17+U17+AA17+AG17+AM17+AS17+AY17+BE17+BK17+BQ17+BW17+CC17+CI17+CO17+CU17+DA17+DG17+DM17+DS17+DY17+EE17+EK17+EQ17+EW17+FC17+FI17+FO17+FU17+GA17+GG17+GM17+GS17+GY17</f>
        <v>0</v>
      </c>
      <c r="J17" s="79">
        <f t="shared" si="1"/>
        <v>0</v>
      </c>
      <c r="K17" s="79">
        <f t="shared" si="2"/>
        <v>0</v>
      </c>
      <c r="L17" s="79">
        <f t="shared" si="3"/>
        <v>0</v>
      </c>
      <c r="M17" s="79">
        <f t="shared" si="3"/>
        <v>0</v>
      </c>
      <c r="N17" s="79"/>
      <c r="O17" s="78">
        <f t="shared" si="136"/>
        <v>0</v>
      </c>
      <c r="P17" s="78">
        <f t="shared" si="4"/>
        <v>0</v>
      </c>
      <c r="Q17" s="79">
        <f>O17+P17</f>
        <v>0</v>
      </c>
      <c r="R17" s="79">
        <f t="shared" si="6"/>
        <v>0</v>
      </c>
      <c r="S17" s="77">
        <f t="shared" si="7"/>
        <v>0</v>
      </c>
      <c r="T17" s="79"/>
      <c r="U17" s="78">
        <f t="shared" si="137"/>
        <v>0</v>
      </c>
      <c r="V17" s="78">
        <f t="shared" si="8"/>
        <v>0</v>
      </c>
      <c r="W17" s="78">
        <f t="shared" si="9"/>
        <v>0</v>
      </c>
      <c r="X17" s="79">
        <f t="shared" si="10"/>
        <v>0</v>
      </c>
      <c r="Y17" s="77">
        <f t="shared" si="11"/>
        <v>0</v>
      </c>
      <c r="Z17" s="79"/>
      <c r="AA17" s="79">
        <f t="shared" si="138"/>
        <v>0</v>
      </c>
      <c r="AB17" s="78">
        <f t="shared" si="12"/>
        <v>0</v>
      </c>
      <c r="AC17" s="78">
        <f t="shared" si="13"/>
        <v>0</v>
      </c>
      <c r="AD17" s="79">
        <f t="shared" si="14"/>
        <v>0</v>
      </c>
      <c r="AE17" s="77">
        <f t="shared" si="15"/>
        <v>0</v>
      </c>
      <c r="AF17" s="79"/>
      <c r="AG17" s="78">
        <f t="shared" si="139"/>
        <v>0</v>
      </c>
      <c r="AH17" s="78">
        <f t="shared" si="16"/>
        <v>0</v>
      </c>
      <c r="AI17" s="78">
        <f t="shared" si="17"/>
        <v>0</v>
      </c>
      <c r="AJ17" s="79">
        <f t="shared" si="18"/>
        <v>0</v>
      </c>
      <c r="AK17" s="77">
        <f t="shared" si="19"/>
        <v>0</v>
      </c>
      <c r="AL17" s="79"/>
      <c r="AM17" s="78">
        <f t="shared" si="140"/>
        <v>0</v>
      </c>
      <c r="AN17" s="78">
        <f t="shared" si="20"/>
        <v>0</v>
      </c>
      <c r="AO17" s="78">
        <f t="shared" si="21"/>
        <v>0</v>
      </c>
      <c r="AP17" s="79">
        <f t="shared" si="22"/>
        <v>0</v>
      </c>
      <c r="AQ17" s="77">
        <f t="shared" si="23"/>
        <v>0</v>
      </c>
      <c r="AR17" s="78"/>
      <c r="AS17" s="78">
        <f t="shared" si="141"/>
        <v>0</v>
      </c>
      <c r="AT17" s="78">
        <f t="shared" si="24"/>
        <v>0</v>
      </c>
      <c r="AU17" s="78">
        <f t="shared" si="25"/>
        <v>0</v>
      </c>
      <c r="AV17" s="79">
        <f t="shared" si="26"/>
        <v>0</v>
      </c>
      <c r="AW17" s="77">
        <f t="shared" si="27"/>
        <v>0</v>
      </c>
      <c r="AX17" s="79"/>
      <c r="AY17" s="78">
        <f t="shared" si="142"/>
        <v>0</v>
      </c>
      <c r="AZ17" s="78">
        <f t="shared" si="28"/>
        <v>0</v>
      </c>
      <c r="BA17" s="78">
        <f t="shared" si="29"/>
        <v>0</v>
      </c>
      <c r="BB17" s="79">
        <f t="shared" si="30"/>
        <v>0</v>
      </c>
      <c r="BC17" s="77">
        <f t="shared" si="31"/>
        <v>0</v>
      </c>
      <c r="BD17" s="79"/>
      <c r="BE17" s="78">
        <f t="shared" si="143"/>
        <v>0</v>
      </c>
      <c r="BF17" s="78">
        <f t="shared" si="32"/>
        <v>0</v>
      </c>
      <c r="BG17" s="78">
        <f t="shared" si="33"/>
        <v>0</v>
      </c>
      <c r="BH17" s="79">
        <f t="shared" si="34"/>
        <v>0</v>
      </c>
      <c r="BI17" s="77">
        <f t="shared" si="35"/>
        <v>0</v>
      </c>
      <c r="BJ17" s="79"/>
      <c r="BK17" s="78">
        <f t="shared" si="144"/>
        <v>0</v>
      </c>
      <c r="BL17" s="78">
        <f t="shared" si="36"/>
        <v>0</v>
      </c>
      <c r="BM17" s="78">
        <f t="shared" si="37"/>
        <v>0</v>
      </c>
      <c r="BN17" s="79">
        <f t="shared" si="38"/>
        <v>0</v>
      </c>
      <c r="BO17" s="77">
        <f t="shared" si="39"/>
        <v>0</v>
      </c>
      <c r="BP17" s="79"/>
      <c r="BQ17" s="78">
        <f t="shared" si="145"/>
        <v>0</v>
      </c>
      <c r="BR17" s="78">
        <f t="shared" si="40"/>
        <v>0</v>
      </c>
      <c r="BS17" s="78">
        <f t="shared" si="41"/>
        <v>0</v>
      </c>
      <c r="BT17" s="79">
        <f t="shared" si="42"/>
        <v>0</v>
      </c>
      <c r="BU17" s="77">
        <f t="shared" si="43"/>
        <v>0</v>
      </c>
      <c r="BV17" s="79"/>
      <c r="BW17" s="78">
        <f t="shared" si="146"/>
        <v>0</v>
      </c>
      <c r="BX17" s="78">
        <f t="shared" si="44"/>
        <v>0</v>
      </c>
      <c r="BY17" s="78">
        <f t="shared" si="45"/>
        <v>0</v>
      </c>
      <c r="BZ17" s="79">
        <f t="shared" si="46"/>
        <v>0</v>
      </c>
      <c r="CA17" s="77">
        <f t="shared" si="47"/>
        <v>0</v>
      </c>
      <c r="CB17" s="78"/>
      <c r="CC17" s="78">
        <f t="shared" si="147"/>
        <v>0</v>
      </c>
      <c r="CD17" s="78">
        <f t="shared" si="48"/>
        <v>0</v>
      </c>
      <c r="CE17" s="78">
        <f t="shared" si="49"/>
        <v>0</v>
      </c>
      <c r="CF17" s="79">
        <f t="shared" si="50"/>
        <v>0</v>
      </c>
      <c r="CG17" s="77">
        <f t="shared" si="51"/>
        <v>0</v>
      </c>
      <c r="CH17" s="79"/>
      <c r="CI17" s="78">
        <f t="shared" si="148"/>
        <v>0</v>
      </c>
      <c r="CJ17" s="78">
        <f t="shared" si="52"/>
        <v>0</v>
      </c>
      <c r="CK17" s="78">
        <f t="shared" si="53"/>
        <v>0</v>
      </c>
      <c r="CL17" s="79">
        <f t="shared" si="54"/>
        <v>0</v>
      </c>
      <c r="CM17" s="77">
        <f t="shared" si="55"/>
        <v>0</v>
      </c>
      <c r="CN17" s="79"/>
      <c r="CO17" s="78">
        <f t="shared" si="149"/>
        <v>0</v>
      </c>
      <c r="CP17" s="78">
        <f t="shared" si="56"/>
        <v>0</v>
      </c>
      <c r="CQ17" s="78">
        <f t="shared" si="57"/>
        <v>0</v>
      </c>
      <c r="CR17" s="79">
        <f t="shared" si="58"/>
        <v>0</v>
      </c>
      <c r="CS17" s="77">
        <f t="shared" si="59"/>
        <v>0</v>
      </c>
      <c r="CT17" s="79"/>
      <c r="CU17" s="78">
        <f t="shared" si="150"/>
        <v>0</v>
      </c>
      <c r="CV17" s="78">
        <f t="shared" si="60"/>
        <v>0</v>
      </c>
      <c r="CW17" s="78">
        <f t="shared" si="61"/>
        <v>0</v>
      </c>
      <c r="CX17" s="79">
        <f t="shared" si="62"/>
        <v>0</v>
      </c>
      <c r="CY17" s="77">
        <f t="shared" si="63"/>
        <v>0</v>
      </c>
      <c r="CZ17" s="79"/>
      <c r="DA17" s="78">
        <f t="shared" si="151"/>
        <v>0</v>
      </c>
      <c r="DB17" s="78">
        <f t="shared" si="64"/>
        <v>0</v>
      </c>
      <c r="DC17" s="78">
        <f t="shared" si="65"/>
        <v>0</v>
      </c>
      <c r="DD17" s="79">
        <f t="shared" si="66"/>
        <v>0</v>
      </c>
      <c r="DE17" s="77">
        <f t="shared" si="67"/>
        <v>0</v>
      </c>
      <c r="DF17" s="79"/>
      <c r="DG17" s="78">
        <f t="shared" si="152"/>
        <v>0</v>
      </c>
      <c r="DH17" s="78">
        <f t="shared" si="68"/>
        <v>0</v>
      </c>
      <c r="DI17" s="78">
        <f t="shared" si="69"/>
        <v>0</v>
      </c>
      <c r="DJ17" s="79">
        <f t="shared" si="70"/>
        <v>0</v>
      </c>
      <c r="DK17" s="77">
        <f t="shared" si="71"/>
        <v>0</v>
      </c>
      <c r="DL17" s="79"/>
      <c r="DM17" s="78">
        <f t="shared" si="153"/>
        <v>0</v>
      </c>
      <c r="DN17" s="78">
        <f t="shared" si="72"/>
        <v>0</v>
      </c>
      <c r="DO17" s="78">
        <f t="shared" si="73"/>
        <v>0</v>
      </c>
      <c r="DP17" s="79">
        <f t="shared" si="74"/>
        <v>0</v>
      </c>
      <c r="DQ17" s="77">
        <f t="shared" si="75"/>
        <v>0</v>
      </c>
      <c r="DR17" s="79"/>
      <c r="DS17" s="78">
        <f t="shared" si="154"/>
        <v>0</v>
      </c>
      <c r="DT17" s="78">
        <f t="shared" si="76"/>
        <v>0</v>
      </c>
      <c r="DU17" s="78">
        <f t="shared" si="77"/>
        <v>0</v>
      </c>
      <c r="DV17" s="79">
        <f t="shared" si="78"/>
        <v>0</v>
      </c>
      <c r="DW17" s="77">
        <f t="shared" si="79"/>
        <v>0</v>
      </c>
      <c r="DX17" s="79"/>
      <c r="DY17" s="78">
        <f t="shared" si="155"/>
        <v>0</v>
      </c>
      <c r="DZ17" s="78">
        <f t="shared" si="80"/>
        <v>0</v>
      </c>
      <c r="EA17" s="78">
        <f t="shared" si="81"/>
        <v>0</v>
      </c>
      <c r="EB17" s="79">
        <f t="shared" si="82"/>
        <v>0</v>
      </c>
      <c r="EC17" s="77">
        <f t="shared" si="83"/>
        <v>0</v>
      </c>
      <c r="ED17" s="79"/>
      <c r="EE17" s="78">
        <f t="shared" si="156"/>
        <v>0</v>
      </c>
      <c r="EF17" s="78">
        <f t="shared" si="84"/>
        <v>0</v>
      </c>
      <c r="EG17" s="78">
        <f t="shared" si="85"/>
        <v>0</v>
      </c>
      <c r="EH17" s="79">
        <f t="shared" si="86"/>
        <v>0</v>
      </c>
      <c r="EI17" s="77">
        <f t="shared" si="87"/>
        <v>0</v>
      </c>
      <c r="EJ17" s="79"/>
      <c r="EK17" s="78">
        <f t="shared" si="157"/>
        <v>0</v>
      </c>
      <c r="EL17" s="78">
        <f t="shared" si="88"/>
        <v>0</v>
      </c>
      <c r="EM17" s="78">
        <f t="shared" si="89"/>
        <v>0</v>
      </c>
      <c r="EN17" s="79">
        <f t="shared" si="90"/>
        <v>0</v>
      </c>
      <c r="EO17" s="77">
        <f t="shared" si="91"/>
        <v>0</v>
      </c>
      <c r="EP17" s="79"/>
      <c r="EQ17" s="78">
        <f t="shared" si="158"/>
        <v>0</v>
      </c>
      <c r="ER17" s="78">
        <f t="shared" si="92"/>
        <v>0</v>
      </c>
      <c r="ES17" s="78">
        <f t="shared" si="93"/>
        <v>0</v>
      </c>
      <c r="ET17" s="79">
        <f t="shared" si="94"/>
        <v>0</v>
      </c>
      <c r="EU17" s="77">
        <f t="shared" si="95"/>
        <v>0</v>
      </c>
      <c r="EV17" s="79"/>
      <c r="EW17" s="78">
        <f t="shared" si="159"/>
        <v>0</v>
      </c>
      <c r="EX17" s="78">
        <f t="shared" si="96"/>
        <v>0</v>
      </c>
      <c r="EY17" s="78">
        <f t="shared" si="97"/>
        <v>0</v>
      </c>
      <c r="EZ17" s="79">
        <f t="shared" si="98"/>
        <v>0</v>
      </c>
      <c r="FA17" s="77">
        <f t="shared" si="99"/>
        <v>0</v>
      </c>
      <c r="FB17" s="79"/>
      <c r="FC17" s="78">
        <f t="shared" si="160"/>
        <v>0</v>
      </c>
      <c r="FD17" s="78">
        <f t="shared" si="100"/>
        <v>0</v>
      </c>
      <c r="FE17" s="78">
        <f t="shared" si="101"/>
        <v>0</v>
      </c>
      <c r="FF17" s="79">
        <f t="shared" si="102"/>
        <v>0</v>
      </c>
      <c r="FG17" s="77">
        <f t="shared" si="103"/>
        <v>0</v>
      </c>
      <c r="FH17" s="79"/>
      <c r="FI17" s="78">
        <f t="shared" si="161"/>
        <v>0</v>
      </c>
      <c r="FJ17" s="78">
        <f t="shared" si="104"/>
        <v>0</v>
      </c>
      <c r="FK17" s="78">
        <f t="shared" si="105"/>
        <v>0</v>
      </c>
      <c r="FL17" s="79">
        <f t="shared" si="106"/>
        <v>0</v>
      </c>
      <c r="FM17" s="77">
        <f t="shared" si="107"/>
        <v>0</v>
      </c>
      <c r="FN17" s="79"/>
      <c r="FO17" s="78">
        <f t="shared" si="162"/>
        <v>0</v>
      </c>
      <c r="FP17" s="78">
        <f t="shared" si="108"/>
        <v>0</v>
      </c>
      <c r="FQ17" s="78">
        <f t="shared" si="109"/>
        <v>0</v>
      </c>
      <c r="FR17" s="79">
        <f t="shared" si="110"/>
        <v>0</v>
      </c>
      <c r="FS17" s="77">
        <f t="shared" si="111"/>
        <v>0</v>
      </c>
      <c r="FT17" s="79"/>
      <c r="FU17" s="78">
        <f t="shared" si="163"/>
        <v>0</v>
      </c>
      <c r="FV17" s="78">
        <f t="shared" si="112"/>
        <v>0</v>
      </c>
      <c r="FW17" s="78">
        <f t="shared" si="113"/>
        <v>0</v>
      </c>
      <c r="FX17" s="79">
        <f t="shared" si="114"/>
        <v>0</v>
      </c>
      <c r="FY17" s="77">
        <f t="shared" si="115"/>
        <v>0</v>
      </c>
      <c r="FZ17" s="79"/>
      <c r="GA17" s="78">
        <f t="shared" si="164"/>
        <v>0</v>
      </c>
      <c r="GB17" s="78">
        <f t="shared" si="116"/>
        <v>0</v>
      </c>
      <c r="GC17" s="78">
        <f t="shared" si="117"/>
        <v>0</v>
      </c>
      <c r="GD17" s="79">
        <f t="shared" si="118"/>
        <v>0</v>
      </c>
      <c r="GE17" s="77">
        <f t="shared" si="119"/>
        <v>0</v>
      </c>
      <c r="GF17" s="79"/>
      <c r="GG17" s="78">
        <f t="shared" si="165"/>
        <v>0</v>
      </c>
      <c r="GH17" s="78">
        <f t="shared" si="120"/>
        <v>0</v>
      </c>
      <c r="GI17" s="78">
        <f t="shared" si="121"/>
        <v>0</v>
      </c>
      <c r="GJ17" s="79">
        <f t="shared" si="122"/>
        <v>0</v>
      </c>
      <c r="GK17" s="77">
        <f t="shared" si="123"/>
        <v>0</v>
      </c>
      <c r="GL17" s="79"/>
      <c r="GM17" s="78">
        <f t="shared" si="166"/>
        <v>0</v>
      </c>
      <c r="GN17" s="78">
        <f t="shared" si="124"/>
        <v>0</v>
      </c>
      <c r="GO17" s="78">
        <f t="shared" si="125"/>
        <v>0</v>
      </c>
      <c r="GP17" s="79">
        <f t="shared" si="126"/>
        <v>0</v>
      </c>
      <c r="GQ17" s="77">
        <f t="shared" si="127"/>
        <v>0</v>
      </c>
      <c r="GR17" s="79"/>
      <c r="GS17" s="78">
        <f t="shared" si="167"/>
        <v>0</v>
      </c>
      <c r="GT17" s="78">
        <f t="shared" si="128"/>
        <v>0</v>
      </c>
      <c r="GU17" s="78">
        <f t="shared" si="129"/>
        <v>0</v>
      </c>
      <c r="GV17" s="79">
        <f t="shared" si="130"/>
        <v>0</v>
      </c>
      <c r="GW17" s="77">
        <f t="shared" si="131"/>
        <v>0</v>
      </c>
      <c r="GX17" s="79"/>
      <c r="GY17" s="78">
        <f t="shared" si="168"/>
        <v>0</v>
      </c>
      <c r="GZ17" s="78">
        <f t="shared" si="132"/>
        <v>0</v>
      </c>
      <c r="HA17" s="78">
        <f t="shared" si="133"/>
        <v>0</v>
      </c>
      <c r="HB17" s="79">
        <f t="shared" si="134"/>
        <v>0</v>
      </c>
      <c r="HC17" s="77">
        <f t="shared" si="135"/>
        <v>0</v>
      </c>
      <c r="HD17" s="79"/>
      <c r="HE17" s="79"/>
      <c r="HF17" s="79"/>
      <c r="HG17" s="79"/>
      <c r="HH17" s="79"/>
      <c r="HI17" s="79"/>
    </row>
    <row r="18" spans="3:217" ht="12.75">
      <c r="C18" s="80"/>
      <c r="D18" s="80"/>
      <c r="E18" s="80"/>
      <c r="F18" s="80"/>
      <c r="G18" s="80"/>
      <c r="H18" s="78"/>
      <c r="I18" s="78"/>
      <c r="J18" s="79"/>
      <c r="K18" s="78"/>
      <c r="L18" s="78"/>
      <c r="M18" s="80"/>
      <c r="N18" s="78"/>
      <c r="O18" s="78"/>
      <c r="P18" s="78"/>
      <c r="Q18" s="78"/>
      <c r="R18" s="78"/>
      <c r="S18" s="80"/>
      <c r="T18" s="78"/>
      <c r="U18" s="78"/>
      <c r="V18" s="78"/>
      <c r="W18" s="78"/>
      <c r="X18" s="78"/>
      <c r="Y18" s="80"/>
      <c r="Z18" s="78"/>
      <c r="AA18" s="79"/>
      <c r="AB18" s="78"/>
      <c r="AC18" s="78"/>
      <c r="AD18" s="78"/>
      <c r="AE18" s="80"/>
      <c r="AF18" s="78"/>
      <c r="AG18" s="78"/>
      <c r="AH18" s="78"/>
      <c r="AI18" s="78"/>
      <c r="AJ18" s="78"/>
      <c r="AK18" s="80"/>
      <c r="AL18" s="78"/>
      <c r="AM18" s="78"/>
      <c r="AN18" s="78"/>
      <c r="AO18" s="78"/>
      <c r="AP18" s="78"/>
      <c r="AQ18" s="80"/>
      <c r="AR18" s="78"/>
      <c r="AS18" s="78"/>
      <c r="AT18" s="78"/>
      <c r="AU18" s="78"/>
      <c r="AV18" s="78"/>
      <c r="AW18" s="80"/>
      <c r="AX18" s="78"/>
      <c r="AY18" s="78"/>
      <c r="AZ18" s="78"/>
      <c r="BA18" s="78"/>
      <c r="BB18" s="78"/>
      <c r="BC18" s="80"/>
      <c r="BD18" s="78"/>
      <c r="BE18" s="78"/>
      <c r="BF18" s="78"/>
      <c r="BG18" s="78"/>
      <c r="BH18" s="78"/>
      <c r="BI18" s="80"/>
      <c r="BJ18" s="78"/>
      <c r="BK18" s="78"/>
      <c r="BL18" s="78"/>
      <c r="BM18" s="78"/>
      <c r="BN18" s="78"/>
      <c r="BO18" s="80"/>
      <c r="BP18" s="78"/>
      <c r="BQ18" s="78"/>
      <c r="BR18" s="78"/>
      <c r="BS18" s="78"/>
      <c r="BT18" s="78"/>
      <c r="BU18" s="80"/>
      <c r="BV18" s="78"/>
      <c r="BW18" s="78"/>
      <c r="BX18" s="78"/>
      <c r="BY18" s="78"/>
      <c r="BZ18" s="78"/>
      <c r="CA18" s="80"/>
      <c r="CB18" s="78"/>
      <c r="CC18" s="78"/>
      <c r="CD18" s="78"/>
      <c r="CE18" s="78"/>
      <c r="CF18" s="78"/>
      <c r="CG18" s="80"/>
      <c r="CH18" s="78"/>
      <c r="CI18" s="78"/>
      <c r="CJ18" s="78"/>
      <c r="CK18" s="78"/>
      <c r="CL18" s="78"/>
      <c r="CM18" s="80"/>
      <c r="CN18" s="78"/>
      <c r="CO18" s="78"/>
      <c r="CP18" s="78"/>
      <c r="CQ18" s="78"/>
      <c r="CR18" s="78"/>
      <c r="CS18" s="80"/>
      <c r="CT18" s="78"/>
      <c r="CU18" s="78"/>
      <c r="CV18" s="78"/>
      <c r="CW18" s="78"/>
      <c r="CX18" s="78"/>
      <c r="CY18" s="80"/>
      <c r="CZ18" s="78"/>
      <c r="DA18" s="78"/>
      <c r="DB18" s="78"/>
      <c r="DC18" s="78"/>
      <c r="DD18" s="78"/>
      <c r="DE18" s="80"/>
      <c r="DF18" s="78"/>
      <c r="DG18" s="78"/>
      <c r="DH18" s="78"/>
      <c r="DI18" s="78"/>
      <c r="DJ18" s="78"/>
      <c r="DK18" s="80"/>
      <c r="DL18" s="78"/>
      <c r="DM18" s="78"/>
      <c r="DN18" s="78"/>
      <c r="DO18" s="78"/>
      <c r="DP18" s="78"/>
      <c r="DQ18" s="80"/>
      <c r="DR18" s="78"/>
      <c r="DS18" s="78"/>
      <c r="DT18" s="78"/>
      <c r="DU18" s="78"/>
      <c r="DV18" s="78"/>
      <c r="DW18" s="80"/>
      <c r="DX18" s="78"/>
      <c r="DY18" s="78"/>
      <c r="DZ18" s="78"/>
      <c r="EA18" s="78"/>
      <c r="EB18" s="78"/>
      <c r="EC18" s="80"/>
      <c r="ED18" s="78"/>
      <c r="EE18" s="78"/>
      <c r="EF18" s="78"/>
      <c r="EG18" s="78"/>
      <c r="EH18" s="78"/>
      <c r="EI18" s="80"/>
      <c r="EJ18" s="78"/>
      <c r="EK18" s="78"/>
      <c r="EL18" s="78"/>
      <c r="EM18" s="78"/>
      <c r="EN18" s="78"/>
      <c r="EO18" s="80"/>
      <c r="EP18" s="78"/>
      <c r="EQ18" s="78"/>
      <c r="ER18" s="78"/>
      <c r="ES18" s="78"/>
      <c r="ET18" s="78"/>
      <c r="EU18" s="80"/>
      <c r="EV18" s="78"/>
      <c r="EW18" s="78"/>
      <c r="EX18" s="78"/>
      <c r="EY18" s="78"/>
      <c r="EZ18" s="78"/>
      <c r="FA18" s="80"/>
      <c r="FB18" s="78"/>
      <c r="FC18" s="78"/>
      <c r="FD18" s="78"/>
      <c r="FE18" s="78"/>
      <c r="FF18" s="78"/>
      <c r="FG18" s="80"/>
      <c r="FH18" s="78"/>
      <c r="FI18" s="78"/>
      <c r="FJ18" s="78"/>
      <c r="FK18" s="78"/>
      <c r="FL18" s="78"/>
      <c r="FM18" s="80"/>
      <c r="FN18" s="78"/>
      <c r="FO18" s="78"/>
      <c r="FP18" s="78"/>
      <c r="FQ18" s="78"/>
      <c r="FR18" s="78"/>
      <c r="FS18" s="80"/>
      <c r="FT18" s="78"/>
      <c r="FU18" s="78"/>
      <c r="FV18" s="78"/>
      <c r="FW18" s="78"/>
      <c r="FX18" s="78"/>
      <c r="FY18" s="80"/>
      <c r="FZ18" s="78"/>
      <c r="GA18" s="78"/>
      <c r="GB18" s="78"/>
      <c r="GC18" s="78"/>
      <c r="GD18" s="78"/>
      <c r="GE18" s="80"/>
      <c r="GF18" s="78"/>
      <c r="GG18" s="78"/>
      <c r="GH18" s="78"/>
      <c r="GI18" s="78"/>
      <c r="GJ18" s="78"/>
      <c r="GK18" s="80"/>
      <c r="GL18" s="78"/>
      <c r="GM18" s="78"/>
      <c r="GN18" s="78"/>
      <c r="GO18" s="78"/>
      <c r="GP18" s="78"/>
      <c r="GQ18" s="80"/>
      <c r="GR18" s="78"/>
      <c r="GS18" s="78"/>
      <c r="GT18" s="78"/>
      <c r="GU18" s="78"/>
      <c r="GV18" s="78"/>
      <c r="GW18" s="80"/>
      <c r="GX18" s="78"/>
      <c r="GY18" s="78"/>
      <c r="GZ18" s="78"/>
      <c r="HA18" s="78"/>
      <c r="HB18" s="78"/>
      <c r="HC18" s="80"/>
      <c r="HD18" s="78"/>
      <c r="HE18" s="78"/>
      <c r="HF18" s="78"/>
      <c r="HG18" s="78"/>
      <c r="HH18" s="78"/>
      <c r="HI18" s="78"/>
    </row>
    <row r="19" spans="1:217" ht="13.5" thickBot="1">
      <c r="A19" s="31" t="s">
        <v>4</v>
      </c>
      <c r="C19" s="81">
        <f>SUM(C8:C18)</f>
        <v>11840000</v>
      </c>
      <c r="D19" s="81">
        <f>SUM(D8:D18)</f>
        <v>715000</v>
      </c>
      <c r="E19" s="81">
        <f>SUM(E8:E18)</f>
        <v>12555000</v>
      </c>
      <c r="F19" s="81">
        <f>SUM(F8:F18)</f>
        <v>440955</v>
      </c>
      <c r="G19" s="81">
        <f>SUM(G8:G18)</f>
        <v>26357</v>
      </c>
      <c r="H19" s="78"/>
      <c r="I19" s="81">
        <f>SUM(I8:I18)</f>
        <v>6427058.6559999995</v>
      </c>
      <c r="J19" s="81">
        <f>SUM(J8:J18)</f>
        <v>388120.5185</v>
      </c>
      <c r="K19" s="81">
        <f>SUM(K8:K18)</f>
        <v>6815179.1745</v>
      </c>
      <c r="L19" s="81">
        <f>SUM(L8:L18)</f>
        <v>239361.7947345</v>
      </c>
      <c r="M19" s="81">
        <f>SUM(M8:M18)</f>
        <v>14307.262246299997</v>
      </c>
      <c r="N19" s="78"/>
      <c r="O19" s="81">
        <f>SUM(O8:O18)</f>
        <v>783159.168</v>
      </c>
      <c r="P19" s="81">
        <f>SUM(P8:P18)</f>
        <v>47293.818</v>
      </c>
      <c r="Q19" s="81">
        <f>SUM(Q8:Q18)</f>
        <v>830452.986</v>
      </c>
      <c r="R19" s="81">
        <f>SUM(R8:R18)</f>
        <v>29167.056666</v>
      </c>
      <c r="S19" s="81">
        <f>SUM(S8:S18)</f>
        <v>1743.3890364</v>
      </c>
      <c r="T19" s="78"/>
      <c r="U19" s="81">
        <f>SUM(U8:U18)</f>
        <v>13374.464</v>
      </c>
      <c r="V19" s="81">
        <f>SUM(V8:V18)</f>
        <v>807.664</v>
      </c>
      <c r="W19" s="81">
        <f>SUM(W8:W18)</f>
        <v>14182.127999999999</v>
      </c>
      <c r="X19" s="81">
        <f>SUM(X8:X18)</f>
        <v>498.10276799999997</v>
      </c>
      <c r="Y19" s="81">
        <f>SUM(Y8:Y18)</f>
        <v>29.7728672</v>
      </c>
      <c r="Z19" s="78"/>
      <c r="AA19" s="81">
        <f>SUM(AA8:AA18)</f>
        <v>60376.89599999999</v>
      </c>
      <c r="AB19" s="81">
        <f>SUM(AB8:AB18)</f>
        <v>3646.071</v>
      </c>
      <c r="AC19" s="81">
        <f>SUM(AC8:AC18)</f>
        <v>64022.96699999999</v>
      </c>
      <c r="AD19" s="81">
        <f>SUM(AD8:AD18)</f>
        <v>2248.6059269999996</v>
      </c>
      <c r="AE19" s="81">
        <f>SUM(AE8:AE18)</f>
        <v>134.4048858</v>
      </c>
      <c r="AF19" s="78"/>
      <c r="AG19" s="81">
        <f>SUM(AG8:AG18)</f>
        <v>1049967.648</v>
      </c>
      <c r="AH19" s="81">
        <f>SUM(AH8:AH18)</f>
        <v>63405.9855</v>
      </c>
      <c r="AI19" s="81">
        <f>SUM(AI8:AI18)</f>
        <v>1113373.6335</v>
      </c>
      <c r="AJ19" s="81">
        <f>SUM(AJ8:AJ18)</f>
        <v>39103.7571135</v>
      </c>
      <c r="AK19" s="81">
        <f>SUM(AK8:AK18)</f>
        <v>2337.3308529</v>
      </c>
      <c r="AL19" s="78"/>
      <c r="AM19" s="81">
        <f>SUM(AM8:AM18)</f>
        <v>12718.527999999998</v>
      </c>
      <c r="AN19" s="81">
        <f>SUM(AN8:AN18)</f>
        <v>768.053</v>
      </c>
      <c r="AO19" s="81">
        <f>SUM(AO8:AO18)</f>
        <v>13486.580999999998</v>
      </c>
      <c r="AP19" s="81">
        <f>SUM(AP8:AP18)</f>
        <v>473.673861</v>
      </c>
      <c r="AQ19" s="81">
        <f>SUM(AQ8:AQ18)</f>
        <v>28.312689400000004</v>
      </c>
      <c r="AR19" s="78"/>
      <c r="AS19" s="81">
        <f>SUM(AS8:AS18)</f>
        <v>10725.856</v>
      </c>
      <c r="AT19" s="81">
        <f>SUM(AT8:AT18)</f>
        <v>647.7185</v>
      </c>
      <c r="AU19" s="81">
        <f>SUM(AU8:AU18)</f>
        <v>11373.574500000002</v>
      </c>
      <c r="AV19" s="81">
        <f>SUM(AV8:AV18)</f>
        <v>399.46113449999996</v>
      </c>
      <c r="AW19" s="81">
        <f>SUM(AW8:AW18)</f>
        <v>23.8768063</v>
      </c>
      <c r="AX19" s="78"/>
      <c r="AY19" s="81">
        <f>SUM(AY8:AY18)</f>
        <v>440054.912</v>
      </c>
      <c r="AZ19" s="81">
        <f>SUM(AZ8:AZ18)</f>
        <v>26574.262000000002</v>
      </c>
      <c r="BA19" s="81">
        <f>SUM(BA8:BA18)</f>
        <v>466629.174</v>
      </c>
      <c r="BB19" s="81">
        <f>SUM(BB8:BB18)</f>
        <v>16388.886294000004</v>
      </c>
      <c r="BC19" s="81">
        <f>SUM(BC8:BC18)</f>
        <v>979.6053476</v>
      </c>
      <c r="BD19" s="78"/>
      <c r="BE19" s="81">
        <f>SUM(BE8:BE18)</f>
        <v>902945.632</v>
      </c>
      <c r="BF19" s="81">
        <f>SUM(BF8:BF18)</f>
        <v>54527.544499999996</v>
      </c>
      <c r="BG19" s="81">
        <f>SUM(BG8:BG18)</f>
        <v>957473.1764999998</v>
      </c>
      <c r="BH19" s="81">
        <f>SUM(BH8:BH18)</f>
        <v>33628.2424965</v>
      </c>
      <c r="BI19" s="81">
        <f>SUM(BI8:BI18)</f>
        <v>2010.0454411</v>
      </c>
      <c r="BJ19" s="78"/>
      <c r="BK19" s="81">
        <f>SUM(BK8:BK18)</f>
        <v>10423.935999999998</v>
      </c>
      <c r="BL19" s="81">
        <f>SUM(BL8:BL18)</f>
        <v>629.486</v>
      </c>
      <c r="BM19" s="81">
        <f>SUM(BM8:BM18)</f>
        <v>11053.421999999999</v>
      </c>
      <c r="BN19" s="81">
        <f>SUM(BN8:BN18)</f>
        <v>388.216782</v>
      </c>
      <c r="BO19" s="81">
        <f>SUM(BO8:BO18)</f>
        <v>23.2047028</v>
      </c>
      <c r="BP19" s="78"/>
      <c r="BQ19" s="81">
        <f>SUM(BQ8:BQ18)</f>
        <v>7002.1759999999995</v>
      </c>
      <c r="BR19" s="81">
        <f>SUM(BR8:BR18)</f>
        <v>422.851</v>
      </c>
      <c r="BS19" s="81">
        <f>SUM(BS8:BS18)</f>
        <v>7425.027</v>
      </c>
      <c r="BT19" s="81">
        <f>SUM(BT8:BT18)</f>
        <v>260.780787</v>
      </c>
      <c r="BU19" s="81">
        <f>SUM(BU8:BU18)</f>
        <v>15.587529799999999</v>
      </c>
      <c r="BV19" s="78"/>
      <c r="BW19" s="81">
        <f>SUM(BW8:BW18)</f>
        <v>-1043.104</v>
      </c>
      <c r="BX19" s="81">
        <f>SUM(BX8:BX18)</f>
        <v>-62.99150000000001</v>
      </c>
      <c r="BY19" s="81">
        <f>SUM(BY8:BY18)</f>
        <v>-1106.0955000000001</v>
      </c>
      <c r="BZ19" s="81">
        <f>SUM(BZ8:BZ18)</f>
        <v>-38.8481355</v>
      </c>
      <c r="CA19" s="81">
        <f>SUM(CA8:CA18)</f>
        <v>-2.3220517</v>
      </c>
      <c r="CB19" s="80"/>
      <c r="CC19" s="81">
        <f>SUM(CC8:CC18)</f>
        <v>-679.616</v>
      </c>
      <c r="CD19" s="81">
        <f>SUM(CD8:CD18)</f>
        <v>-41.041</v>
      </c>
      <c r="CE19" s="81">
        <f>SUM(CE8:CE18)</f>
        <v>-720.6569999999999</v>
      </c>
      <c r="CF19" s="81">
        <f>SUM(CF8:CF18)</f>
        <v>-25.310817</v>
      </c>
      <c r="CG19" s="81">
        <f>SUM(CG8:CG18)</f>
        <v>-1.5128918</v>
      </c>
      <c r="CH19" s="78"/>
      <c r="CI19" s="81">
        <f>SUM(CI8:CI18)</f>
        <v>25273.664000000004</v>
      </c>
      <c r="CJ19" s="81">
        <f>SUM(CJ8:CJ18)</f>
        <v>1526.239</v>
      </c>
      <c r="CK19" s="81">
        <f>SUM(CK8:CK18)</f>
        <v>26799.903000000006</v>
      </c>
      <c r="CL19" s="81">
        <f>SUM(CL8:CL18)</f>
        <v>941.262543</v>
      </c>
      <c r="CM19" s="81">
        <f>SUM(CM8:CM18)</f>
        <v>56.2616522</v>
      </c>
      <c r="CN19" s="78"/>
      <c r="CO19" s="81">
        <f>SUM(CO8:CO18)</f>
        <v>155423.68</v>
      </c>
      <c r="CP19" s="81">
        <f>SUM(CP8:CP18)</f>
        <v>9385.805</v>
      </c>
      <c r="CQ19" s="81">
        <f>SUM(CQ8:CQ18)</f>
        <v>164809.485</v>
      </c>
      <c r="CR19" s="81">
        <f>SUM(CR8:CR18)</f>
        <v>5788.416285</v>
      </c>
      <c r="CS19" s="81">
        <f>SUM(CS8:CS18)</f>
        <v>345.988339</v>
      </c>
      <c r="CT19" s="78"/>
      <c r="CU19" s="81">
        <f>SUM(CU8:CU18)</f>
        <v>1044111.584</v>
      </c>
      <c r="CV19" s="81">
        <f>SUM(CV8:CV18)</f>
        <v>63052.3465</v>
      </c>
      <c r="CW19" s="81">
        <f>SUM(CW8:CW18)</f>
        <v>1107163.9305</v>
      </c>
      <c r="CX19" s="81">
        <f>SUM(CX8:CX18)</f>
        <v>38885.660770500006</v>
      </c>
      <c r="CY19" s="81">
        <f>SUM(CY8:CY18)</f>
        <v>2324.2946807</v>
      </c>
      <c r="CZ19" s="78"/>
      <c r="DA19" s="81">
        <f>SUM(DA8:DA18)</f>
        <v>150642.68799999997</v>
      </c>
      <c r="DB19" s="81">
        <f>SUM(DB8:DB18)</f>
        <v>9097.088</v>
      </c>
      <c r="DC19" s="81">
        <f>SUM(DC8:DC18)</f>
        <v>159739.77599999995</v>
      </c>
      <c r="DD19" s="81">
        <f>SUM(DD8:DD18)</f>
        <v>5610.358656</v>
      </c>
      <c r="DE19" s="81">
        <f>SUM(DE8:DE18)</f>
        <v>335.3453824</v>
      </c>
      <c r="DF19" s="78"/>
      <c r="DG19" s="81">
        <f>SUM(DG8:DG18)</f>
        <v>307806.848</v>
      </c>
      <c r="DH19" s="81">
        <f>SUM(DH8:DH18)</f>
        <v>18587.998</v>
      </c>
      <c r="DI19" s="81">
        <f>SUM(DI8:DI18)</f>
        <v>326394.846</v>
      </c>
      <c r="DJ19" s="81">
        <f>SUM(DJ8:DJ18)</f>
        <v>11463.595326</v>
      </c>
      <c r="DK19" s="81">
        <f>SUM(DK8:DK18)</f>
        <v>685.2082004</v>
      </c>
      <c r="DL19" s="78"/>
      <c r="DM19" s="81">
        <f>SUM(DM8:DM18)</f>
        <v>49919.808000000005</v>
      </c>
      <c r="DN19" s="81">
        <f>SUM(DN8:DN18)</f>
        <v>3014.5829999999996</v>
      </c>
      <c r="DO19" s="81">
        <f>SUM(DO8:DO18)</f>
        <v>52934.391</v>
      </c>
      <c r="DP19" s="81">
        <f>SUM(DP8:DP18)</f>
        <v>1859.1544709999998</v>
      </c>
      <c r="DQ19" s="81">
        <f>SUM(DQ8:DQ18)</f>
        <v>111.12638340000001</v>
      </c>
      <c r="DR19" s="78"/>
      <c r="DS19" s="81">
        <f>SUM(DS8:DS18)</f>
        <v>256077.88799999998</v>
      </c>
      <c r="DT19" s="81">
        <f>SUM(DT8:DT18)</f>
        <v>15464.163</v>
      </c>
      <c r="DU19" s="81">
        <f>SUM(DU8:DU18)</f>
        <v>271542.051</v>
      </c>
      <c r="DV19" s="81">
        <f>SUM(DV8:DV18)</f>
        <v>9537.062931</v>
      </c>
      <c r="DW19" s="81">
        <f>SUM(DW8:DW18)</f>
        <v>570.0544674</v>
      </c>
      <c r="DX19" s="78"/>
      <c r="DY19" s="81">
        <f>SUM(DY8:DY18)</f>
        <v>2288.6719999999996</v>
      </c>
      <c r="DZ19" s="81">
        <f>SUM(DZ8:DZ18)</f>
        <v>138.2095</v>
      </c>
      <c r="EA19" s="81">
        <f>SUM(EA8:EA18)</f>
        <v>2426.8814999999995</v>
      </c>
      <c r="EB19" s="81">
        <f>SUM(EB8:EB18)</f>
        <v>85.2366015</v>
      </c>
      <c r="EC19" s="81">
        <f>SUM(EC8:EC18)</f>
        <v>5.0948081</v>
      </c>
      <c r="ED19" s="78"/>
      <c r="EE19" s="81">
        <f>SUM(EE8:EE18)</f>
        <v>3012.096</v>
      </c>
      <c r="EF19" s="81">
        <f>SUM(EF8:EF18)</f>
        <v>181.89600000000002</v>
      </c>
      <c r="EG19" s="81">
        <f>SUM(EG8:EG18)</f>
        <v>3193.9919999999997</v>
      </c>
      <c r="EH19" s="81">
        <f>SUM(EH8:EH18)</f>
        <v>112.178952</v>
      </c>
      <c r="EI19" s="81">
        <f>SUM(EI8:EI18)</f>
        <v>6.705220799999999</v>
      </c>
      <c r="EJ19" s="78"/>
      <c r="EK19" s="81">
        <f>SUM(EK8:EK18)</f>
        <v>151773.408</v>
      </c>
      <c r="EL19" s="81">
        <f>SUM(EL8:EL18)</f>
        <v>9165.3705</v>
      </c>
      <c r="EM19" s="81">
        <f>SUM(EM8:EM18)</f>
        <v>160938.77850000001</v>
      </c>
      <c r="EN19" s="81">
        <f>SUM(EN8:EN18)</f>
        <v>5652.469858500001</v>
      </c>
      <c r="EO19" s="81">
        <f>SUM(EO8:EO18)</f>
        <v>337.8624759</v>
      </c>
      <c r="EP19" s="78"/>
      <c r="EQ19" s="81">
        <f>SUM(EQ8:EQ18)</f>
        <v>2888.96</v>
      </c>
      <c r="ER19" s="81">
        <f>SUM(ER8:ER18)</f>
        <v>174.46000000000004</v>
      </c>
      <c r="ES19" s="81">
        <f>SUM(ES8:ES18)</f>
        <v>3063.42</v>
      </c>
      <c r="ET19" s="81">
        <f>SUM(ET8:ET18)</f>
        <v>107.59302</v>
      </c>
      <c r="EU19" s="81">
        <f>SUM(EU8:EU18)</f>
        <v>6.431108</v>
      </c>
      <c r="EV19" s="78"/>
      <c r="EW19" s="81">
        <f>SUM(EW8:EW18)</f>
        <v>43167.456000000006</v>
      </c>
      <c r="EX19" s="81">
        <f>SUM(EX8:EX18)</f>
        <v>2606.8185000000003</v>
      </c>
      <c r="EY19" s="81">
        <f>SUM(EY8:EY18)</f>
        <v>45774.27450000001</v>
      </c>
      <c r="EZ19" s="81">
        <f>SUM(EZ8:EZ18)</f>
        <v>1607.6778345</v>
      </c>
      <c r="FA19" s="81">
        <f>SUM(FA8:FA18)</f>
        <v>96.0949863</v>
      </c>
      <c r="FB19" s="78"/>
      <c r="FC19" s="81">
        <f>SUM(FC8:FC18)</f>
        <v>29987.167999999998</v>
      </c>
      <c r="FD19" s="81">
        <f>SUM(FD8:FD18)</f>
        <v>1810.8804999999998</v>
      </c>
      <c r="FE19" s="81">
        <f>SUM(FE8:FE18)</f>
        <v>31798.048499999997</v>
      </c>
      <c r="FF19" s="81">
        <f>SUM(FF8:FF18)</f>
        <v>1116.8067285</v>
      </c>
      <c r="FG19" s="81">
        <f>SUM(FG8:FG18)</f>
        <v>66.75437389999999</v>
      </c>
      <c r="FH19" s="78"/>
      <c r="FI19" s="81">
        <f>SUM(FI8:FI18)</f>
        <v>11706.207999999999</v>
      </c>
      <c r="FJ19" s="81">
        <f>SUM(FJ8:FJ18)</f>
        <v>706.9205000000001</v>
      </c>
      <c r="FK19" s="81">
        <f>SUM(FK8:FK18)</f>
        <v>12413.128499999999</v>
      </c>
      <c r="FL19" s="81">
        <f>SUM(FL8:FL18)</f>
        <v>435.97220849999997</v>
      </c>
      <c r="FM19" s="81">
        <f>SUM(FM8:FM18)</f>
        <v>26.0591659</v>
      </c>
      <c r="FN19" s="78"/>
      <c r="FO19" s="81">
        <f>SUM(FO8:FO18)</f>
        <v>131555.424</v>
      </c>
      <c r="FP19" s="81">
        <f>SUM(FP8:FP18)</f>
        <v>7944.4365</v>
      </c>
      <c r="FQ19" s="81">
        <f>SUM(FQ8:FQ18)</f>
        <v>139499.8605</v>
      </c>
      <c r="FR19" s="81">
        <f>SUM(FR8:FR18)</f>
        <v>4899.4951005</v>
      </c>
      <c r="FS19" s="81">
        <f>SUM(FS8:FS18)</f>
        <v>292.8552627</v>
      </c>
      <c r="FT19" s="78"/>
      <c r="FU19" s="81">
        <f>SUM(FU8:FU18)</f>
        <v>296499.64800000004</v>
      </c>
      <c r="FV19" s="81">
        <f>SUM(FV8:FV18)</f>
        <v>17905.173</v>
      </c>
      <c r="FW19" s="81">
        <f>SUM(FW8:FW18)</f>
        <v>314404.82100000005</v>
      </c>
      <c r="FX19" s="81">
        <f>SUM(FX8:FX18)</f>
        <v>11042.483301</v>
      </c>
      <c r="FY19" s="81">
        <f>SUM(FY8:FY18)</f>
        <v>660.0372654</v>
      </c>
      <c r="FZ19" s="78"/>
      <c r="GA19" s="81">
        <f>SUM(GA8:GA18)</f>
        <v>37837.088</v>
      </c>
      <c r="GB19" s="81">
        <f>SUM(GB8:GB18)</f>
        <v>2284.9255000000003</v>
      </c>
      <c r="GC19" s="81">
        <f>SUM(GC8:GC18)</f>
        <v>40122.01350000001</v>
      </c>
      <c r="GD19" s="81">
        <f>SUM(GD8:GD18)</f>
        <v>1409.1598935</v>
      </c>
      <c r="GE19" s="81">
        <f>SUM(GE8:GE18)</f>
        <v>84.2290649</v>
      </c>
      <c r="GF19" s="78"/>
      <c r="GG19" s="81">
        <f>SUM(GG8:GG18)</f>
        <v>60085.632000000005</v>
      </c>
      <c r="GH19" s="81">
        <f>SUM(GH8:GH18)</f>
        <v>3628.482000000001</v>
      </c>
      <c r="GI19" s="81">
        <f>SUM(GI8:GI18)</f>
        <v>63714.11400000001</v>
      </c>
      <c r="GJ19" s="81">
        <f>SUM(GJ8:GJ18)</f>
        <v>2237.758434</v>
      </c>
      <c r="GK19" s="81">
        <f>SUM(GK8:GK18)</f>
        <v>133.7565036</v>
      </c>
      <c r="GL19" s="78"/>
      <c r="GM19" s="81">
        <f>SUM(GM8:GM18)</f>
        <v>278463.776</v>
      </c>
      <c r="GN19" s="81">
        <f>SUM(GN8:GN18)</f>
        <v>16816.0135</v>
      </c>
      <c r="GO19" s="81">
        <f>SUM(GO8:GO18)</f>
        <v>295279.7895</v>
      </c>
      <c r="GP19" s="81">
        <f>SUM(GP8:GP18)</f>
        <v>10370.7765495</v>
      </c>
      <c r="GQ19" s="81">
        <f>SUM(GQ8:GQ18)</f>
        <v>619.8876473</v>
      </c>
      <c r="GR19" s="78"/>
      <c r="GS19" s="81">
        <f>SUM(GS8:GS18)</f>
        <v>14778.687999999998</v>
      </c>
      <c r="GT19" s="81">
        <f>SUM(GT8:GT18)</f>
        <v>892.463</v>
      </c>
      <c r="GU19" s="81">
        <f>SUM(GU8:GU18)</f>
        <v>15671.150999999998</v>
      </c>
      <c r="GV19" s="81">
        <f>SUM(GV8:GV18)</f>
        <v>550.4000310000001</v>
      </c>
      <c r="GW19" s="81">
        <f>SUM(GW8:GW18)</f>
        <v>32.8988074</v>
      </c>
      <c r="GX19" s="78"/>
      <c r="GY19" s="81">
        <f>SUM(GY8:GY18)</f>
        <v>84731.77600000001</v>
      </c>
      <c r="GZ19" s="81">
        <f>SUM(GZ8:GZ18)</f>
        <v>5116.826</v>
      </c>
      <c r="HA19" s="81">
        <f>SUM(HA8:HA18)</f>
        <v>89848.60200000001</v>
      </c>
      <c r="HB19" s="81">
        <f>SUM(HB8:HB18)</f>
        <v>3155.6503620000003</v>
      </c>
      <c r="HC19" s="81">
        <f>SUM(HC8:HC18)</f>
        <v>188.62123480000002</v>
      </c>
      <c r="HD19" s="78"/>
      <c r="HE19" s="78"/>
      <c r="HF19" s="78"/>
      <c r="HG19" s="78"/>
      <c r="HH19" s="78"/>
      <c r="HI19" s="78"/>
    </row>
    <row r="20" ht="13.5" thickTop="1"/>
    <row r="33" spans="1:212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</row>
    <row r="34" spans="1:212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</row>
    <row r="35" spans="1:21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1:21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1:21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59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2011B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2011B Bond Issue</v>
      </c>
      <c r="AB2" s="33"/>
      <c r="AC2" s="33"/>
      <c r="AD2" s="33"/>
      <c r="AH2" s="33"/>
      <c r="AI2" s="45"/>
      <c r="AM2" s="43" t="str">
        <f>AA2</f>
        <v>Distribution of Debt Services after 2011B Bond Issue</v>
      </c>
      <c r="AR2"/>
      <c r="AS2"/>
      <c r="AT2"/>
      <c r="AU2" s="45"/>
      <c r="AV2"/>
      <c r="AW2"/>
      <c r="AY2" s="43" t="str">
        <f>AM2</f>
        <v>Distribution of Debt Services after 2011B Bond Issue</v>
      </c>
      <c r="BG2" s="45"/>
      <c r="BK2" s="43" t="str">
        <f>AY2</f>
        <v>Distribution of Debt Services after 2011B Bond Issue</v>
      </c>
      <c r="BS2" s="45"/>
      <c r="BW2" s="43" t="str">
        <f>BK2</f>
        <v>Distribution of Debt Services after 2011B Bond Issue</v>
      </c>
      <c r="CE2" s="45"/>
      <c r="CI2" s="43" t="str">
        <f>BW2</f>
        <v>Distribution of Debt Services after 2011B Bond Issue</v>
      </c>
      <c r="CQ2" s="45"/>
      <c r="CU2" s="43" t="str">
        <f>CI2</f>
        <v>Distribution of Debt Services after 2011B Bond Issue</v>
      </c>
      <c r="DC2" s="45"/>
      <c r="DG2" s="43" t="str">
        <f>CU2</f>
        <v>Distribution of Debt Services after 2011B Bond Issue</v>
      </c>
      <c r="DM2" s="20"/>
      <c r="DN2" s="20"/>
      <c r="DO2" s="45"/>
      <c r="DP2" s="20"/>
      <c r="DQ2" s="20"/>
      <c r="DS2" s="43" t="str">
        <f>DG2</f>
        <v>Distribution of Debt Services after 2011B Bond Issue</v>
      </c>
      <c r="EA2" s="45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172</v>
      </c>
      <c r="AB3" s="33"/>
      <c r="AC3" s="33"/>
      <c r="AD3" s="33"/>
      <c r="AF3" s="12"/>
      <c r="AH3" s="33"/>
      <c r="AI3" s="45"/>
      <c r="AM3" s="45" t="s">
        <v>172</v>
      </c>
      <c r="AR3"/>
      <c r="AS3"/>
      <c r="AT3"/>
      <c r="AU3" s="45"/>
      <c r="AV3"/>
      <c r="AW3"/>
      <c r="AY3" s="45" t="s">
        <v>172</v>
      </c>
      <c r="BG3" s="45"/>
      <c r="BK3" s="45" t="s">
        <v>172</v>
      </c>
      <c r="BS3" s="45"/>
      <c r="BW3" s="45" t="s">
        <v>172</v>
      </c>
      <c r="CE3" s="45"/>
      <c r="CI3" s="45" t="s">
        <v>172</v>
      </c>
      <c r="CQ3" s="45"/>
      <c r="CU3" s="45" t="s">
        <v>172</v>
      </c>
      <c r="DC3" s="45"/>
      <c r="DG3" s="45" t="s">
        <v>172</v>
      </c>
      <c r="DM3" s="20"/>
      <c r="DN3" s="20"/>
      <c r="DO3" s="45"/>
      <c r="DP3" s="20"/>
      <c r="DQ3" s="20"/>
      <c r="DS3" s="45" t="s">
        <v>172</v>
      </c>
      <c r="EA3" s="45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179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174</v>
      </c>
      <c r="DN5" s="83"/>
      <c r="DO5" s="84"/>
      <c r="DP5" s="85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180</v>
      </c>
      <c r="D6" s="74"/>
      <c r="E6" s="75"/>
      <c r="F6" s="41" t="s">
        <v>168</v>
      </c>
      <c r="G6" s="41" t="s">
        <v>173</v>
      </c>
      <c r="H6" s="33"/>
      <c r="I6" s="40"/>
      <c r="J6" s="67">
        <v>0.5428259</v>
      </c>
      <c r="K6" s="39"/>
      <c r="L6" s="41" t="s">
        <v>168</v>
      </c>
      <c r="M6" s="41" t="s">
        <v>173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173</v>
      </c>
      <c r="T6" s="33"/>
      <c r="U6" s="47"/>
      <c r="V6" s="32">
        <v>0.081724</v>
      </c>
      <c r="W6" s="48"/>
      <c r="X6" s="41" t="s">
        <v>168</v>
      </c>
      <c r="Y6" s="41" t="s">
        <v>173</v>
      </c>
      <c r="AA6" s="47"/>
      <c r="AB6" s="32">
        <v>0.0595646</v>
      </c>
      <c r="AC6" s="48"/>
      <c r="AD6" s="41" t="s">
        <v>168</v>
      </c>
      <c r="AE6" s="41" t="s">
        <v>173</v>
      </c>
      <c r="AG6" s="47"/>
      <c r="AH6" s="32">
        <v>0.0315804</v>
      </c>
      <c r="AI6" s="48"/>
      <c r="AJ6" s="41" t="s">
        <v>168</v>
      </c>
      <c r="AK6" s="41" t="s">
        <v>173</v>
      </c>
      <c r="AM6" s="47"/>
      <c r="AN6" s="32">
        <v>0.022968</v>
      </c>
      <c r="AO6" s="48"/>
      <c r="AP6" s="41" t="s">
        <v>168</v>
      </c>
      <c r="AQ6" s="41" t="s">
        <v>173</v>
      </c>
      <c r="AS6" s="47"/>
      <c r="AT6" s="32">
        <v>0.0026309</v>
      </c>
      <c r="AU6" s="48"/>
      <c r="AV6" s="41" t="s">
        <v>168</v>
      </c>
      <c r="AW6" s="41" t="s">
        <v>173</v>
      </c>
      <c r="AY6" s="47"/>
      <c r="AZ6" s="32">
        <v>0.0416229</v>
      </c>
      <c r="BA6" s="48"/>
      <c r="BB6" s="41" t="s">
        <v>168</v>
      </c>
      <c r="BC6" s="41" t="s">
        <v>173</v>
      </c>
      <c r="BE6" s="47"/>
      <c r="BF6" s="32">
        <v>0.0045121</v>
      </c>
      <c r="BG6" s="48"/>
      <c r="BH6" s="41" t="s">
        <v>168</v>
      </c>
      <c r="BI6" s="41" t="s">
        <v>173</v>
      </c>
      <c r="BK6" s="47"/>
      <c r="BL6" s="32">
        <v>0.0141147</v>
      </c>
      <c r="BM6" s="48"/>
      <c r="BN6" s="41" t="s">
        <v>168</v>
      </c>
      <c r="BO6" s="41" t="s">
        <v>173</v>
      </c>
      <c r="BQ6" s="47"/>
      <c r="BR6" s="32">
        <v>0.0071579</v>
      </c>
      <c r="BS6" s="48"/>
      <c r="BT6" s="41" t="s">
        <v>168</v>
      </c>
      <c r="BU6" s="41" t="s">
        <v>173</v>
      </c>
      <c r="BW6" s="47"/>
      <c r="BX6" s="32">
        <v>0.0013901</v>
      </c>
      <c r="BY6" s="48"/>
      <c r="BZ6" s="41" t="s">
        <v>168</v>
      </c>
      <c r="CA6" s="41" t="s">
        <v>173</v>
      </c>
      <c r="CC6" s="47"/>
      <c r="CD6" s="32">
        <v>0.0055234</v>
      </c>
      <c r="CE6" s="48"/>
      <c r="CF6" s="41" t="s">
        <v>168</v>
      </c>
      <c r="CG6" s="41" t="s">
        <v>173</v>
      </c>
      <c r="CI6" s="47"/>
      <c r="CJ6" s="32">
        <v>0.0134713</v>
      </c>
      <c r="CK6" s="48"/>
      <c r="CL6" s="41" t="s">
        <v>168</v>
      </c>
      <c r="CM6" s="41" t="s">
        <v>173</v>
      </c>
      <c r="CO6" s="47"/>
      <c r="CP6" s="32">
        <v>0.0301524</v>
      </c>
      <c r="CQ6" s="48"/>
      <c r="CR6" s="41" t="s">
        <v>168</v>
      </c>
      <c r="CS6" s="41" t="s">
        <v>173</v>
      </c>
      <c r="CU6" s="47"/>
      <c r="CV6" s="32">
        <v>0.0045619</v>
      </c>
      <c r="CW6" s="48"/>
      <c r="CX6" s="41" t="s">
        <v>168</v>
      </c>
      <c r="CY6" s="96" t="s">
        <v>173</v>
      </c>
      <c r="DA6" s="47"/>
      <c r="DB6" s="32">
        <v>0.0131079</v>
      </c>
      <c r="DC6" s="48"/>
      <c r="DD6" s="41" t="s">
        <v>168</v>
      </c>
      <c r="DE6" s="96" t="s">
        <v>173</v>
      </c>
      <c r="DG6" s="47"/>
      <c r="DH6" s="32">
        <v>0.0005051</v>
      </c>
      <c r="DI6" s="48"/>
      <c r="DJ6" s="41" t="s">
        <v>168</v>
      </c>
      <c r="DK6" s="96" t="s">
        <v>173</v>
      </c>
      <c r="DM6" s="86"/>
      <c r="DN6" s="87">
        <v>0.0276518</v>
      </c>
      <c r="DO6" s="88"/>
      <c r="DP6" s="85" t="s">
        <v>168</v>
      </c>
      <c r="DQ6" s="96" t="s">
        <v>173</v>
      </c>
      <c r="DS6" s="47"/>
      <c r="DT6" s="32">
        <v>0.0043534</v>
      </c>
      <c r="DU6" s="48"/>
      <c r="DV6" s="41" t="s">
        <v>168</v>
      </c>
      <c r="DW6" s="96" t="s">
        <v>173</v>
      </c>
      <c r="DY6" s="47"/>
      <c r="DZ6" s="32">
        <v>0.0224029</v>
      </c>
      <c r="EA6" s="48"/>
      <c r="EB6" s="41" t="s">
        <v>168</v>
      </c>
      <c r="EC6" s="96" t="s">
        <v>173</v>
      </c>
      <c r="EE6" s="47"/>
      <c r="EF6" s="32">
        <v>0.0063958</v>
      </c>
      <c r="EG6" s="48"/>
      <c r="EH6" s="41" t="s">
        <v>168</v>
      </c>
      <c r="EI6" s="96" t="s">
        <v>173</v>
      </c>
      <c r="EK6" s="47"/>
      <c r="EL6" s="32">
        <v>6.42E-05</v>
      </c>
      <c r="EM6" s="48"/>
      <c r="EN6" s="41" t="s">
        <v>168</v>
      </c>
      <c r="EO6" s="96" t="s">
        <v>173</v>
      </c>
      <c r="EQ6" s="47"/>
      <c r="ER6" s="32">
        <v>0.0001192</v>
      </c>
      <c r="ES6" s="48"/>
      <c r="ET6" s="41" t="s">
        <v>168</v>
      </c>
      <c r="EU6" s="96" t="s">
        <v>173</v>
      </c>
      <c r="EW6" s="47"/>
      <c r="EX6" s="32">
        <v>0.0215476</v>
      </c>
      <c r="EY6" s="48"/>
      <c r="EZ6" s="41" t="s">
        <v>168</v>
      </c>
      <c r="FA6" s="96" t="s">
        <v>173</v>
      </c>
      <c r="FC6" s="47"/>
      <c r="FD6" s="32">
        <v>0.0400516</v>
      </c>
      <c r="FE6" s="48"/>
      <c r="FF6" s="41" t="s">
        <v>168</v>
      </c>
      <c r="FG6" s="96" t="s">
        <v>173</v>
      </c>
      <c r="FI6" s="47"/>
      <c r="FJ6" s="32"/>
      <c r="FK6" s="48"/>
      <c r="FL6" s="41" t="s">
        <v>168</v>
      </c>
      <c r="FM6" s="96" t="s">
        <v>173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7" t="s">
        <v>181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181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181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181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181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181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181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181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181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181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181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181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181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181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181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181</v>
      </c>
      <c r="CU7" s="27" t="s">
        <v>11</v>
      </c>
      <c r="CV7" s="27" t="s">
        <v>12</v>
      </c>
      <c r="CW7" s="27" t="s">
        <v>4</v>
      </c>
      <c r="CX7" s="41" t="s">
        <v>169</v>
      </c>
      <c r="CY7" s="96" t="s">
        <v>181</v>
      </c>
      <c r="DA7" s="27" t="s">
        <v>11</v>
      </c>
      <c r="DB7" s="27" t="s">
        <v>12</v>
      </c>
      <c r="DC7" s="27" t="s">
        <v>4</v>
      </c>
      <c r="DD7" s="41" t="s">
        <v>169</v>
      </c>
      <c r="DE7" s="96" t="s">
        <v>181</v>
      </c>
      <c r="DG7" s="27" t="s">
        <v>11</v>
      </c>
      <c r="DH7" s="27" t="s">
        <v>12</v>
      </c>
      <c r="DI7" s="27" t="s">
        <v>4</v>
      </c>
      <c r="DJ7" s="41" t="s">
        <v>169</v>
      </c>
      <c r="DK7" s="96" t="s">
        <v>181</v>
      </c>
      <c r="DM7" s="89" t="s">
        <v>11</v>
      </c>
      <c r="DN7" s="89" t="s">
        <v>12</v>
      </c>
      <c r="DO7" s="89" t="s">
        <v>4</v>
      </c>
      <c r="DP7" s="85" t="s">
        <v>169</v>
      </c>
      <c r="DQ7" s="96" t="s">
        <v>181</v>
      </c>
      <c r="DS7" s="27" t="s">
        <v>11</v>
      </c>
      <c r="DT7" s="27" t="s">
        <v>12</v>
      </c>
      <c r="DU7" s="27" t="s">
        <v>4</v>
      </c>
      <c r="DV7" s="41" t="s">
        <v>169</v>
      </c>
      <c r="DW7" s="96" t="s">
        <v>181</v>
      </c>
      <c r="DY7" s="27" t="s">
        <v>11</v>
      </c>
      <c r="DZ7" s="27" t="s">
        <v>12</v>
      </c>
      <c r="EA7" s="27" t="s">
        <v>4</v>
      </c>
      <c r="EB7" s="41" t="s">
        <v>169</v>
      </c>
      <c r="EC7" s="96" t="s">
        <v>181</v>
      </c>
      <c r="EE7" s="27" t="s">
        <v>11</v>
      </c>
      <c r="EF7" s="27" t="s">
        <v>12</v>
      </c>
      <c r="EG7" s="27" t="s">
        <v>4</v>
      </c>
      <c r="EH7" s="41" t="s">
        <v>169</v>
      </c>
      <c r="EI7" s="96" t="s">
        <v>181</v>
      </c>
      <c r="EK7" s="27" t="s">
        <v>11</v>
      </c>
      <c r="EL7" s="27" t="s">
        <v>12</v>
      </c>
      <c r="EM7" s="27" t="s">
        <v>4</v>
      </c>
      <c r="EN7" s="41" t="s">
        <v>169</v>
      </c>
      <c r="EO7" s="96" t="s">
        <v>181</v>
      </c>
      <c r="EQ7" s="27" t="s">
        <v>11</v>
      </c>
      <c r="ER7" s="27" t="s">
        <v>12</v>
      </c>
      <c r="ES7" s="27" t="s">
        <v>4</v>
      </c>
      <c r="ET7" s="41" t="s">
        <v>169</v>
      </c>
      <c r="EU7" s="96" t="s">
        <v>181</v>
      </c>
      <c r="EW7" s="27" t="s">
        <v>11</v>
      </c>
      <c r="EX7" s="27" t="s">
        <v>12</v>
      </c>
      <c r="EY7" s="27" t="s">
        <v>4</v>
      </c>
      <c r="EZ7" s="41" t="s">
        <v>169</v>
      </c>
      <c r="FA7" s="96" t="s">
        <v>181</v>
      </c>
      <c r="FC7" s="27" t="s">
        <v>11</v>
      </c>
      <c r="FD7" s="27" t="s">
        <v>12</v>
      </c>
      <c r="FE7" s="27" t="s">
        <v>4</v>
      </c>
      <c r="FF7" s="41" t="s">
        <v>169</v>
      </c>
      <c r="FG7" s="96" t="s">
        <v>181</v>
      </c>
      <c r="FI7" s="27" t="s">
        <v>11</v>
      </c>
      <c r="FJ7" s="27" t="s">
        <v>12</v>
      </c>
      <c r="FK7" s="27" t="s">
        <v>4</v>
      </c>
      <c r="FL7" s="41" t="s">
        <v>169</v>
      </c>
      <c r="FM7" s="96" t="s">
        <v>181</v>
      </c>
    </row>
    <row r="8" spans="1:169" s="52" customFormat="1" ht="12.75">
      <c r="A8" s="51">
        <v>43739</v>
      </c>
      <c r="C8" s="42"/>
      <c r="D8" s="42">
        <v>439413</v>
      </c>
      <c r="E8" s="77">
        <f aca="true" t="shared" si="0" ref="E8:E17">C8+D8</f>
        <v>439413</v>
      </c>
      <c r="F8" s="77">
        <v>91653</v>
      </c>
      <c r="G8" s="77">
        <v>4485</v>
      </c>
      <c r="H8" s="79"/>
      <c r="I8" s="79">
        <f>'2011B Academic'!I8</f>
        <v>0</v>
      </c>
      <c r="J8" s="79">
        <f>'2011B Academic'!J8</f>
        <v>238524.7571967001</v>
      </c>
      <c r="K8" s="79">
        <f aca="true" t="shared" si="1" ref="K8:K17">I8+J8</f>
        <v>238524.7571967001</v>
      </c>
      <c r="L8" s="79">
        <f>'2011B Academic'!L8</f>
        <v>49751.6222127</v>
      </c>
      <c r="M8" s="79">
        <f>'2011B Academic'!M8</f>
        <v>2434.5741615</v>
      </c>
      <c r="N8" s="79"/>
      <c r="O8" s="78">
        <f aca="true" t="shared" si="2" ref="O8:P17">U8+AA8+AG8+AM8+AS8+AY8+BE8+BK8+BQ8+BW8+CC8+CI8+CO8+CU8+DA8+DG8+DM8+DS8+DY8+EE8+EK8+EQ8+EW8+FC8</f>
        <v>0</v>
      </c>
      <c r="P8" s="80">
        <f t="shared" si="2"/>
        <v>200888.24280329997</v>
      </c>
      <c r="Q8" s="78">
        <f aca="true" t="shared" si="3" ref="Q8:Q17">O8+P8</f>
        <v>200888.24280329997</v>
      </c>
      <c r="R8" s="78">
        <f aca="true" t="shared" si="4" ref="R8:S17">X8+AD8+AJ8+AP8+AV8+BB8+BH8+BN8+BT8+BZ8+CF8+CL8+CR8+CX8+DD8+DJ8+DP8+DV8+EB8+EH8+EN8+ET8+EZ8+FF8+FL8</f>
        <v>41901.37778729999</v>
      </c>
      <c r="S8" s="78">
        <f t="shared" si="4"/>
        <v>2050.4258385</v>
      </c>
      <c r="T8" s="79"/>
      <c r="U8" s="78"/>
      <c r="V8" s="77">
        <f aca="true" t="shared" si="5" ref="V8:V17">D8*8.1724/100</f>
        <v>35910.58801199999</v>
      </c>
      <c r="W8" s="78">
        <f aca="true" t="shared" si="6" ref="W8:W17">U8+V8</f>
        <v>35910.58801199999</v>
      </c>
      <c r="X8" s="78">
        <f aca="true" t="shared" si="7" ref="X8:X17">V$6*$F8</f>
        <v>7490.249772</v>
      </c>
      <c r="Y8" s="77">
        <f aca="true" t="shared" si="8" ref="Y8:Y17">V$6*$G8</f>
        <v>366.53214</v>
      </c>
      <c r="Z8" s="79"/>
      <c r="AA8" s="78"/>
      <c r="AB8" s="78">
        <f aca="true" t="shared" si="9" ref="AB8:AB17">D8*5.95646/100</f>
        <v>26173.4595798</v>
      </c>
      <c r="AC8" s="78">
        <f aca="true" t="shared" si="10" ref="AC8:AC17">AA8+AB8</f>
        <v>26173.4595798</v>
      </c>
      <c r="AD8" s="78">
        <f aca="true" t="shared" si="11" ref="AD8:AD17">AB$6*$F8</f>
        <v>5459.2742838</v>
      </c>
      <c r="AE8" s="77">
        <f aca="true" t="shared" si="12" ref="AE8:AE17">AB$6*$G8</f>
        <v>267.14723100000003</v>
      </c>
      <c r="AF8" s="79"/>
      <c r="AG8" s="78"/>
      <c r="AH8" s="78">
        <f aca="true" t="shared" si="13" ref="AH8:AH17">D8*3.15804/100</f>
        <v>13876.8383052</v>
      </c>
      <c r="AI8" s="78">
        <f aca="true" t="shared" si="14" ref="AI8:AI17">AG8+AH8</f>
        <v>13876.8383052</v>
      </c>
      <c r="AJ8" s="78">
        <f aca="true" t="shared" si="15" ref="AJ8:AJ17">AH$6*$F8</f>
        <v>2894.4384012</v>
      </c>
      <c r="AK8" s="77">
        <f aca="true" t="shared" si="16" ref="AK8:AK17">AH$6*$G8</f>
        <v>141.638094</v>
      </c>
      <c r="AL8" s="79"/>
      <c r="AM8" s="78"/>
      <c r="AN8" s="78">
        <f aca="true" t="shared" si="17" ref="AN8:AN17">D8*2.2968/100</f>
        <v>10092.437784000002</v>
      </c>
      <c r="AO8" s="78">
        <f aca="true" t="shared" si="18" ref="AO8:AO17">AM8+AN8</f>
        <v>10092.437784000002</v>
      </c>
      <c r="AP8" s="78">
        <f aca="true" t="shared" si="19" ref="AP8:AP17">AN$6*$F8</f>
        <v>2105.086104</v>
      </c>
      <c r="AQ8" s="77">
        <f aca="true" t="shared" si="20" ref="AQ8:AQ17">AN$6*$G8</f>
        <v>103.01147999999999</v>
      </c>
      <c r="AR8" s="79"/>
      <c r="AS8" s="78"/>
      <c r="AT8" s="78">
        <f aca="true" t="shared" si="21" ref="AT8:AT17">D8*0.26309/100</f>
        <v>1156.0516617</v>
      </c>
      <c r="AU8" s="78">
        <f aca="true" t="shared" si="22" ref="AU8:AU17">AS8+AT8</f>
        <v>1156.0516617</v>
      </c>
      <c r="AV8" s="78">
        <f aca="true" t="shared" si="23" ref="AV8:AV17">AT$6*$F8</f>
        <v>241.12987769999998</v>
      </c>
      <c r="AW8" s="77">
        <f aca="true" t="shared" si="24" ref="AW8:AW17">AT$6*$G8</f>
        <v>11.799586499999998</v>
      </c>
      <c r="AX8" s="79"/>
      <c r="AY8" s="78"/>
      <c r="AZ8" s="78">
        <f aca="true" t="shared" si="25" ref="AZ8:AZ17">D8*4.16229/100</f>
        <v>18289.6433577</v>
      </c>
      <c r="BA8" s="78">
        <f aca="true" t="shared" si="26" ref="BA8:BA17">AY8+AZ8</f>
        <v>18289.6433577</v>
      </c>
      <c r="BB8" s="78">
        <f aca="true" t="shared" si="27" ref="BB8:BB17">AZ$6*$F8</f>
        <v>3814.8636536999998</v>
      </c>
      <c r="BC8" s="77">
        <f aca="true" t="shared" si="28" ref="BC8:BC17">AZ$6*$G8</f>
        <v>186.67870649999998</v>
      </c>
      <c r="BD8" s="79"/>
      <c r="BE8" s="78"/>
      <c r="BF8" s="78">
        <f aca="true" t="shared" si="29" ref="BF8:BF17">D8*0.45121/100</f>
        <v>1982.6753973</v>
      </c>
      <c r="BG8" s="78">
        <f aca="true" t="shared" si="30" ref="BG8:BG17">BE8+BF8</f>
        <v>1982.6753973</v>
      </c>
      <c r="BH8" s="78">
        <f aca="true" t="shared" si="31" ref="BH8:BH17">BF$6*$F8</f>
        <v>413.54750129999996</v>
      </c>
      <c r="BI8" s="77">
        <f aca="true" t="shared" si="32" ref="BI8:BI17">BF$6*$G8</f>
        <v>20.2367685</v>
      </c>
      <c r="BJ8" s="79"/>
      <c r="BK8" s="78"/>
      <c r="BL8" s="78">
        <f aca="true" t="shared" si="33" ref="BL8:BL17">D8*1.41147/100</f>
        <v>6202.1826711</v>
      </c>
      <c r="BM8" s="78">
        <f aca="true" t="shared" si="34" ref="BM8:BM17">BK8+BL8</f>
        <v>6202.1826711</v>
      </c>
      <c r="BN8" s="78">
        <f aca="true" t="shared" si="35" ref="BN8:BN17">BL$6*$F8</f>
        <v>1293.6545991</v>
      </c>
      <c r="BO8" s="77">
        <f aca="true" t="shared" si="36" ref="BO8:BO17">BL$6*$G8</f>
        <v>63.304429500000005</v>
      </c>
      <c r="BP8" s="79"/>
      <c r="BQ8" s="78"/>
      <c r="BR8" s="78">
        <f aca="true" t="shared" si="37" ref="BR8:BR17">D8*0.71579/100</f>
        <v>3145.2743127</v>
      </c>
      <c r="BS8" s="78">
        <f aca="true" t="shared" si="38" ref="BS8:BS17">BQ8+BR8</f>
        <v>3145.2743127</v>
      </c>
      <c r="BT8" s="78">
        <f aca="true" t="shared" si="39" ref="BT8:BT17">BR$6*$F8</f>
        <v>656.0430087</v>
      </c>
      <c r="BU8" s="77">
        <f aca="true" t="shared" si="40" ref="BU8:BU17">BR$6*$G8</f>
        <v>32.1031815</v>
      </c>
      <c r="BV8" s="79"/>
      <c r="BW8" s="78"/>
      <c r="BX8" s="78">
        <f aca="true" t="shared" si="41" ref="BX8:BX17">D8*0.13901/100</f>
        <v>610.8280113</v>
      </c>
      <c r="BY8" s="78">
        <f aca="true" t="shared" si="42" ref="BY8:BY17">BW8+BX8</f>
        <v>610.8280113</v>
      </c>
      <c r="BZ8" s="78">
        <f aca="true" t="shared" si="43" ref="BZ8:BZ17">BX$6*$F8</f>
        <v>127.4068353</v>
      </c>
      <c r="CA8" s="77">
        <f aca="true" t="shared" si="44" ref="CA8:CA17">BX$6*$G8</f>
        <v>6.2345985</v>
      </c>
      <c r="CB8" s="79"/>
      <c r="CC8" s="78"/>
      <c r="CD8" s="78">
        <f aca="true" t="shared" si="45" ref="CD8:CD17">D8*0.55234/100</f>
        <v>2427.0537642</v>
      </c>
      <c r="CE8" s="78">
        <f aca="true" t="shared" si="46" ref="CE8:CE17">CC8+CD8</f>
        <v>2427.0537642</v>
      </c>
      <c r="CF8" s="78">
        <f aca="true" t="shared" si="47" ref="CF8:CF17">CD$6*$F8</f>
        <v>506.23618020000004</v>
      </c>
      <c r="CG8" s="77">
        <f aca="true" t="shared" si="48" ref="CG8:CG17">CD$6*$G8</f>
        <v>24.772449</v>
      </c>
      <c r="CH8" s="79"/>
      <c r="CI8" s="78"/>
      <c r="CJ8" s="78">
        <f aca="true" t="shared" si="49" ref="CJ8:CJ17">D8*1.34713/100</f>
        <v>5919.4643469</v>
      </c>
      <c r="CK8" s="78">
        <f aca="true" t="shared" si="50" ref="CK8:CK17">CI8+CJ8</f>
        <v>5919.4643469</v>
      </c>
      <c r="CL8" s="78">
        <f aca="true" t="shared" si="51" ref="CL8:CL17">CJ$6*$F8</f>
        <v>1234.6850589</v>
      </c>
      <c r="CM8" s="77">
        <f aca="true" t="shared" si="52" ref="CM8:CM17">CJ$6*$G8</f>
        <v>60.418780500000004</v>
      </c>
      <c r="CN8" s="79"/>
      <c r="CO8" s="78"/>
      <c r="CP8" s="78">
        <f aca="true" t="shared" si="53" ref="CP8:CP17">D8*3.01524/100</f>
        <v>13249.3565412</v>
      </c>
      <c r="CQ8" s="78">
        <f aca="true" t="shared" si="54" ref="CQ8:CQ17">CO8+CP8</f>
        <v>13249.3565412</v>
      </c>
      <c r="CR8" s="78">
        <f aca="true" t="shared" si="55" ref="CR8:CR17">CP$6*$F8</f>
        <v>2763.5579172</v>
      </c>
      <c r="CS8" s="77">
        <f aca="true" t="shared" si="56" ref="CS8:CS17">CP$6*$G8</f>
        <v>135.23351399999999</v>
      </c>
      <c r="CT8" s="79"/>
      <c r="CU8" s="78"/>
      <c r="CV8" s="78">
        <f aca="true" t="shared" si="57" ref="CV8:CV17">D8*0.45619/100</f>
        <v>2004.5581647</v>
      </c>
      <c r="CW8" s="78">
        <f aca="true" t="shared" si="58" ref="CW8:CW17">CU8+CV8</f>
        <v>2004.5581647</v>
      </c>
      <c r="CX8" s="78">
        <f aca="true" t="shared" si="59" ref="CX8:CX17">CV$6*$F8</f>
        <v>418.1118207</v>
      </c>
      <c r="CY8" s="77">
        <f aca="true" t="shared" si="60" ref="CY8:CY17">CV$6*$G8</f>
        <v>20.4601215</v>
      </c>
      <c r="CZ8" s="79"/>
      <c r="DA8" s="78"/>
      <c r="DB8" s="78">
        <f aca="true" t="shared" si="61" ref="DB8:DB17">D8*1.31079/100</f>
        <v>5759.781662699999</v>
      </c>
      <c r="DC8" s="78">
        <f aca="true" t="shared" si="62" ref="DC8:DC17">DA8+DB8</f>
        <v>5759.781662699999</v>
      </c>
      <c r="DD8" s="78">
        <f aca="true" t="shared" si="63" ref="DD8:DD17">DB$6*$F8</f>
        <v>1201.3783587</v>
      </c>
      <c r="DE8" s="77">
        <f aca="true" t="shared" si="64" ref="DE8:DE17">DB$6*$G8</f>
        <v>58.788931500000004</v>
      </c>
      <c r="DF8" s="79"/>
      <c r="DG8" s="78"/>
      <c r="DH8" s="78">
        <f aca="true" t="shared" si="65" ref="DH8:DH17">D8*0.05051/100</f>
        <v>221.9475063</v>
      </c>
      <c r="DI8" s="78">
        <f aca="true" t="shared" si="66" ref="DI8:DI17">DG8+DH8</f>
        <v>221.9475063</v>
      </c>
      <c r="DJ8" s="78">
        <f aca="true" t="shared" si="67" ref="DJ8:DJ17">DH$6*$F8</f>
        <v>46.2939303</v>
      </c>
      <c r="DK8" s="77">
        <f aca="true" t="shared" si="68" ref="DK8:DK17">DH$6*$G8</f>
        <v>2.2653735</v>
      </c>
      <c r="DL8" s="79"/>
      <c r="DM8" s="90"/>
      <c r="DN8" s="90">
        <f aca="true" t="shared" si="69" ref="DN8:DN17">D8*2.76518/100</f>
        <v>12150.5603934</v>
      </c>
      <c r="DO8" s="90">
        <f aca="true" t="shared" si="70" ref="DO8:DO17">DM8+DN8</f>
        <v>12150.5603934</v>
      </c>
      <c r="DP8" s="90">
        <f aca="true" t="shared" si="71" ref="DP8:DP17">DN$6*$F8</f>
        <v>2534.3704254</v>
      </c>
      <c r="DQ8" s="92">
        <f aca="true" t="shared" si="72" ref="DQ8:DQ17">DN$6*$G8</f>
        <v>124.01832300000001</v>
      </c>
      <c r="DR8" s="79"/>
      <c r="DS8" s="78"/>
      <c r="DT8" s="78">
        <f aca="true" t="shared" si="73" ref="DT8:DT17">D8*0.43534/100</f>
        <v>1912.9405542</v>
      </c>
      <c r="DU8" s="78">
        <f aca="true" t="shared" si="74" ref="DU8:DU17">DS8+DT8</f>
        <v>1912.9405542</v>
      </c>
      <c r="DV8" s="78">
        <f aca="true" t="shared" si="75" ref="DV8:DV17">DT$6*$F8</f>
        <v>399.0021702</v>
      </c>
      <c r="DW8" s="77">
        <f aca="true" t="shared" si="76" ref="DW8:DW17">DT$6*$G8</f>
        <v>19.524999</v>
      </c>
      <c r="DX8" s="79"/>
      <c r="DY8" s="78"/>
      <c r="DZ8" s="78">
        <f aca="true" t="shared" si="77" ref="DZ8:DZ17">D8*2.24029/100</f>
        <v>9844.125497699999</v>
      </c>
      <c r="EA8" s="78">
        <f aca="true" t="shared" si="78" ref="EA8:EA17">DY8+DZ8</f>
        <v>9844.125497699999</v>
      </c>
      <c r="EB8" s="78">
        <f aca="true" t="shared" si="79" ref="EB8:EB17">DZ$6*$F8</f>
        <v>2053.2929937</v>
      </c>
      <c r="EC8" s="77">
        <f aca="true" t="shared" si="80" ref="EC8:EC17">DZ$6*$G8</f>
        <v>100.4770065</v>
      </c>
      <c r="ED8" s="79"/>
      <c r="EE8" s="78"/>
      <c r="EF8" s="78">
        <f aca="true" t="shared" si="81" ref="EF8:EF17">D8*0.63958/100</f>
        <v>2810.3976654000003</v>
      </c>
      <c r="EG8" s="78">
        <f aca="true" t="shared" si="82" ref="EG8:EG17">EE8+EF8</f>
        <v>2810.3976654000003</v>
      </c>
      <c r="EH8" s="78">
        <f aca="true" t="shared" si="83" ref="EH8:EH17">EF$6*$F8</f>
        <v>586.1942574</v>
      </c>
      <c r="EI8" s="77">
        <f aca="true" t="shared" si="84" ref="EI8:EI17">EF$6*$G8</f>
        <v>28.685163</v>
      </c>
      <c r="EJ8" s="79"/>
      <c r="EK8" s="78"/>
      <c r="EL8" s="78">
        <f aca="true" t="shared" si="85" ref="EL8:EL17">D8*0.00642/100</f>
        <v>28.2103146</v>
      </c>
      <c r="EM8" s="78">
        <f aca="true" t="shared" si="86" ref="EM8:EM17">EK8+EL8</f>
        <v>28.2103146</v>
      </c>
      <c r="EN8" s="78">
        <f aca="true" t="shared" si="87" ref="EN8:EN17">EL$6*$F8</f>
        <v>5.8841226</v>
      </c>
      <c r="EO8" s="77">
        <f aca="true" t="shared" si="88" ref="EO8:EO17">EL$6*$G8</f>
        <v>0.287937</v>
      </c>
      <c r="EP8" s="79"/>
      <c r="EQ8" s="78"/>
      <c r="ER8" s="78">
        <f aca="true" t="shared" si="89" ref="ER8:ER17">D8*0.01192/100</f>
        <v>52.3780296</v>
      </c>
      <c r="ES8" s="78">
        <f aca="true" t="shared" si="90" ref="ES8:ES17">EQ8+ER8</f>
        <v>52.3780296</v>
      </c>
      <c r="ET8" s="78">
        <f aca="true" t="shared" si="91" ref="ET8:ET17">ER$6*$F8</f>
        <v>10.9250376</v>
      </c>
      <c r="EU8" s="77">
        <f aca="true" t="shared" si="92" ref="EU8:EU17">ER$6*$G8</f>
        <v>0.534612</v>
      </c>
      <c r="EV8" s="79"/>
      <c r="EW8" s="78"/>
      <c r="EX8" s="78">
        <f aca="true" t="shared" si="93" ref="EX8:EX17">D8*2.15476/100</f>
        <v>9468.2955588</v>
      </c>
      <c r="EY8" s="78">
        <f aca="true" t="shared" si="94" ref="EY8:EY17">EW8+EX8</f>
        <v>9468.2955588</v>
      </c>
      <c r="EZ8" s="78">
        <f aca="true" t="shared" si="95" ref="EZ8:EZ17">EX$6*$F8</f>
        <v>1974.9021828</v>
      </c>
      <c r="FA8" s="77">
        <f aca="true" t="shared" si="96" ref="FA8:FA17">EX$6*$G8</f>
        <v>96.640986</v>
      </c>
      <c r="FB8" s="79"/>
      <c r="FC8" s="78"/>
      <c r="FD8" s="78">
        <f aca="true" t="shared" si="97" ref="FD8:FD17">D8*4.00516/100</f>
        <v>17599.1937108</v>
      </c>
      <c r="FE8" s="78">
        <f aca="true" t="shared" si="98" ref="FE8:FE17">FC8+FD8</f>
        <v>17599.1937108</v>
      </c>
      <c r="FF8" s="78">
        <f aca="true" t="shared" si="99" ref="FF8:FF17">FD$6*$F8</f>
        <v>3670.8492948</v>
      </c>
      <c r="FG8" s="77">
        <f aca="true" t="shared" si="100" ref="FG8:FG17">FD$6*$G8</f>
        <v>179.631426</v>
      </c>
      <c r="FH8" s="79"/>
      <c r="FI8" s="80"/>
      <c r="FJ8" s="78"/>
      <c r="FK8" s="78"/>
      <c r="FL8" s="78"/>
      <c r="FM8" s="77">
        <f aca="true" t="shared" si="101" ref="FM8:FM17">FJ$6*$G8</f>
        <v>0</v>
      </c>
    </row>
    <row r="9" spans="1:169" s="52" customFormat="1" ht="12.75">
      <c r="A9" s="51">
        <v>43922</v>
      </c>
      <c r="C9" s="42">
        <v>5000</v>
      </c>
      <c r="D9" s="42">
        <v>439413</v>
      </c>
      <c r="E9" s="77">
        <f t="shared" si="0"/>
        <v>444413</v>
      </c>
      <c r="F9" s="77">
        <v>91653</v>
      </c>
      <c r="G9" s="77">
        <v>4485</v>
      </c>
      <c r="H9" s="79"/>
      <c r="I9" s="79">
        <f>'2011B Academic'!I9</f>
        <v>2714.1295</v>
      </c>
      <c r="J9" s="79">
        <f>'2011B Academic'!J9</f>
        <v>238524.7571967001</v>
      </c>
      <c r="K9" s="79">
        <f t="shared" si="1"/>
        <v>241238.88669670012</v>
      </c>
      <c r="L9" s="79">
        <f>'2011B Academic'!L9</f>
        <v>49751.6222127</v>
      </c>
      <c r="M9" s="79">
        <f>'2011B Academic'!M9</f>
        <v>2434.5741615</v>
      </c>
      <c r="N9" s="79"/>
      <c r="O9" s="78">
        <f t="shared" si="2"/>
        <v>2285.8705</v>
      </c>
      <c r="P9" s="80">
        <f t="shared" si="2"/>
        <v>200888.24280329997</v>
      </c>
      <c r="Q9" s="78">
        <f t="shared" si="3"/>
        <v>203174.11330329996</v>
      </c>
      <c r="R9" s="78">
        <f t="shared" si="4"/>
        <v>41901.37778729999</v>
      </c>
      <c r="S9" s="78">
        <f t="shared" si="4"/>
        <v>2050.4258385</v>
      </c>
      <c r="T9" s="79"/>
      <c r="U9" s="78">
        <f aca="true" t="shared" si="102" ref="U9:U17">C9*8.1724/100</f>
        <v>408.62</v>
      </c>
      <c r="V9" s="77">
        <f t="shared" si="5"/>
        <v>35910.58801199999</v>
      </c>
      <c r="W9" s="78">
        <f t="shared" si="6"/>
        <v>36319.208011999996</v>
      </c>
      <c r="X9" s="78">
        <f t="shared" si="7"/>
        <v>7490.249772</v>
      </c>
      <c r="Y9" s="77">
        <f t="shared" si="8"/>
        <v>366.53214</v>
      </c>
      <c r="Z9" s="79"/>
      <c r="AA9" s="78">
        <f aca="true" t="shared" si="103" ref="AA9:AA17">C9*5.95646/100</f>
        <v>297.823</v>
      </c>
      <c r="AB9" s="78">
        <f t="shared" si="9"/>
        <v>26173.4595798</v>
      </c>
      <c r="AC9" s="78">
        <f t="shared" si="10"/>
        <v>26471.2825798</v>
      </c>
      <c r="AD9" s="78">
        <f t="shared" si="11"/>
        <v>5459.2742838</v>
      </c>
      <c r="AE9" s="77">
        <f t="shared" si="12"/>
        <v>267.14723100000003</v>
      </c>
      <c r="AF9" s="79"/>
      <c r="AG9" s="78">
        <f aca="true" t="shared" si="104" ref="AG9:AG17">C9*3.15804/100</f>
        <v>157.90200000000002</v>
      </c>
      <c r="AH9" s="78">
        <f t="shared" si="13"/>
        <v>13876.8383052</v>
      </c>
      <c r="AI9" s="78">
        <f t="shared" si="14"/>
        <v>14034.7403052</v>
      </c>
      <c r="AJ9" s="78">
        <f t="shared" si="15"/>
        <v>2894.4384012</v>
      </c>
      <c r="AK9" s="77">
        <f t="shared" si="16"/>
        <v>141.638094</v>
      </c>
      <c r="AL9" s="79"/>
      <c r="AM9" s="78">
        <f aca="true" t="shared" si="105" ref="AM9:AM17">C9*2.2968/100</f>
        <v>114.84</v>
      </c>
      <c r="AN9" s="78">
        <f t="shared" si="17"/>
        <v>10092.437784000002</v>
      </c>
      <c r="AO9" s="78">
        <f t="shared" si="18"/>
        <v>10207.277784000002</v>
      </c>
      <c r="AP9" s="78">
        <f t="shared" si="19"/>
        <v>2105.086104</v>
      </c>
      <c r="AQ9" s="77">
        <f t="shared" si="20"/>
        <v>103.01147999999999</v>
      </c>
      <c r="AR9" s="79"/>
      <c r="AS9" s="78">
        <f aca="true" t="shared" si="106" ref="AS9:AS17">C9*0.26309/100</f>
        <v>13.1545</v>
      </c>
      <c r="AT9" s="78">
        <f t="shared" si="21"/>
        <v>1156.0516617</v>
      </c>
      <c r="AU9" s="78">
        <f t="shared" si="22"/>
        <v>1169.2061617000002</v>
      </c>
      <c r="AV9" s="78">
        <f t="shared" si="23"/>
        <v>241.12987769999998</v>
      </c>
      <c r="AW9" s="77">
        <f t="shared" si="24"/>
        <v>11.799586499999998</v>
      </c>
      <c r="AX9" s="79"/>
      <c r="AY9" s="78">
        <f aca="true" t="shared" si="107" ref="AY9:AY17">C9*4.16229/100</f>
        <v>208.11449999999996</v>
      </c>
      <c r="AZ9" s="78">
        <f t="shared" si="25"/>
        <v>18289.6433577</v>
      </c>
      <c r="BA9" s="78">
        <f t="shared" si="26"/>
        <v>18497.7578577</v>
      </c>
      <c r="BB9" s="78">
        <f t="shared" si="27"/>
        <v>3814.8636536999998</v>
      </c>
      <c r="BC9" s="77">
        <f t="shared" si="28"/>
        <v>186.67870649999998</v>
      </c>
      <c r="BD9" s="79"/>
      <c r="BE9" s="78">
        <f aca="true" t="shared" si="108" ref="BE9:BE17">C9*0.45121/100</f>
        <v>22.5605</v>
      </c>
      <c r="BF9" s="78">
        <f t="shared" si="29"/>
        <v>1982.6753973</v>
      </c>
      <c r="BG9" s="78">
        <f t="shared" si="30"/>
        <v>2005.2358973</v>
      </c>
      <c r="BH9" s="78">
        <f t="shared" si="31"/>
        <v>413.54750129999996</v>
      </c>
      <c r="BI9" s="77">
        <f t="shared" si="32"/>
        <v>20.2367685</v>
      </c>
      <c r="BJ9" s="79"/>
      <c r="BK9" s="78">
        <f aca="true" t="shared" si="109" ref="BK9:BK17">C9*1.41147/100</f>
        <v>70.57350000000001</v>
      </c>
      <c r="BL9" s="78">
        <f t="shared" si="33"/>
        <v>6202.1826711</v>
      </c>
      <c r="BM9" s="78">
        <f t="shared" si="34"/>
        <v>6272.756171100001</v>
      </c>
      <c r="BN9" s="78">
        <f t="shared" si="35"/>
        <v>1293.6545991</v>
      </c>
      <c r="BO9" s="77">
        <f t="shared" si="36"/>
        <v>63.304429500000005</v>
      </c>
      <c r="BP9" s="79"/>
      <c r="BQ9" s="78">
        <f aca="true" t="shared" si="110" ref="BQ9:BQ17">C9*0.71579/100</f>
        <v>35.789500000000004</v>
      </c>
      <c r="BR9" s="78">
        <f t="shared" si="37"/>
        <v>3145.2743127</v>
      </c>
      <c r="BS9" s="78">
        <f t="shared" si="38"/>
        <v>3181.0638126999997</v>
      </c>
      <c r="BT9" s="78">
        <f t="shared" si="39"/>
        <v>656.0430087</v>
      </c>
      <c r="BU9" s="77">
        <f t="shared" si="40"/>
        <v>32.1031815</v>
      </c>
      <c r="BV9" s="79"/>
      <c r="BW9" s="78">
        <f aca="true" t="shared" si="111" ref="BW9:BW17">C9*0.13901/100</f>
        <v>6.9505</v>
      </c>
      <c r="BX9" s="78">
        <f t="shared" si="41"/>
        <v>610.8280113</v>
      </c>
      <c r="BY9" s="78">
        <f t="shared" si="42"/>
        <v>617.7785113</v>
      </c>
      <c r="BZ9" s="78">
        <f t="shared" si="43"/>
        <v>127.4068353</v>
      </c>
      <c r="CA9" s="77">
        <f t="shared" si="44"/>
        <v>6.2345985</v>
      </c>
      <c r="CB9" s="79"/>
      <c r="CC9" s="78">
        <f aca="true" t="shared" si="112" ref="CC9:CC17">C9*0.55234/100</f>
        <v>27.617000000000004</v>
      </c>
      <c r="CD9" s="78">
        <f t="shared" si="45"/>
        <v>2427.0537642</v>
      </c>
      <c r="CE9" s="78">
        <f t="shared" si="46"/>
        <v>2454.6707642</v>
      </c>
      <c r="CF9" s="78">
        <f t="shared" si="47"/>
        <v>506.23618020000004</v>
      </c>
      <c r="CG9" s="77">
        <f t="shared" si="48"/>
        <v>24.772449</v>
      </c>
      <c r="CH9" s="79"/>
      <c r="CI9" s="78">
        <f aca="true" t="shared" si="113" ref="CI9:CI17">C9*1.34713/100</f>
        <v>67.3565</v>
      </c>
      <c r="CJ9" s="78">
        <f t="shared" si="49"/>
        <v>5919.4643469</v>
      </c>
      <c r="CK9" s="78">
        <f t="shared" si="50"/>
        <v>5986.8208469</v>
      </c>
      <c r="CL9" s="78">
        <f t="shared" si="51"/>
        <v>1234.6850589</v>
      </c>
      <c r="CM9" s="77">
        <f t="shared" si="52"/>
        <v>60.418780500000004</v>
      </c>
      <c r="CN9" s="79"/>
      <c r="CO9" s="78">
        <f aca="true" t="shared" si="114" ref="CO9:CO17">C9*3.01524/100</f>
        <v>150.762</v>
      </c>
      <c r="CP9" s="78">
        <f t="shared" si="53"/>
        <v>13249.3565412</v>
      </c>
      <c r="CQ9" s="78">
        <f t="shared" si="54"/>
        <v>13400.118541200001</v>
      </c>
      <c r="CR9" s="78">
        <f t="shared" si="55"/>
        <v>2763.5579172</v>
      </c>
      <c r="CS9" s="77">
        <f t="shared" si="56"/>
        <v>135.23351399999999</v>
      </c>
      <c r="CT9" s="79"/>
      <c r="CU9" s="78">
        <f aca="true" t="shared" si="115" ref="CU9:CU17">C9*0.45619/100</f>
        <v>22.8095</v>
      </c>
      <c r="CV9" s="78">
        <f t="shared" si="57"/>
        <v>2004.5581647</v>
      </c>
      <c r="CW9" s="78">
        <f t="shared" si="58"/>
        <v>2027.3676647</v>
      </c>
      <c r="CX9" s="78">
        <f t="shared" si="59"/>
        <v>418.1118207</v>
      </c>
      <c r="CY9" s="77">
        <f t="shared" si="60"/>
        <v>20.4601215</v>
      </c>
      <c r="CZ9" s="79"/>
      <c r="DA9" s="78">
        <f aca="true" t="shared" si="116" ref="DA9:DA17">C9*1.31079/100</f>
        <v>65.5395</v>
      </c>
      <c r="DB9" s="78">
        <f t="shared" si="61"/>
        <v>5759.781662699999</v>
      </c>
      <c r="DC9" s="78">
        <f t="shared" si="62"/>
        <v>5825.321162699999</v>
      </c>
      <c r="DD9" s="78">
        <f t="shared" si="63"/>
        <v>1201.3783587</v>
      </c>
      <c r="DE9" s="77">
        <f t="shared" si="64"/>
        <v>58.788931500000004</v>
      </c>
      <c r="DF9" s="79"/>
      <c r="DG9" s="78">
        <f aca="true" t="shared" si="117" ref="DG9:DG17">C9*0.05051/100</f>
        <v>2.5254999999999996</v>
      </c>
      <c r="DH9" s="78">
        <f t="shared" si="65"/>
        <v>221.9475063</v>
      </c>
      <c r="DI9" s="78">
        <f t="shared" si="66"/>
        <v>224.47300629999998</v>
      </c>
      <c r="DJ9" s="78">
        <f t="shared" si="67"/>
        <v>46.2939303</v>
      </c>
      <c r="DK9" s="77">
        <f t="shared" si="68"/>
        <v>2.2653735</v>
      </c>
      <c r="DL9" s="79"/>
      <c r="DM9" s="90">
        <f aca="true" t="shared" si="118" ref="DM9:DM17">C9*2.76518/100</f>
        <v>138.259</v>
      </c>
      <c r="DN9" s="90">
        <f t="shared" si="69"/>
        <v>12150.5603934</v>
      </c>
      <c r="DO9" s="90">
        <f t="shared" si="70"/>
        <v>12288.8193934</v>
      </c>
      <c r="DP9" s="90">
        <f t="shared" si="71"/>
        <v>2534.3704254</v>
      </c>
      <c r="DQ9" s="92">
        <f t="shared" si="72"/>
        <v>124.01832300000001</v>
      </c>
      <c r="DR9" s="79"/>
      <c r="DS9" s="78">
        <f aca="true" t="shared" si="119" ref="DS9:DS17">C9*0.43534/100</f>
        <v>21.767</v>
      </c>
      <c r="DT9" s="78">
        <f t="shared" si="73"/>
        <v>1912.9405542</v>
      </c>
      <c r="DU9" s="78">
        <f t="shared" si="74"/>
        <v>1934.7075542</v>
      </c>
      <c r="DV9" s="78">
        <f t="shared" si="75"/>
        <v>399.0021702</v>
      </c>
      <c r="DW9" s="77">
        <f t="shared" si="76"/>
        <v>19.524999</v>
      </c>
      <c r="DX9" s="79"/>
      <c r="DY9" s="78">
        <f aca="true" t="shared" si="120" ref="DY9:DY17">C9*2.24029/100</f>
        <v>112.01449999999998</v>
      </c>
      <c r="DZ9" s="78">
        <f t="shared" si="77"/>
        <v>9844.125497699999</v>
      </c>
      <c r="EA9" s="78">
        <f t="shared" si="78"/>
        <v>9956.139997699998</v>
      </c>
      <c r="EB9" s="78">
        <f t="shared" si="79"/>
        <v>2053.2929937</v>
      </c>
      <c r="EC9" s="77">
        <f t="shared" si="80"/>
        <v>100.4770065</v>
      </c>
      <c r="ED9" s="79"/>
      <c r="EE9" s="78">
        <f aca="true" t="shared" si="121" ref="EE9:EE17">C9*0.63958/100</f>
        <v>31.979</v>
      </c>
      <c r="EF9" s="78">
        <f t="shared" si="81"/>
        <v>2810.3976654000003</v>
      </c>
      <c r="EG9" s="78">
        <f t="shared" si="82"/>
        <v>2842.3766654</v>
      </c>
      <c r="EH9" s="78">
        <f t="shared" si="83"/>
        <v>586.1942574</v>
      </c>
      <c r="EI9" s="77">
        <f t="shared" si="84"/>
        <v>28.685163</v>
      </c>
      <c r="EJ9" s="79"/>
      <c r="EK9" s="78">
        <f aca="true" t="shared" si="122" ref="EK9:EK17">C9*0.00642/100</f>
        <v>0.321</v>
      </c>
      <c r="EL9" s="78">
        <f t="shared" si="85"/>
        <v>28.2103146</v>
      </c>
      <c r="EM9" s="78">
        <f t="shared" si="86"/>
        <v>28.5313146</v>
      </c>
      <c r="EN9" s="78">
        <f t="shared" si="87"/>
        <v>5.8841226</v>
      </c>
      <c r="EO9" s="77">
        <f t="shared" si="88"/>
        <v>0.287937</v>
      </c>
      <c r="EP9" s="79"/>
      <c r="EQ9" s="78">
        <f aca="true" t="shared" si="123" ref="EQ9:EQ17">C9*0.01192/100</f>
        <v>0.596</v>
      </c>
      <c r="ER9" s="78">
        <f t="shared" si="89"/>
        <v>52.3780296</v>
      </c>
      <c r="ES9" s="78">
        <f t="shared" si="90"/>
        <v>52.974029599999994</v>
      </c>
      <c r="ET9" s="78">
        <f t="shared" si="91"/>
        <v>10.9250376</v>
      </c>
      <c r="EU9" s="77">
        <f t="shared" si="92"/>
        <v>0.534612</v>
      </c>
      <c r="EV9" s="79"/>
      <c r="EW9" s="78">
        <f aca="true" t="shared" si="124" ref="EW9:EW17">C9*2.15476/100</f>
        <v>107.738</v>
      </c>
      <c r="EX9" s="78">
        <f t="shared" si="93"/>
        <v>9468.2955588</v>
      </c>
      <c r="EY9" s="78">
        <f t="shared" si="94"/>
        <v>9576.0335588</v>
      </c>
      <c r="EZ9" s="78">
        <f t="shared" si="95"/>
        <v>1974.9021828</v>
      </c>
      <c r="FA9" s="77">
        <f t="shared" si="96"/>
        <v>96.640986</v>
      </c>
      <c r="FB9" s="79"/>
      <c r="FC9" s="78">
        <f aca="true" t="shared" si="125" ref="FC9:FC17">C9*4.00516/100</f>
        <v>200.25799999999998</v>
      </c>
      <c r="FD9" s="78">
        <f t="shared" si="97"/>
        <v>17599.1937108</v>
      </c>
      <c r="FE9" s="78">
        <f t="shared" si="98"/>
        <v>17799.4517108</v>
      </c>
      <c r="FF9" s="78">
        <f t="shared" si="99"/>
        <v>3670.8492948</v>
      </c>
      <c r="FG9" s="77">
        <f t="shared" si="100"/>
        <v>179.631426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>
      <c r="A10" s="51">
        <v>44105</v>
      </c>
      <c r="C10" s="42"/>
      <c r="D10" s="42">
        <v>439338</v>
      </c>
      <c r="E10" s="77">
        <f t="shared" si="0"/>
        <v>439338</v>
      </c>
      <c r="F10" s="77">
        <v>91653</v>
      </c>
      <c r="G10" s="77">
        <v>4485</v>
      </c>
      <c r="H10" s="79"/>
      <c r="I10" s="79">
        <f>'2011B Academic'!I10</f>
        <v>0</v>
      </c>
      <c r="J10" s="79">
        <f>'2011B Academic'!J10</f>
        <v>238484.04525420006</v>
      </c>
      <c r="K10" s="79">
        <f t="shared" si="1"/>
        <v>238484.04525420006</v>
      </c>
      <c r="L10" s="79">
        <f>'2011B Academic'!L10</f>
        <v>49751.6222127</v>
      </c>
      <c r="M10" s="79">
        <f>'2011B Academic'!M10</f>
        <v>2434.5741615</v>
      </c>
      <c r="N10" s="79"/>
      <c r="O10" s="78">
        <f t="shared" si="2"/>
        <v>0</v>
      </c>
      <c r="P10" s="80">
        <f t="shared" si="2"/>
        <v>200853.95474579997</v>
      </c>
      <c r="Q10" s="78">
        <f t="shared" si="3"/>
        <v>200853.95474579997</v>
      </c>
      <c r="R10" s="78">
        <f t="shared" si="4"/>
        <v>41901.37778729999</v>
      </c>
      <c r="S10" s="78">
        <f t="shared" si="4"/>
        <v>2050.4258385</v>
      </c>
      <c r="T10" s="79"/>
      <c r="U10" s="78"/>
      <c r="V10" s="77">
        <f t="shared" si="5"/>
        <v>35904.458712</v>
      </c>
      <c r="W10" s="78">
        <f t="shared" si="6"/>
        <v>35904.458712</v>
      </c>
      <c r="X10" s="78">
        <f t="shared" si="7"/>
        <v>7490.249772</v>
      </c>
      <c r="Y10" s="77">
        <f t="shared" si="8"/>
        <v>366.53214</v>
      </c>
      <c r="Z10" s="79"/>
      <c r="AA10" s="78"/>
      <c r="AB10" s="78">
        <f t="shared" si="9"/>
        <v>26168.9922348</v>
      </c>
      <c r="AC10" s="78">
        <f t="shared" si="10"/>
        <v>26168.9922348</v>
      </c>
      <c r="AD10" s="78">
        <f t="shared" si="11"/>
        <v>5459.2742838</v>
      </c>
      <c r="AE10" s="77">
        <f t="shared" si="12"/>
        <v>267.14723100000003</v>
      </c>
      <c r="AF10" s="79"/>
      <c r="AG10" s="78"/>
      <c r="AH10" s="78">
        <f t="shared" si="13"/>
        <v>13874.469775200001</v>
      </c>
      <c r="AI10" s="78">
        <f t="shared" si="14"/>
        <v>13874.469775200001</v>
      </c>
      <c r="AJ10" s="78">
        <f t="shared" si="15"/>
        <v>2894.4384012</v>
      </c>
      <c r="AK10" s="77">
        <f t="shared" si="16"/>
        <v>141.638094</v>
      </c>
      <c r="AL10" s="79"/>
      <c r="AM10" s="78"/>
      <c r="AN10" s="78">
        <f t="shared" si="17"/>
        <v>10090.715184</v>
      </c>
      <c r="AO10" s="78">
        <f t="shared" si="18"/>
        <v>10090.715184</v>
      </c>
      <c r="AP10" s="78">
        <f t="shared" si="19"/>
        <v>2105.086104</v>
      </c>
      <c r="AQ10" s="77">
        <f t="shared" si="20"/>
        <v>103.01147999999999</v>
      </c>
      <c r="AR10" s="79"/>
      <c r="AS10" s="78"/>
      <c r="AT10" s="78">
        <f t="shared" si="21"/>
        <v>1155.8543442</v>
      </c>
      <c r="AU10" s="78">
        <f t="shared" si="22"/>
        <v>1155.8543442</v>
      </c>
      <c r="AV10" s="78">
        <f t="shared" si="23"/>
        <v>241.12987769999998</v>
      </c>
      <c r="AW10" s="77">
        <f t="shared" si="24"/>
        <v>11.799586499999998</v>
      </c>
      <c r="AX10" s="79"/>
      <c r="AY10" s="78"/>
      <c r="AZ10" s="78">
        <f t="shared" si="25"/>
        <v>18286.521640199997</v>
      </c>
      <c r="BA10" s="78">
        <f t="shared" si="26"/>
        <v>18286.521640199997</v>
      </c>
      <c r="BB10" s="78">
        <f t="shared" si="27"/>
        <v>3814.8636536999998</v>
      </c>
      <c r="BC10" s="77">
        <f t="shared" si="28"/>
        <v>186.67870649999998</v>
      </c>
      <c r="BD10" s="79"/>
      <c r="BE10" s="78"/>
      <c r="BF10" s="78">
        <f t="shared" si="29"/>
        <v>1982.3369897999999</v>
      </c>
      <c r="BG10" s="78">
        <f t="shared" si="30"/>
        <v>1982.3369897999999</v>
      </c>
      <c r="BH10" s="78">
        <f t="shared" si="31"/>
        <v>413.54750129999996</v>
      </c>
      <c r="BI10" s="77">
        <f t="shared" si="32"/>
        <v>20.2367685</v>
      </c>
      <c r="BJ10" s="79"/>
      <c r="BK10" s="78"/>
      <c r="BL10" s="78">
        <f t="shared" si="33"/>
        <v>6201.1240686</v>
      </c>
      <c r="BM10" s="78">
        <f t="shared" si="34"/>
        <v>6201.1240686</v>
      </c>
      <c r="BN10" s="78">
        <f t="shared" si="35"/>
        <v>1293.6545991</v>
      </c>
      <c r="BO10" s="77">
        <f t="shared" si="36"/>
        <v>63.304429500000005</v>
      </c>
      <c r="BP10" s="79"/>
      <c r="BQ10" s="78"/>
      <c r="BR10" s="78">
        <f t="shared" si="37"/>
        <v>3144.7374702</v>
      </c>
      <c r="BS10" s="78">
        <f t="shared" si="38"/>
        <v>3144.7374702</v>
      </c>
      <c r="BT10" s="78">
        <f t="shared" si="39"/>
        <v>656.0430087</v>
      </c>
      <c r="BU10" s="77">
        <f t="shared" si="40"/>
        <v>32.1031815</v>
      </c>
      <c r="BV10" s="79"/>
      <c r="BW10" s="78"/>
      <c r="BX10" s="78">
        <f t="shared" si="41"/>
        <v>610.7237537999999</v>
      </c>
      <c r="BY10" s="78">
        <f t="shared" si="42"/>
        <v>610.7237537999999</v>
      </c>
      <c r="BZ10" s="78">
        <f t="shared" si="43"/>
        <v>127.4068353</v>
      </c>
      <c r="CA10" s="77">
        <f t="shared" si="44"/>
        <v>6.2345985</v>
      </c>
      <c r="CB10" s="79"/>
      <c r="CC10" s="78"/>
      <c r="CD10" s="78">
        <f t="shared" si="45"/>
        <v>2426.6395092000002</v>
      </c>
      <c r="CE10" s="78">
        <f t="shared" si="46"/>
        <v>2426.6395092000002</v>
      </c>
      <c r="CF10" s="78">
        <f t="shared" si="47"/>
        <v>506.23618020000004</v>
      </c>
      <c r="CG10" s="77">
        <f t="shared" si="48"/>
        <v>24.772449</v>
      </c>
      <c r="CH10" s="79"/>
      <c r="CI10" s="78"/>
      <c r="CJ10" s="78">
        <f t="shared" si="49"/>
        <v>5918.453999399999</v>
      </c>
      <c r="CK10" s="78">
        <f t="shared" si="50"/>
        <v>5918.453999399999</v>
      </c>
      <c r="CL10" s="78">
        <f t="shared" si="51"/>
        <v>1234.6850589</v>
      </c>
      <c r="CM10" s="77">
        <f t="shared" si="52"/>
        <v>60.418780500000004</v>
      </c>
      <c r="CN10" s="79"/>
      <c r="CO10" s="78"/>
      <c r="CP10" s="78">
        <f t="shared" si="53"/>
        <v>13247.095111199998</v>
      </c>
      <c r="CQ10" s="78">
        <f t="shared" si="54"/>
        <v>13247.095111199998</v>
      </c>
      <c r="CR10" s="78">
        <f t="shared" si="55"/>
        <v>2763.5579172</v>
      </c>
      <c r="CS10" s="77">
        <f t="shared" si="56"/>
        <v>135.23351399999999</v>
      </c>
      <c r="CT10" s="79"/>
      <c r="CU10" s="78"/>
      <c r="CV10" s="78">
        <f t="shared" si="57"/>
        <v>2004.2160222</v>
      </c>
      <c r="CW10" s="78">
        <f t="shared" si="58"/>
        <v>2004.2160222</v>
      </c>
      <c r="CX10" s="78">
        <f t="shared" si="59"/>
        <v>418.1118207</v>
      </c>
      <c r="CY10" s="77">
        <f t="shared" si="60"/>
        <v>20.4601215</v>
      </c>
      <c r="CZ10" s="79"/>
      <c r="DA10" s="78"/>
      <c r="DB10" s="78">
        <f t="shared" si="61"/>
        <v>5758.7985702</v>
      </c>
      <c r="DC10" s="78">
        <f t="shared" si="62"/>
        <v>5758.7985702</v>
      </c>
      <c r="DD10" s="78">
        <f t="shared" si="63"/>
        <v>1201.3783587</v>
      </c>
      <c r="DE10" s="77">
        <f t="shared" si="64"/>
        <v>58.788931500000004</v>
      </c>
      <c r="DF10" s="79"/>
      <c r="DG10" s="78"/>
      <c r="DH10" s="78">
        <f t="shared" si="65"/>
        <v>221.90962380000002</v>
      </c>
      <c r="DI10" s="78">
        <f t="shared" si="66"/>
        <v>221.90962380000002</v>
      </c>
      <c r="DJ10" s="78">
        <f t="shared" si="67"/>
        <v>46.2939303</v>
      </c>
      <c r="DK10" s="77">
        <f t="shared" si="68"/>
        <v>2.2653735</v>
      </c>
      <c r="DL10" s="79"/>
      <c r="DM10" s="90"/>
      <c r="DN10" s="90">
        <f t="shared" si="69"/>
        <v>12148.4865084</v>
      </c>
      <c r="DO10" s="90">
        <f t="shared" si="70"/>
        <v>12148.4865084</v>
      </c>
      <c r="DP10" s="90">
        <f t="shared" si="71"/>
        <v>2534.3704254</v>
      </c>
      <c r="DQ10" s="92">
        <f t="shared" si="72"/>
        <v>124.01832300000001</v>
      </c>
      <c r="DR10" s="79"/>
      <c r="DS10" s="78"/>
      <c r="DT10" s="78">
        <f t="shared" si="73"/>
        <v>1912.6140492</v>
      </c>
      <c r="DU10" s="78">
        <f t="shared" si="74"/>
        <v>1912.6140492</v>
      </c>
      <c r="DV10" s="78">
        <f t="shared" si="75"/>
        <v>399.0021702</v>
      </c>
      <c r="DW10" s="77">
        <f t="shared" si="76"/>
        <v>19.524999</v>
      </c>
      <c r="DX10" s="79"/>
      <c r="DY10" s="78"/>
      <c r="DZ10" s="78">
        <f t="shared" si="77"/>
        <v>9842.4452802</v>
      </c>
      <c r="EA10" s="78">
        <f t="shared" si="78"/>
        <v>9842.4452802</v>
      </c>
      <c r="EB10" s="78">
        <f t="shared" si="79"/>
        <v>2053.2929937</v>
      </c>
      <c r="EC10" s="77">
        <f t="shared" si="80"/>
        <v>100.4770065</v>
      </c>
      <c r="ED10" s="79"/>
      <c r="EE10" s="78"/>
      <c r="EF10" s="78">
        <f t="shared" si="81"/>
        <v>2809.9179804</v>
      </c>
      <c r="EG10" s="78">
        <f t="shared" si="82"/>
        <v>2809.9179804</v>
      </c>
      <c r="EH10" s="78">
        <f t="shared" si="83"/>
        <v>586.1942574</v>
      </c>
      <c r="EI10" s="77">
        <f t="shared" si="84"/>
        <v>28.685163</v>
      </c>
      <c r="EJ10" s="79"/>
      <c r="EK10" s="78"/>
      <c r="EL10" s="78">
        <f t="shared" si="85"/>
        <v>28.205499600000003</v>
      </c>
      <c r="EM10" s="78">
        <f t="shared" si="86"/>
        <v>28.205499600000003</v>
      </c>
      <c r="EN10" s="78">
        <f t="shared" si="87"/>
        <v>5.8841226</v>
      </c>
      <c r="EO10" s="77">
        <f t="shared" si="88"/>
        <v>0.287937</v>
      </c>
      <c r="EP10" s="79"/>
      <c r="EQ10" s="78"/>
      <c r="ER10" s="78">
        <f t="shared" si="89"/>
        <v>52.369089599999995</v>
      </c>
      <c r="ES10" s="78">
        <f t="shared" si="90"/>
        <v>52.369089599999995</v>
      </c>
      <c r="ET10" s="78">
        <f t="shared" si="91"/>
        <v>10.9250376</v>
      </c>
      <c r="EU10" s="77">
        <f t="shared" si="92"/>
        <v>0.534612</v>
      </c>
      <c r="EV10" s="79"/>
      <c r="EW10" s="78"/>
      <c r="EX10" s="78">
        <f t="shared" si="93"/>
        <v>9466.6794888</v>
      </c>
      <c r="EY10" s="78">
        <f t="shared" si="94"/>
        <v>9466.6794888</v>
      </c>
      <c r="EZ10" s="78">
        <f t="shared" si="95"/>
        <v>1974.9021828</v>
      </c>
      <c r="FA10" s="77">
        <f t="shared" si="96"/>
        <v>96.640986</v>
      </c>
      <c r="FB10" s="79"/>
      <c r="FC10" s="78"/>
      <c r="FD10" s="78">
        <f t="shared" si="97"/>
        <v>17596.1898408</v>
      </c>
      <c r="FE10" s="78">
        <f t="shared" si="98"/>
        <v>17596.1898408</v>
      </c>
      <c r="FF10" s="78">
        <f t="shared" si="99"/>
        <v>3670.8492948</v>
      </c>
      <c r="FG10" s="77">
        <f t="shared" si="100"/>
        <v>179.631426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44287</v>
      </c>
      <c r="C11" s="42">
        <v>5000</v>
      </c>
      <c r="D11" s="42">
        <v>439338</v>
      </c>
      <c r="E11" s="77">
        <f t="shared" si="0"/>
        <v>444338</v>
      </c>
      <c r="F11" s="77">
        <v>91653</v>
      </c>
      <c r="G11" s="77">
        <v>4485</v>
      </c>
      <c r="H11" s="79"/>
      <c r="I11" s="79">
        <f>'2011B Academic'!I11</f>
        <v>2714.1295</v>
      </c>
      <c r="J11" s="79">
        <f>'2011B Academic'!J11</f>
        <v>238484.04525420006</v>
      </c>
      <c r="K11" s="79">
        <f t="shared" si="1"/>
        <v>241198.17475420007</v>
      </c>
      <c r="L11" s="79">
        <f>'2011B Academic'!L11</f>
        <v>49751.6222127</v>
      </c>
      <c r="M11" s="79">
        <f>'2011B Academic'!M11</f>
        <v>2434.5741615</v>
      </c>
      <c r="N11" s="79"/>
      <c r="O11" s="78">
        <f t="shared" si="2"/>
        <v>2285.8705</v>
      </c>
      <c r="P11" s="80">
        <f t="shared" si="2"/>
        <v>200853.95474579997</v>
      </c>
      <c r="Q11" s="78">
        <f t="shared" si="3"/>
        <v>203139.82524579996</v>
      </c>
      <c r="R11" s="78">
        <f t="shared" si="4"/>
        <v>41901.37778729999</v>
      </c>
      <c r="S11" s="78">
        <f t="shared" si="4"/>
        <v>2050.4258385</v>
      </c>
      <c r="T11" s="79"/>
      <c r="U11" s="78">
        <f t="shared" si="102"/>
        <v>408.62</v>
      </c>
      <c r="V11" s="77">
        <f t="shared" si="5"/>
        <v>35904.458712</v>
      </c>
      <c r="W11" s="78">
        <f t="shared" si="6"/>
        <v>36313.078712</v>
      </c>
      <c r="X11" s="78">
        <f t="shared" si="7"/>
        <v>7490.249772</v>
      </c>
      <c r="Y11" s="77">
        <f t="shared" si="8"/>
        <v>366.53214</v>
      </c>
      <c r="Z11" s="79"/>
      <c r="AA11" s="78">
        <f t="shared" si="103"/>
        <v>297.823</v>
      </c>
      <c r="AB11" s="78">
        <f t="shared" si="9"/>
        <v>26168.9922348</v>
      </c>
      <c r="AC11" s="78">
        <f t="shared" si="10"/>
        <v>26466.8152348</v>
      </c>
      <c r="AD11" s="78">
        <f t="shared" si="11"/>
        <v>5459.2742838</v>
      </c>
      <c r="AE11" s="77">
        <f t="shared" si="12"/>
        <v>267.14723100000003</v>
      </c>
      <c r="AF11" s="79"/>
      <c r="AG11" s="78">
        <f t="shared" si="104"/>
        <v>157.90200000000002</v>
      </c>
      <c r="AH11" s="78">
        <f t="shared" si="13"/>
        <v>13874.469775200001</v>
      </c>
      <c r="AI11" s="78">
        <f t="shared" si="14"/>
        <v>14032.371775200001</v>
      </c>
      <c r="AJ11" s="78">
        <f t="shared" si="15"/>
        <v>2894.4384012</v>
      </c>
      <c r="AK11" s="77">
        <f t="shared" si="16"/>
        <v>141.638094</v>
      </c>
      <c r="AL11" s="79"/>
      <c r="AM11" s="78">
        <f t="shared" si="105"/>
        <v>114.84</v>
      </c>
      <c r="AN11" s="78">
        <f t="shared" si="17"/>
        <v>10090.715184</v>
      </c>
      <c r="AO11" s="78">
        <f t="shared" si="18"/>
        <v>10205.555184</v>
      </c>
      <c r="AP11" s="78">
        <f t="shared" si="19"/>
        <v>2105.086104</v>
      </c>
      <c r="AQ11" s="77">
        <f t="shared" si="20"/>
        <v>103.01147999999999</v>
      </c>
      <c r="AR11" s="79"/>
      <c r="AS11" s="78">
        <f t="shared" si="106"/>
        <v>13.1545</v>
      </c>
      <c r="AT11" s="78">
        <f t="shared" si="21"/>
        <v>1155.8543442</v>
      </c>
      <c r="AU11" s="78">
        <f t="shared" si="22"/>
        <v>1169.0088442</v>
      </c>
      <c r="AV11" s="78">
        <f t="shared" si="23"/>
        <v>241.12987769999998</v>
      </c>
      <c r="AW11" s="77">
        <f t="shared" si="24"/>
        <v>11.799586499999998</v>
      </c>
      <c r="AX11" s="79"/>
      <c r="AY11" s="78">
        <f t="shared" si="107"/>
        <v>208.11449999999996</v>
      </c>
      <c r="AZ11" s="78">
        <f t="shared" si="25"/>
        <v>18286.521640199997</v>
      </c>
      <c r="BA11" s="78">
        <f t="shared" si="26"/>
        <v>18494.636140199997</v>
      </c>
      <c r="BB11" s="78">
        <f t="shared" si="27"/>
        <v>3814.8636536999998</v>
      </c>
      <c r="BC11" s="77">
        <f t="shared" si="28"/>
        <v>186.67870649999998</v>
      </c>
      <c r="BD11" s="79"/>
      <c r="BE11" s="78">
        <f t="shared" si="108"/>
        <v>22.5605</v>
      </c>
      <c r="BF11" s="78">
        <f t="shared" si="29"/>
        <v>1982.3369897999999</v>
      </c>
      <c r="BG11" s="78">
        <f t="shared" si="30"/>
        <v>2004.8974898</v>
      </c>
      <c r="BH11" s="78">
        <f t="shared" si="31"/>
        <v>413.54750129999996</v>
      </c>
      <c r="BI11" s="77">
        <f t="shared" si="32"/>
        <v>20.2367685</v>
      </c>
      <c r="BJ11" s="79"/>
      <c r="BK11" s="78">
        <f t="shared" si="109"/>
        <v>70.57350000000001</v>
      </c>
      <c r="BL11" s="78">
        <f t="shared" si="33"/>
        <v>6201.1240686</v>
      </c>
      <c r="BM11" s="78">
        <f t="shared" si="34"/>
        <v>6271.6975686000005</v>
      </c>
      <c r="BN11" s="78">
        <f t="shared" si="35"/>
        <v>1293.6545991</v>
      </c>
      <c r="BO11" s="77">
        <f t="shared" si="36"/>
        <v>63.304429500000005</v>
      </c>
      <c r="BP11" s="79"/>
      <c r="BQ11" s="78">
        <f t="shared" si="110"/>
        <v>35.789500000000004</v>
      </c>
      <c r="BR11" s="78">
        <f t="shared" si="37"/>
        <v>3144.7374702</v>
      </c>
      <c r="BS11" s="78">
        <f t="shared" si="38"/>
        <v>3180.5269702</v>
      </c>
      <c r="BT11" s="78">
        <f t="shared" si="39"/>
        <v>656.0430087</v>
      </c>
      <c r="BU11" s="77">
        <f t="shared" si="40"/>
        <v>32.1031815</v>
      </c>
      <c r="BV11" s="79"/>
      <c r="BW11" s="78">
        <f t="shared" si="111"/>
        <v>6.9505</v>
      </c>
      <c r="BX11" s="78">
        <f t="shared" si="41"/>
        <v>610.7237537999999</v>
      </c>
      <c r="BY11" s="78">
        <f t="shared" si="42"/>
        <v>617.6742538</v>
      </c>
      <c r="BZ11" s="78">
        <f t="shared" si="43"/>
        <v>127.4068353</v>
      </c>
      <c r="CA11" s="77">
        <f t="shared" si="44"/>
        <v>6.2345985</v>
      </c>
      <c r="CB11" s="79"/>
      <c r="CC11" s="78">
        <f t="shared" si="112"/>
        <v>27.617000000000004</v>
      </c>
      <c r="CD11" s="78">
        <f t="shared" si="45"/>
        <v>2426.6395092000002</v>
      </c>
      <c r="CE11" s="78">
        <f t="shared" si="46"/>
        <v>2454.2565092000004</v>
      </c>
      <c r="CF11" s="78">
        <f t="shared" si="47"/>
        <v>506.23618020000004</v>
      </c>
      <c r="CG11" s="77">
        <f t="shared" si="48"/>
        <v>24.772449</v>
      </c>
      <c r="CH11" s="79"/>
      <c r="CI11" s="78">
        <f t="shared" si="113"/>
        <v>67.3565</v>
      </c>
      <c r="CJ11" s="78">
        <f t="shared" si="49"/>
        <v>5918.453999399999</v>
      </c>
      <c r="CK11" s="78">
        <f t="shared" si="50"/>
        <v>5985.810499399999</v>
      </c>
      <c r="CL11" s="78">
        <f t="shared" si="51"/>
        <v>1234.6850589</v>
      </c>
      <c r="CM11" s="77">
        <f t="shared" si="52"/>
        <v>60.418780500000004</v>
      </c>
      <c r="CN11" s="79"/>
      <c r="CO11" s="78">
        <f t="shared" si="114"/>
        <v>150.762</v>
      </c>
      <c r="CP11" s="78">
        <f t="shared" si="53"/>
        <v>13247.095111199998</v>
      </c>
      <c r="CQ11" s="78">
        <f t="shared" si="54"/>
        <v>13397.857111199999</v>
      </c>
      <c r="CR11" s="78">
        <f t="shared" si="55"/>
        <v>2763.5579172</v>
      </c>
      <c r="CS11" s="77">
        <f t="shared" si="56"/>
        <v>135.23351399999999</v>
      </c>
      <c r="CT11" s="79"/>
      <c r="CU11" s="78">
        <f t="shared" si="115"/>
        <v>22.8095</v>
      </c>
      <c r="CV11" s="78">
        <f t="shared" si="57"/>
        <v>2004.2160222</v>
      </c>
      <c r="CW11" s="78">
        <f t="shared" si="58"/>
        <v>2027.0255222</v>
      </c>
      <c r="CX11" s="78">
        <f t="shared" si="59"/>
        <v>418.1118207</v>
      </c>
      <c r="CY11" s="77">
        <f t="shared" si="60"/>
        <v>20.4601215</v>
      </c>
      <c r="CZ11" s="79"/>
      <c r="DA11" s="78">
        <f t="shared" si="116"/>
        <v>65.5395</v>
      </c>
      <c r="DB11" s="78">
        <f t="shared" si="61"/>
        <v>5758.7985702</v>
      </c>
      <c r="DC11" s="78">
        <f t="shared" si="62"/>
        <v>5824.3380701999995</v>
      </c>
      <c r="DD11" s="78">
        <f t="shared" si="63"/>
        <v>1201.3783587</v>
      </c>
      <c r="DE11" s="77">
        <f t="shared" si="64"/>
        <v>58.788931500000004</v>
      </c>
      <c r="DF11" s="79"/>
      <c r="DG11" s="78">
        <f t="shared" si="117"/>
        <v>2.5254999999999996</v>
      </c>
      <c r="DH11" s="78">
        <f t="shared" si="65"/>
        <v>221.90962380000002</v>
      </c>
      <c r="DI11" s="78">
        <f t="shared" si="66"/>
        <v>224.4351238</v>
      </c>
      <c r="DJ11" s="78">
        <f t="shared" si="67"/>
        <v>46.2939303</v>
      </c>
      <c r="DK11" s="77">
        <f t="shared" si="68"/>
        <v>2.2653735</v>
      </c>
      <c r="DL11" s="79"/>
      <c r="DM11" s="90">
        <f t="shared" si="118"/>
        <v>138.259</v>
      </c>
      <c r="DN11" s="90">
        <f t="shared" si="69"/>
        <v>12148.4865084</v>
      </c>
      <c r="DO11" s="90">
        <f t="shared" si="70"/>
        <v>12286.7455084</v>
      </c>
      <c r="DP11" s="90">
        <f t="shared" si="71"/>
        <v>2534.3704254</v>
      </c>
      <c r="DQ11" s="92">
        <f t="shared" si="72"/>
        <v>124.01832300000001</v>
      </c>
      <c r="DR11" s="79"/>
      <c r="DS11" s="78">
        <f t="shared" si="119"/>
        <v>21.767</v>
      </c>
      <c r="DT11" s="78">
        <f t="shared" si="73"/>
        <v>1912.6140492</v>
      </c>
      <c r="DU11" s="78">
        <f t="shared" si="74"/>
        <v>1934.3810492</v>
      </c>
      <c r="DV11" s="78">
        <f t="shared" si="75"/>
        <v>399.0021702</v>
      </c>
      <c r="DW11" s="77">
        <f t="shared" si="76"/>
        <v>19.524999</v>
      </c>
      <c r="DX11" s="79"/>
      <c r="DY11" s="78">
        <f t="shared" si="120"/>
        <v>112.01449999999998</v>
      </c>
      <c r="DZ11" s="78">
        <f t="shared" si="77"/>
        <v>9842.4452802</v>
      </c>
      <c r="EA11" s="78">
        <f t="shared" si="78"/>
        <v>9954.459780199999</v>
      </c>
      <c r="EB11" s="78">
        <f t="shared" si="79"/>
        <v>2053.2929937</v>
      </c>
      <c r="EC11" s="77">
        <f t="shared" si="80"/>
        <v>100.4770065</v>
      </c>
      <c r="ED11" s="79"/>
      <c r="EE11" s="78">
        <f t="shared" si="121"/>
        <v>31.979</v>
      </c>
      <c r="EF11" s="78">
        <f t="shared" si="81"/>
        <v>2809.9179804</v>
      </c>
      <c r="EG11" s="78">
        <f t="shared" si="82"/>
        <v>2841.8969804</v>
      </c>
      <c r="EH11" s="78">
        <f t="shared" si="83"/>
        <v>586.1942574</v>
      </c>
      <c r="EI11" s="77">
        <f t="shared" si="84"/>
        <v>28.685163</v>
      </c>
      <c r="EJ11" s="79"/>
      <c r="EK11" s="78">
        <f t="shared" si="122"/>
        <v>0.321</v>
      </c>
      <c r="EL11" s="78">
        <f t="shared" si="85"/>
        <v>28.205499600000003</v>
      </c>
      <c r="EM11" s="78">
        <f t="shared" si="86"/>
        <v>28.526499600000005</v>
      </c>
      <c r="EN11" s="78">
        <f t="shared" si="87"/>
        <v>5.8841226</v>
      </c>
      <c r="EO11" s="77">
        <f t="shared" si="88"/>
        <v>0.287937</v>
      </c>
      <c r="EP11" s="79"/>
      <c r="EQ11" s="78">
        <f t="shared" si="123"/>
        <v>0.596</v>
      </c>
      <c r="ER11" s="78">
        <f t="shared" si="89"/>
        <v>52.369089599999995</v>
      </c>
      <c r="ES11" s="78">
        <f t="shared" si="90"/>
        <v>52.96508959999999</v>
      </c>
      <c r="ET11" s="78">
        <f t="shared" si="91"/>
        <v>10.9250376</v>
      </c>
      <c r="EU11" s="77">
        <f t="shared" si="92"/>
        <v>0.534612</v>
      </c>
      <c r="EV11" s="79"/>
      <c r="EW11" s="78">
        <f t="shared" si="124"/>
        <v>107.738</v>
      </c>
      <c r="EX11" s="78">
        <f t="shared" si="93"/>
        <v>9466.6794888</v>
      </c>
      <c r="EY11" s="78">
        <f t="shared" si="94"/>
        <v>9574.4174888</v>
      </c>
      <c r="EZ11" s="78">
        <f t="shared" si="95"/>
        <v>1974.9021828</v>
      </c>
      <c r="FA11" s="77">
        <f t="shared" si="96"/>
        <v>96.640986</v>
      </c>
      <c r="FB11" s="79"/>
      <c r="FC11" s="78">
        <f t="shared" si="125"/>
        <v>200.25799999999998</v>
      </c>
      <c r="FD11" s="78">
        <f t="shared" si="97"/>
        <v>17596.1898408</v>
      </c>
      <c r="FE11" s="78">
        <f t="shared" si="98"/>
        <v>17796.447840800003</v>
      </c>
      <c r="FF11" s="78">
        <f t="shared" si="99"/>
        <v>3670.8492948</v>
      </c>
      <c r="FG11" s="77">
        <f t="shared" si="100"/>
        <v>179.631426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>
      <c r="A12" s="51">
        <v>44470</v>
      </c>
      <c r="C12" s="42"/>
      <c r="D12" s="42">
        <v>439263</v>
      </c>
      <c r="E12" s="77">
        <f t="shared" si="0"/>
        <v>439263</v>
      </c>
      <c r="F12" s="77">
        <v>91653</v>
      </c>
      <c r="G12" s="77">
        <v>4485</v>
      </c>
      <c r="H12" s="79"/>
      <c r="I12" s="79">
        <f>'2011B Academic'!I12</f>
        <v>0</v>
      </c>
      <c r="J12" s="79">
        <f>'2011B Academic'!J12</f>
        <v>238443.33331170003</v>
      </c>
      <c r="K12" s="79">
        <f t="shared" si="1"/>
        <v>238443.33331170003</v>
      </c>
      <c r="L12" s="79">
        <f>'2011B Academic'!L12</f>
        <v>49751.6222127</v>
      </c>
      <c r="M12" s="79">
        <f>'2011B Academic'!M12</f>
        <v>2434.5741615</v>
      </c>
      <c r="N12" s="79"/>
      <c r="O12" s="78">
        <f t="shared" si="2"/>
        <v>0</v>
      </c>
      <c r="P12" s="80">
        <f t="shared" si="2"/>
        <v>200819.6666883</v>
      </c>
      <c r="Q12" s="78">
        <f t="shared" si="3"/>
        <v>200819.6666883</v>
      </c>
      <c r="R12" s="78">
        <f t="shared" si="4"/>
        <v>41901.37778729999</v>
      </c>
      <c r="S12" s="78">
        <f t="shared" si="4"/>
        <v>2050.4258385</v>
      </c>
      <c r="T12" s="79"/>
      <c r="U12" s="78"/>
      <c r="V12" s="77">
        <f t="shared" si="5"/>
        <v>35898.329412</v>
      </c>
      <c r="W12" s="78">
        <f t="shared" si="6"/>
        <v>35898.329412</v>
      </c>
      <c r="X12" s="78">
        <f t="shared" si="7"/>
        <v>7490.249772</v>
      </c>
      <c r="Y12" s="77">
        <f t="shared" si="8"/>
        <v>366.53214</v>
      </c>
      <c r="Z12" s="79"/>
      <c r="AA12" s="78"/>
      <c r="AB12" s="78">
        <f t="shared" si="9"/>
        <v>26164.5248898</v>
      </c>
      <c r="AC12" s="78">
        <f t="shared" si="10"/>
        <v>26164.5248898</v>
      </c>
      <c r="AD12" s="78">
        <f t="shared" si="11"/>
        <v>5459.2742838</v>
      </c>
      <c r="AE12" s="77">
        <f t="shared" si="12"/>
        <v>267.14723100000003</v>
      </c>
      <c r="AF12" s="79"/>
      <c r="AG12" s="78"/>
      <c r="AH12" s="78">
        <f t="shared" si="13"/>
        <v>13872.101245200001</v>
      </c>
      <c r="AI12" s="78">
        <f t="shared" si="14"/>
        <v>13872.101245200001</v>
      </c>
      <c r="AJ12" s="78">
        <f t="shared" si="15"/>
        <v>2894.4384012</v>
      </c>
      <c r="AK12" s="77">
        <f t="shared" si="16"/>
        <v>141.638094</v>
      </c>
      <c r="AL12" s="79"/>
      <c r="AM12" s="78"/>
      <c r="AN12" s="78">
        <f t="shared" si="17"/>
        <v>10088.992584</v>
      </c>
      <c r="AO12" s="78">
        <f t="shared" si="18"/>
        <v>10088.992584</v>
      </c>
      <c r="AP12" s="78">
        <f t="shared" si="19"/>
        <v>2105.086104</v>
      </c>
      <c r="AQ12" s="77">
        <f t="shared" si="20"/>
        <v>103.01147999999999</v>
      </c>
      <c r="AR12" s="79"/>
      <c r="AS12" s="78"/>
      <c r="AT12" s="78">
        <f t="shared" si="21"/>
        <v>1155.6570267</v>
      </c>
      <c r="AU12" s="78">
        <f t="shared" si="22"/>
        <v>1155.6570267</v>
      </c>
      <c r="AV12" s="78">
        <f t="shared" si="23"/>
        <v>241.12987769999998</v>
      </c>
      <c r="AW12" s="77">
        <f t="shared" si="24"/>
        <v>11.799586499999998</v>
      </c>
      <c r="AX12" s="79"/>
      <c r="AY12" s="78"/>
      <c r="AZ12" s="78">
        <f t="shared" si="25"/>
        <v>18283.3999227</v>
      </c>
      <c r="BA12" s="78">
        <f t="shared" si="26"/>
        <v>18283.3999227</v>
      </c>
      <c r="BB12" s="78">
        <f t="shared" si="27"/>
        <v>3814.8636536999998</v>
      </c>
      <c r="BC12" s="77">
        <f t="shared" si="28"/>
        <v>186.67870649999998</v>
      </c>
      <c r="BD12" s="79"/>
      <c r="BE12" s="78"/>
      <c r="BF12" s="78">
        <f t="shared" si="29"/>
        <v>1981.9985823000002</v>
      </c>
      <c r="BG12" s="78">
        <f t="shared" si="30"/>
        <v>1981.9985823000002</v>
      </c>
      <c r="BH12" s="78">
        <f t="shared" si="31"/>
        <v>413.54750129999996</v>
      </c>
      <c r="BI12" s="77">
        <f t="shared" si="32"/>
        <v>20.2367685</v>
      </c>
      <c r="BJ12" s="79"/>
      <c r="BK12" s="78"/>
      <c r="BL12" s="78">
        <f t="shared" si="33"/>
        <v>6200.0654661</v>
      </c>
      <c r="BM12" s="78">
        <f t="shared" si="34"/>
        <v>6200.0654661</v>
      </c>
      <c r="BN12" s="78">
        <f t="shared" si="35"/>
        <v>1293.6545991</v>
      </c>
      <c r="BO12" s="77">
        <f t="shared" si="36"/>
        <v>63.304429500000005</v>
      </c>
      <c r="BP12" s="79"/>
      <c r="BQ12" s="78"/>
      <c r="BR12" s="78">
        <f t="shared" si="37"/>
        <v>3144.2006277</v>
      </c>
      <c r="BS12" s="78">
        <f t="shared" si="38"/>
        <v>3144.2006277</v>
      </c>
      <c r="BT12" s="78">
        <f t="shared" si="39"/>
        <v>656.0430087</v>
      </c>
      <c r="BU12" s="77">
        <f t="shared" si="40"/>
        <v>32.1031815</v>
      </c>
      <c r="BV12" s="79"/>
      <c r="BW12" s="78"/>
      <c r="BX12" s="78">
        <f t="shared" si="41"/>
        <v>610.6194962999999</v>
      </c>
      <c r="BY12" s="78">
        <f t="shared" si="42"/>
        <v>610.6194962999999</v>
      </c>
      <c r="BZ12" s="78">
        <f t="shared" si="43"/>
        <v>127.4068353</v>
      </c>
      <c r="CA12" s="77">
        <f t="shared" si="44"/>
        <v>6.2345985</v>
      </c>
      <c r="CB12" s="79"/>
      <c r="CC12" s="78"/>
      <c r="CD12" s="78">
        <f t="shared" si="45"/>
        <v>2426.2252542</v>
      </c>
      <c r="CE12" s="78">
        <f t="shared" si="46"/>
        <v>2426.2252542</v>
      </c>
      <c r="CF12" s="78">
        <f t="shared" si="47"/>
        <v>506.23618020000004</v>
      </c>
      <c r="CG12" s="77">
        <f t="shared" si="48"/>
        <v>24.772449</v>
      </c>
      <c r="CH12" s="79"/>
      <c r="CI12" s="78"/>
      <c r="CJ12" s="78">
        <f t="shared" si="49"/>
        <v>5917.443651899999</v>
      </c>
      <c r="CK12" s="78">
        <f t="shared" si="50"/>
        <v>5917.443651899999</v>
      </c>
      <c r="CL12" s="78">
        <f t="shared" si="51"/>
        <v>1234.6850589</v>
      </c>
      <c r="CM12" s="77">
        <f t="shared" si="52"/>
        <v>60.418780500000004</v>
      </c>
      <c r="CN12" s="79"/>
      <c r="CO12" s="78"/>
      <c r="CP12" s="78">
        <f t="shared" si="53"/>
        <v>13244.8336812</v>
      </c>
      <c r="CQ12" s="78">
        <f t="shared" si="54"/>
        <v>13244.8336812</v>
      </c>
      <c r="CR12" s="78">
        <f t="shared" si="55"/>
        <v>2763.5579172</v>
      </c>
      <c r="CS12" s="77">
        <f t="shared" si="56"/>
        <v>135.23351399999999</v>
      </c>
      <c r="CT12" s="79"/>
      <c r="CU12" s="78"/>
      <c r="CV12" s="78">
        <f t="shared" si="57"/>
        <v>2003.8738796999999</v>
      </c>
      <c r="CW12" s="78">
        <f t="shared" si="58"/>
        <v>2003.8738796999999</v>
      </c>
      <c r="CX12" s="78">
        <f t="shared" si="59"/>
        <v>418.1118207</v>
      </c>
      <c r="CY12" s="77">
        <f t="shared" si="60"/>
        <v>20.4601215</v>
      </c>
      <c r="CZ12" s="79"/>
      <c r="DA12" s="78"/>
      <c r="DB12" s="78">
        <f t="shared" si="61"/>
        <v>5757.815477699999</v>
      </c>
      <c r="DC12" s="78">
        <f t="shared" si="62"/>
        <v>5757.815477699999</v>
      </c>
      <c r="DD12" s="78">
        <f t="shared" si="63"/>
        <v>1201.3783587</v>
      </c>
      <c r="DE12" s="77">
        <f t="shared" si="64"/>
        <v>58.788931500000004</v>
      </c>
      <c r="DF12" s="79"/>
      <c r="DG12" s="78"/>
      <c r="DH12" s="78">
        <f t="shared" si="65"/>
        <v>221.8717413</v>
      </c>
      <c r="DI12" s="78">
        <f t="shared" si="66"/>
        <v>221.8717413</v>
      </c>
      <c r="DJ12" s="78">
        <f t="shared" si="67"/>
        <v>46.2939303</v>
      </c>
      <c r="DK12" s="77">
        <f t="shared" si="68"/>
        <v>2.2653735</v>
      </c>
      <c r="DL12" s="79"/>
      <c r="DM12" s="90"/>
      <c r="DN12" s="90">
        <f t="shared" si="69"/>
        <v>12146.4126234</v>
      </c>
      <c r="DO12" s="90">
        <f t="shared" si="70"/>
        <v>12146.4126234</v>
      </c>
      <c r="DP12" s="90">
        <f t="shared" si="71"/>
        <v>2534.3704254</v>
      </c>
      <c r="DQ12" s="92">
        <f t="shared" si="72"/>
        <v>124.01832300000001</v>
      </c>
      <c r="DR12" s="79"/>
      <c r="DS12" s="78"/>
      <c r="DT12" s="78">
        <f t="shared" si="73"/>
        <v>1912.2875442000002</v>
      </c>
      <c r="DU12" s="78">
        <f t="shared" si="74"/>
        <v>1912.2875442000002</v>
      </c>
      <c r="DV12" s="78">
        <f t="shared" si="75"/>
        <v>399.0021702</v>
      </c>
      <c r="DW12" s="77">
        <f t="shared" si="76"/>
        <v>19.524999</v>
      </c>
      <c r="DX12" s="79"/>
      <c r="DY12" s="78"/>
      <c r="DZ12" s="78">
        <f t="shared" si="77"/>
        <v>9840.765062699998</v>
      </c>
      <c r="EA12" s="78">
        <f t="shared" si="78"/>
        <v>9840.765062699998</v>
      </c>
      <c r="EB12" s="78">
        <f t="shared" si="79"/>
        <v>2053.2929937</v>
      </c>
      <c r="EC12" s="77">
        <f t="shared" si="80"/>
        <v>100.4770065</v>
      </c>
      <c r="ED12" s="79"/>
      <c r="EE12" s="78"/>
      <c r="EF12" s="78">
        <f t="shared" si="81"/>
        <v>2809.4382954000002</v>
      </c>
      <c r="EG12" s="78">
        <f t="shared" si="82"/>
        <v>2809.4382954000002</v>
      </c>
      <c r="EH12" s="78">
        <f t="shared" si="83"/>
        <v>586.1942574</v>
      </c>
      <c r="EI12" s="77">
        <f t="shared" si="84"/>
        <v>28.685163</v>
      </c>
      <c r="EJ12" s="79"/>
      <c r="EK12" s="78"/>
      <c r="EL12" s="78">
        <f t="shared" si="85"/>
        <v>28.2006846</v>
      </c>
      <c r="EM12" s="78">
        <f t="shared" si="86"/>
        <v>28.2006846</v>
      </c>
      <c r="EN12" s="78">
        <f t="shared" si="87"/>
        <v>5.8841226</v>
      </c>
      <c r="EO12" s="77">
        <f t="shared" si="88"/>
        <v>0.287937</v>
      </c>
      <c r="EP12" s="79"/>
      <c r="EQ12" s="78"/>
      <c r="ER12" s="78">
        <f t="shared" si="89"/>
        <v>52.36014960000001</v>
      </c>
      <c r="ES12" s="78">
        <f t="shared" si="90"/>
        <v>52.36014960000001</v>
      </c>
      <c r="ET12" s="78">
        <f t="shared" si="91"/>
        <v>10.9250376</v>
      </c>
      <c r="EU12" s="77">
        <f t="shared" si="92"/>
        <v>0.534612</v>
      </c>
      <c r="EV12" s="79"/>
      <c r="EW12" s="78"/>
      <c r="EX12" s="78">
        <f t="shared" si="93"/>
        <v>9465.0634188</v>
      </c>
      <c r="EY12" s="78">
        <f t="shared" si="94"/>
        <v>9465.0634188</v>
      </c>
      <c r="EZ12" s="78">
        <f t="shared" si="95"/>
        <v>1974.9021828</v>
      </c>
      <c r="FA12" s="77">
        <f t="shared" si="96"/>
        <v>96.640986</v>
      </c>
      <c r="FB12" s="79"/>
      <c r="FC12" s="78"/>
      <c r="FD12" s="78">
        <f t="shared" si="97"/>
        <v>17593.1859708</v>
      </c>
      <c r="FE12" s="78">
        <f t="shared" si="98"/>
        <v>17593.1859708</v>
      </c>
      <c r="FF12" s="78">
        <f t="shared" si="99"/>
        <v>3670.8492948</v>
      </c>
      <c r="FG12" s="77">
        <f t="shared" si="100"/>
        <v>179.631426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>
      <c r="A13" s="51">
        <v>44652</v>
      </c>
      <c r="C13" s="42">
        <v>6225000</v>
      </c>
      <c r="D13" s="42">
        <v>439263</v>
      </c>
      <c r="E13" s="77">
        <f t="shared" si="0"/>
        <v>6664263</v>
      </c>
      <c r="F13" s="77">
        <v>91653</v>
      </c>
      <c r="G13" s="77">
        <v>4485</v>
      </c>
      <c r="H13" s="79"/>
      <c r="I13" s="79">
        <f>'2011B Academic'!I13</f>
        <v>3379091.2275</v>
      </c>
      <c r="J13" s="79">
        <f>'2011B Academic'!J13</f>
        <v>238443.33331170003</v>
      </c>
      <c r="K13" s="79">
        <f t="shared" si="1"/>
        <v>3617534.5608117003</v>
      </c>
      <c r="L13" s="79">
        <f>'2011B Academic'!L13</f>
        <v>49751.6222127</v>
      </c>
      <c r="M13" s="79">
        <f>'2011B Academic'!M13</f>
        <v>2434.5741615</v>
      </c>
      <c r="N13" s="79"/>
      <c r="O13" s="78">
        <f t="shared" si="2"/>
        <v>2845908.7725</v>
      </c>
      <c r="P13" s="80">
        <f t="shared" si="2"/>
        <v>200819.6666883</v>
      </c>
      <c r="Q13" s="78">
        <f t="shared" si="3"/>
        <v>3046728.4391883</v>
      </c>
      <c r="R13" s="78">
        <f t="shared" si="4"/>
        <v>41901.37778729999</v>
      </c>
      <c r="S13" s="78">
        <f t="shared" si="4"/>
        <v>2050.4258385</v>
      </c>
      <c r="T13" s="79"/>
      <c r="U13" s="78">
        <f t="shared" si="102"/>
        <v>508731.9</v>
      </c>
      <c r="V13" s="77">
        <f t="shared" si="5"/>
        <v>35898.329412</v>
      </c>
      <c r="W13" s="78">
        <f t="shared" si="6"/>
        <v>544630.229412</v>
      </c>
      <c r="X13" s="78">
        <f t="shared" si="7"/>
        <v>7490.249772</v>
      </c>
      <c r="Y13" s="77">
        <f t="shared" si="8"/>
        <v>366.53214</v>
      </c>
      <c r="Z13" s="79"/>
      <c r="AA13" s="78">
        <f t="shared" si="103"/>
        <v>370789.635</v>
      </c>
      <c r="AB13" s="78">
        <f t="shared" si="9"/>
        <v>26164.5248898</v>
      </c>
      <c r="AC13" s="78">
        <f t="shared" si="10"/>
        <v>396954.1598898</v>
      </c>
      <c r="AD13" s="78">
        <f t="shared" si="11"/>
        <v>5459.2742838</v>
      </c>
      <c r="AE13" s="77">
        <f t="shared" si="12"/>
        <v>267.14723100000003</v>
      </c>
      <c r="AF13" s="79"/>
      <c r="AG13" s="78">
        <f t="shared" si="104"/>
        <v>196587.99</v>
      </c>
      <c r="AH13" s="78">
        <f t="shared" si="13"/>
        <v>13872.101245200001</v>
      </c>
      <c r="AI13" s="78">
        <f t="shared" si="14"/>
        <v>210460.0912452</v>
      </c>
      <c r="AJ13" s="78">
        <f t="shared" si="15"/>
        <v>2894.4384012</v>
      </c>
      <c r="AK13" s="77">
        <f t="shared" si="16"/>
        <v>141.638094</v>
      </c>
      <c r="AL13" s="79"/>
      <c r="AM13" s="78">
        <f t="shared" si="105"/>
        <v>142975.80000000002</v>
      </c>
      <c r="AN13" s="78">
        <f t="shared" si="17"/>
        <v>10088.992584</v>
      </c>
      <c r="AO13" s="78">
        <f t="shared" si="18"/>
        <v>153064.792584</v>
      </c>
      <c r="AP13" s="78">
        <f t="shared" si="19"/>
        <v>2105.086104</v>
      </c>
      <c r="AQ13" s="77">
        <f t="shared" si="20"/>
        <v>103.01147999999999</v>
      </c>
      <c r="AR13" s="79"/>
      <c r="AS13" s="78">
        <f t="shared" si="106"/>
        <v>16377.3525</v>
      </c>
      <c r="AT13" s="78">
        <f t="shared" si="21"/>
        <v>1155.6570267</v>
      </c>
      <c r="AU13" s="78">
        <f t="shared" si="22"/>
        <v>17533.0095267</v>
      </c>
      <c r="AV13" s="78">
        <f t="shared" si="23"/>
        <v>241.12987769999998</v>
      </c>
      <c r="AW13" s="77">
        <f t="shared" si="24"/>
        <v>11.799586499999998</v>
      </c>
      <c r="AX13" s="79"/>
      <c r="AY13" s="78">
        <f t="shared" si="107"/>
        <v>259102.55249999996</v>
      </c>
      <c r="AZ13" s="78">
        <f t="shared" si="25"/>
        <v>18283.3999227</v>
      </c>
      <c r="BA13" s="78">
        <f t="shared" si="26"/>
        <v>277385.95242269995</v>
      </c>
      <c r="BB13" s="78">
        <f t="shared" si="27"/>
        <v>3814.8636536999998</v>
      </c>
      <c r="BC13" s="77">
        <f t="shared" si="28"/>
        <v>186.67870649999998</v>
      </c>
      <c r="BD13" s="79"/>
      <c r="BE13" s="78">
        <f t="shared" si="108"/>
        <v>28087.8225</v>
      </c>
      <c r="BF13" s="78">
        <f t="shared" si="29"/>
        <v>1981.9985823000002</v>
      </c>
      <c r="BG13" s="78">
        <f t="shared" si="30"/>
        <v>30069.821082299997</v>
      </c>
      <c r="BH13" s="78">
        <f t="shared" si="31"/>
        <v>413.54750129999996</v>
      </c>
      <c r="BI13" s="77">
        <f t="shared" si="32"/>
        <v>20.2367685</v>
      </c>
      <c r="BJ13" s="79"/>
      <c r="BK13" s="78">
        <f t="shared" si="109"/>
        <v>87864.0075</v>
      </c>
      <c r="BL13" s="78">
        <f t="shared" si="33"/>
        <v>6200.0654661</v>
      </c>
      <c r="BM13" s="78">
        <f t="shared" si="34"/>
        <v>94064.07296610001</v>
      </c>
      <c r="BN13" s="78">
        <f t="shared" si="35"/>
        <v>1293.6545991</v>
      </c>
      <c r="BO13" s="77">
        <f t="shared" si="36"/>
        <v>63.304429500000005</v>
      </c>
      <c r="BP13" s="79"/>
      <c r="BQ13" s="78">
        <f t="shared" si="110"/>
        <v>44557.9275</v>
      </c>
      <c r="BR13" s="78">
        <f t="shared" si="37"/>
        <v>3144.2006277</v>
      </c>
      <c r="BS13" s="78">
        <f t="shared" si="38"/>
        <v>47702.128127699994</v>
      </c>
      <c r="BT13" s="78">
        <f t="shared" si="39"/>
        <v>656.0430087</v>
      </c>
      <c r="BU13" s="77">
        <f t="shared" si="40"/>
        <v>32.1031815</v>
      </c>
      <c r="BV13" s="79"/>
      <c r="BW13" s="78">
        <f t="shared" si="111"/>
        <v>8653.3725</v>
      </c>
      <c r="BX13" s="78">
        <f t="shared" si="41"/>
        <v>610.6194962999999</v>
      </c>
      <c r="BY13" s="78">
        <f t="shared" si="42"/>
        <v>9263.9919963</v>
      </c>
      <c r="BZ13" s="78">
        <f t="shared" si="43"/>
        <v>127.4068353</v>
      </c>
      <c r="CA13" s="77">
        <f t="shared" si="44"/>
        <v>6.2345985</v>
      </c>
      <c r="CB13" s="79"/>
      <c r="CC13" s="78">
        <f t="shared" si="112"/>
        <v>34383.16500000001</v>
      </c>
      <c r="CD13" s="78">
        <f t="shared" si="45"/>
        <v>2426.2252542</v>
      </c>
      <c r="CE13" s="78">
        <f t="shared" si="46"/>
        <v>36809.39025420001</v>
      </c>
      <c r="CF13" s="78">
        <f t="shared" si="47"/>
        <v>506.23618020000004</v>
      </c>
      <c r="CG13" s="77">
        <f t="shared" si="48"/>
        <v>24.772449</v>
      </c>
      <c r="CH13" s="79"/>
      <c r="CI13" s="78">
        <f t="shared" si="113"/>
        <v>83858.8425</v>
      </c>
      <c r="CJ13" s="78">
        <f t="shared" si="49"/>
        <v>5917.443651899999</v>
      </c>
      <c r="CK13" s="78">
        <f t="shared" si="50"/>
        <v>89776.2861519</v>
      </c>
      <c r="CL13" s="78">
        <f t="shared" si="51"/>
        <v>1234.6850589</v>
      </c>
      <c r="CM13" s="77">
        <f t="shared" si="52"/>
        <v>60.418780500000004</v>
      </c>
      <c r="CN13" s="79"/>
      <c r="CO13" s="78">
        <f t="shared" si="114"/>
        <v>187698.69</v>
      </c>
      <c r="CP13" s="78">
        <f t="shared" si="53"/>
        <v>13244.8336812</v>
      </c>
      <c r="CQ13" s="78">
        <f t="shared" si="54"/>
        <v>200943.5236812</v>
      </c>
      <c r="CR13" s="78">
        <f t="shared" si="55"/>
        <v>2763.5579172</v>
      </c>
      <c r="CS13" s="77">
        <f t="shared" si="56"/>
        <v>135.23351399999999</v>
      </c>
      <c r="CT13" s="79"/>
      <c r="CU13" s="78">
        <f t="shared" si="115"/>
        <v>28397.8275</v>
      </c>
      <c r="CV13" s="78">
        <f t="shared" si="57"/>
        <v>2003.8738796999999</v>
      </c>
      <c r="CW13" s="78">
        <f t="shared" si="58"/>
        <v>30401.7013797</v>
      </c>
      <c r="CX13" s="78">
        <f t="shared" si="59"/>
        <v>418.1118207</v>
      </c>
      <c r="CY13" s="77">
        <f t="shared" si="60"/>
        <v>20.4601215</v>
      </c>
      <c r="CZ13" s="79"/>
      <c r="DA13" s="78">
        <f t="shared" si="116"/>
        <v>81596.67749999999</v>
      </c>
      <c r="DB13" s="78">
        <f t="shared" si="61"/>
        <v>5757.815477699999</v>
      </c>
      <c r="DC13" s="78">
        <f t="shared" si="62"/>
        <v>87354.49297769999</v>
      </c>
      <c r="DD13" s="78">
        <f t="shared" si="63"/>
        <v>1201.3783587</v>
      </c>
      <c r="DE13" s="77">
        <f t="shared" si="64"/>
        <v>58.788931500000004</v>
      </c>
      <c r="DF13" s="79"/>
      <c r="DG13" s="78">
        <f t="shared" si="117"/>
        <v>3144.2475</v>
      </c>
      <c r="DH13" s="78">
        <f t="shared" si="65"/>
        <v>221.8717413</v>
      </c>
      <c r="DI13" s="78">
        <f t="shared" si="66"/>
        <v>3366.1192413</v>
      </c>
      <c r="DJ13" s="78">
        <f t="shared" si="67"/>
        <v>46.2939303</v>
      </c>
      <c r="DK13" s="77">
        <f t="shared" si="68"/>
        <v>2.2653735</v>
      </c>
      <c r="DL13" s="79"/>
      <c r="DM13" s="90">
        <f t="shared" si="118"/>
        <v>172132.455</v>
      </c>
      <c r="DN13" s="90">
        <f t="shared" si="69"/>
        <v>12146.4126234</v>
      </c>
      <c r="DO13" s="90">
        <f t="shared" si="70"/>
        <v>184278.8676234</v>
      </c>
      <c r="DP13" s="90">
        <f t="shared" si="71"/>
        <v>2534.3704254</v>
      </c>
      <c r="DQ13" s="92">
        <f t="shared" si="72"/>
        <v>124.01832300000001</v>
      </c>
      <c r="DR13" s="79"/>
      <c r="DS13" s="78">
        <f t="shared" si="119"/>
        <v>27099.915</v>
      </c>
      <c r="DT13" s="78">
        <f t="shared" si="73"/>
        <v>1912.2875442000002</v>
      </c>
      <c r="DU13" s="78">
        <f t="shared" si="74"/>
        <v>29012.2025442</v>
      </c>
      <c r="DV13" s="78">
        <f t="shared" si="75"/>
        <v>399.0021702</v>
      </c>
      <c r="DW13" s="77">
        <f t="shared" si="76"/>
        <v>19.524999</v>
      </c>
      <c r="DX13" s="79"/>
      <c r="DY13" s="78">
        <f t="shared" si="120"/>
        <v>139458.0525</v>
      </c>
      <c r="DZ13" s="78">
        <f t="shared" si="77"/>
        <v>9840.765062699998</v>
      </c>
      <c r="EA13" s="78">
        <f t="shared" si="78"/>
        <v>149298.8175627</v>
      </c>
      <c r="EB13" s="78">
        <f t="shared" si="79"/>
        <v>2053.2929937</v>
      </c>
      <c r="EC13" s="77">
        <f t="shared" si="80"/>
        <v>100.4770065</v>
      </c>
      <c r="ED13" s="79"/>
      <c r="EE13" s="78">
        <f t="shared" si="121"/>
        <v>39813.855</v>
      </c>
      <c r="EF13" s="78">
        <f t="shared" si="81"/>
        <v>2809.4382954000002</v>
      </c>
      <c r="EG13" s="78">
        <f t="shared" si="82"/>
        <v>42623.293295400006</v>
      </c>
      <c r="EH13" s="78">
        <f t="shared" si="83"/>
        <v>586.1942574</v>
      </c>
      <c r="EI13" s="77">
        <f t="shared" si="84"/>
        <v>28.685163</v>
      </c>
      <c r="EJ13" s="79"/>
      <c r="EK13" s="78">
        <f t="shared" si="122"/>
        <v>399.645</v>
      </c>
      <c r="EL13" s="78">
        <f t="shared" si="85"/>
        <v>28.2006846</v>
      </c>
      <c r="EM13" s="78">
        <f t="shared" si="86"/>
        <v>427.84568459999997</v>
      </c>
      <c r="EN13" s="78">
        <f t="shared" si="87"/>
        <v>5.8841226</v>
      </c>
      <c r="EO13" s="77">
        <f t="shared" si="88"/>
        <v>0.287937</v>
      </c>
      <c r="EP13" s="79"/>
      <c r="EQ13" s="78">
        <f t="shared" si="123"/>
        <v>742.02</v>
      </c>
      <c r="ER13" s="78">
        <f t="shared" si="89"/>
        <v>52.36014960000001</v>
      </c>
      <c r="ES13" s="78">
        <f t="shared" si="90"/>
        <v>794.3801496</v>
      </c>
      <c r="ET13" s="78">
        <f t="shared" si="91"/>
        <v>10.9250376</v>
      </c>
      <c r="EU13" s="77">
        <f t="shared" si="92"/>
        <v>0.534612</v>
      </c>
      <c r="EV13" s="79"/>
      <c r="EW13" s="78">
        <f t="shared" si="124"/>
        <v>134133.81</v>
      </c>
      <c r="EX13" s="78">
        <f t="shared" si="93"/>
        <v>9465.0634188</v>
      </c>
      <c r="EY13" s="78">
        <f t="shared" si="94"/>
        <v>143598.8734188</v>
      </c>
      <c r="EZ13" s="78">
        <f t="shared" si="95"/>
        <v>1974.9021828</v>
      </c>
      <c r="FA13" s="77">
        <f t="shared" si="96"/>
        <v>96.640986</v>
      </c>
      <c r="FB13" s="79"/>
      <c r="FC13" s="78">
        <f t="shared" si="125"/>
        <v>249321.21</v>
      </c>
      <c r="FD13" s="78">
        <f t="shared" si="97"/>
        <v>17593.1859708</v>
      </c>
      <c r="FE13" s="78">
        <f t="shared" si="98"/>
        <v>266914.3959708</v>
      </c>
      <c r="FF13" s="78">
        <f t="shared" si="99"/>
        <v>3670.8492948</v>
      </c>
      <c r="FG13" s="77">
        <f t="shared" si="100"/>
        <v>179.631426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>
      <c r="A14" s="51">
        <v>44835</v>
      </c>
      <c r="C14" s="42"/>
      <c r="D14" s="42">
        <v>283638</v>
      </c>
      <c r="E14" s="77">
        <f t="shared" si="0"/>
        <v>283638</v>
      </c>
      <c r="F14" s="77">
        <v>91653</v>
      </c>
      <c r="G14" s="77">
        <v>4485</v>
      </c>
      <c r="H14" s="79"/>
      <c r="I14" s="79">
        <f>'2011B Academic'!I14</f>
        <v>0</v>
      </c>
      <c r="J14" s="79">
        <f>'2011B Academic'!J14</f>
        <v>153966.0526242</v>
      </c>
      <c r="K14" s="79">
        <f t="shared" si="1"/>
        <v>153966.0526242</v>
      </c>
      <c r="L14" s="79">
        <f>'2011B Academic'!L14</f>
        <v>49751.6222127</v>
      </c>
      <c r="M14" s="79">
        <f>'2011B Academic'!M14</f>
        <v>2434.5741615</v>
      </c>
      <c r="N14" s="79"/>
      <c r="O14" s="78">
        <f t="shared" si="2"/>
        <v>0</v>
      </c>
      <c r="P14" s="80">
        <f t="shared" si="2"/>
        <v>129671.94737580001</v>
      </c>
      <c r="Q14" s="78">
        <f t="shared" si="3"/>
        <v>129671.94737580001</v>
      </c>
      <c r="R14" s="78">
        <f t="shared" si="4"/>
        <v>41901.37778729999</v>
      </c>
      <c r="S14" s="78">
        <f t="shared" si="4"/>
        <v>2050.4258385</v>
      </c>
      <c r="T14" s="79"/>
      <c r="U14" s="78"/>
      <c r="V14" s="77">
        <f t="shared" si="5"/>
        <v>23180.031912</v>
      </c>
      <c r="W14" s="78">
        <f t="shared" si="6"/>
        <v>23180.031912</v>
      </c>
      <c r="X14" s="78">
        <f t="shared" si="7"/>
        <v>7490.249772</v>
      </c>
      <c r="Y14" s="77">
        <f t="shared" si="8"/>
        <v>366.53214</v>
      </c>
      <c r="Z14" s="79"/>
      <c r="AA14" s="78"/>
      <c r="AB14" s="78">
        <f t="shared" si="9"/>
        <v>16894.7840148</v>
      </c>
      <c r="AC14" s="78">
        <f t="shared" si="10"/>
        <v>16894.7840148</v>
      </c>
      <c r="AD14" s="78">
        <f t="shared" si="11"/>
        <v>5459.2742838</v>
      </c>
      <c r="AE14" s="77">
        <f t="shared" si="12"/>
        <v>267.14723100000003</v>
      </c>
      <c r="AF14" s="79"/>
      <c r="AG14" s="78"/>
      <c r="AH14" s="78">
        <f t="shared" si="13"/>
        <v>8957.401495200002</v>
      </c>
      <c r="AI14" s="78">
        <f t="shared" si="14"/>
        <v>8957.401495200002</v>
      </c>
      <c r="AJ14" s="78">
        <f t="shared" si="15"/>
        <v>2894.4384012</v>
      </c>
      <c r="AK14" s="77">
        <f t="shared" si="16"/>
        <v>141.638094</v>
      </c>
      <c r="AL14" s="79"/>
      <c r="AM14" s="78"/>
      <c r="AN14" s="78">
        <f t="shared" si="17"/>
        <v>6514.597584</v>
      </c>
      <c r="AO14" s="78">
        <f t="shared" si="18"/>
        <v>6514.597584</v>
      </c>
      <c r="AP14" s="78">
        <f t="shared" si="19"/>
        <v>2105.086104</v>
      </c>
      <c r="AQ14" s="77">
        <f t="shared" si="20"/>
        <v>103.01147999999999</v>
      </c>
      <c r="AR14" s="79"/>
      <c r="AS14" s="78"/>
      <c r="AT14" s="78">
        <f t="shared" si="21"/>
        <v>746.2232141999999</v>
      </c>
      <c r="AU14" s="78">
        <f t="shared" si="22"/>
        <v>746.2232141999999</v>
      </c>
      <c r="AV14" s="78">
        <f t="shared" si="23"/>
        <v>241.12987769999998</v>
      </c>
      <c r="AW14" s="77">
        <f t="shared" si="24"/>
        <v>11.799586499999998</v>
      </c>
      <c r="AX14" s="79"/>
      <c r="AY14" s="78"/>
      <c r="AZ14" s="78">
        <f t="shared" si="25"/>
        <v>11805.8361102</v>
      </c>
      <c r="BA14" s="78">
        <f t="shared" si="26"/>
        <v>11805.8361102</v>
      </c>
      <c r="BB14" s="78">
        <f t="shared" si="27"/>
        <v>3814.8636536999998</v>
      </c>
      <c r="BC14" s="77">
        <f t="shared" si="28"/>
        <v>186.67870649999998</v>
      </c>
      <c r="BD14" s="79"/>
      <c r="BE14" s="78"/>
      <c r="BF14" s="78">
        <f t="shared" si="29"/>
        <v>1279.8030198000001</v>
      </c>
      <c r="BG14" s="78">
        <f t="shared" si="30"/>
        <v>1279.8030198000001</v>
      </c>
      <c r="BH14" s="78">
        <f t="shared" si="31"/>
        <v>413.54750129999996</v>
      </c>
      <c r="BI14" s="77">
        <f t="shared" si="32"/>
        <v>20.2367685</v>
      </c>
      <c r="BJ14" s="79"/>
      <c r="BK14" s="78"/>
      <c r="BL14" s="78">
        <f t="shared" si="33"/>
        <v>4003.4652785999997</v>
      </c>
      <c r="BM14" s="78">
        <f t="shared" si="34"/>
        <v>4003.4652785999997</v>
      </c>
      <c r="BN14" s="78">
        <f t="shared" si="35"/>
        <v>1293.6545991</v>
      </c>
      <c r="BO14" s="77">
        <f t="shared" si="36"/>
        <v>63.304429500000005</v>
      </c>
      <c r="BP14" s="79"/>
      <c r="BQ14" s="78"/>
      <c r="BR14" s="78">
        <f t="shared" si="37"/>
        <v>2030.2524402000001</v>
      </c>
      <c r="BS14" s="78">
        <f t="shared" si="38"/>
        <v>2030.2524402000001</v>
      </c>
      <c r="BT14" s="78">
        <f t="shared" si="39"/>
        <v>656.0430087</v>
      </c>
      <c r="BU14" s="77">
        <f t="shared" si="40"/>
        <v>32.1031815</v>
      </c>
      <c r="BV14" s="79"/>
      <c r="BW14" s="78"/>
      <c r="BX14" s="78">
        <f t="shared" si="41"/>
        <v>394.2851838</v>
      </c>
      <c r="BY14" s="78">
        <f t="shared" si="42"/>
        <v>394.2851838</v>
      </c>
      <c r="BZ14" s="78">
        <f t="shared" si="43"/>
        <v>127.4068353</v>
      </c>
      <c r="CA14" s="77">
        <f t="shared" si="44"/>
        <v>6.2345985</v>
      </c>
      <c r="CB14" s="79"/>
      <c r="CC14" s="78"/>
      <c r="CD14" s="78">
        <f t="shared" si="45"/>
        <v>1566.6461292000001</v>
      </c>
      <c r="CE14" s="78">
        <f t="shared" si="46"/>
        <v>1566.6461292000001</v>
      </c>
      <c r="CF14" s="78">
        <f t="shared" si="47"/>
        <v>506.23618020000004</v>
      </c>
      <c r="CG14" s="77">
        <f t="shared" si="48"/>
        <v>24.772449</v>
      </c>
      <c r="CH14" s="79"/>
      <c r="CI14" s="78"/>
      <c r="CJ14" s="78">
        <f t="shared" si="49"/>
        <v>3820.9725894</v>
      </c>
      <c r="CK14" s="78">
        <f t="shared" si="50"/>
        <v>3820.9725894</v>
      </c>
      <c r="CL14" s="78">
        <f t="shared" si="51"/>
        <v>1234.6850589</v>
      </c>
      <c r="CM14" s="77">
        <f t="shared" si="52"/>
        <v>60.418780500000004</v>
      </c>
      <c r="CN14" s="79"/>
      <c r="CO14" s="78"/>
      <c r="CP14" s="78">
        <f t="shared" si="53"/>
        <v>8552.3664312</v>
      </c>
      <c r="CQ14" s="78">
        <f t="shared" si="54"/>
        <v>8552.3664312</v>
      </c>
      <c r="CR14" s="78">
        <f t="shared" si="55"/>
        <v>2763.5579172</v>
      </c>
      <c r="CS14" s="77">
        <f t="shared" si="56"/>
        <v>135.23351399999999</v>
      </c>
      <c r="CT14" s="79"/>
      <c r="CU14" s="78"/>
      <c r="CV14" s="78">
        <f t="shared" si="57"/>
        <v>1293.9281922</v>
      </c>
      <c r="CW14" s="78">
        <f t="shared" si="58"/>
        <v>1293.9281922</v>
      </c>
      <c r="CX14" s="78">
        <f t="shared" si="59"/>
        <v>418.1118207</v>
      </c>
      <c r="CY14" s="77">
        <f t="shared" si="60"/>
        <v>20.4601215</v>
      </c>
      <c r="CZ14" s="79"/>
      <c r="DA14" s="78"/>
      <c r="DB14" s="78">
        <f t="shared" si="61"/>
        <v>3717.8985402</v>
      </c>
      <c r="DC14" s="78">
        <f t="shared" si="62"/>
        <v>3717.8985402</v>
      </c>
      <c r="DD14" s="78">
        <f t="shared" si="63"/>
        <v>1201.3783587</v>
      </c>
      <c r="DE14" s="77">
        <f t="shared" si="64"/>
        <v>58.788931500000004</v>
      </c>
      <c r="DF14" s="79"/>
      <c r="DG14" s="78"/>
      <c r="DH14" s="78">
        <f t="shared" si="65"/>
        <v>143.2655538</v>
      </c>
      <c r="DI14" s="78">
        <f t="shared" si="66"/>
        <v>143.2655538</v>
      </c>
      <c r="DJ14" s="78">
        <f t="shared" si="67"/>
        <v>46.2939303</v>
      </c>
      <c r="DK14" s="77">
        <f t="shared" si="68"/>
        <v>2.2653735</v>
      </c>
      <c r="DL14" s="79"/>
      <c r="DM14" s="90"/>
      <c r="DN14" s="90">
        <f t="shared" si="69"/>
        <v>7843.101248399999</v>
      </c>
      <c r="DO14" s="90">
        <f t="shared" si="70"/>
        <v>7843.101248399999</v>
      </c>
      <c r="DP14" s="90">
        <f t="shared" si="71"/>
        <v>2534.3704254</v>
      </c>
      <c r="DQ14" s="92">
        <f t="shared" si="72"/>
        <v>124.01832300000001</v>
      </c>
      <c r="DR14" s="79"/>
      <c r="DS14" s="78"/>
      <c r="DT14" s="78">
        <f t="shared" si="73"/>
        <v>1234.7896692000002</v>
      </c>
      <c r="DU14" s="78">
        <f t="shared" si="74"/>
        <v>1234.7896692000002</v>
      </c>
      <c r="DV14" s="78">
        <f t="shared" si="75"/>
        <v>399.0021702</v>
      </c>
      <c r="DW14" s="77">
        <f t="shared" si="76"/>
        <v>19.524999</v>
      </c>
      <c r="DX14" s="79"/>
      <c r="DY14" s="78"/>
      <c r="DZ14" s="78">
        <f t="shared" si="77"/>
        <v>6354.313750199999</v>
      </c>
      <c r="EA14" s="78">
        <f t="shared" si="78"/>
        <v>6354.313750199999</v>
      </c>
      <c r="EB14" s="78">
        <f t="shared" si="79"/>
        <v>2053.2929937</v>
      </c>
      <c r="EC14" s="77">
        <f t="shared" si="80"/>
        <v>100.4770065</v>
      </c>
      <c r="ED14" s="79"/>
      <c r="EE14" s="78"/>
      <c r="EF14" s="78">
        <f t="shared" si="81"/>
        <v>1814.0919204000002</v>
      </c>
      <c r="EG14" s="78">
        <f t="shared" si="82"/>
        <v>1814.0919204000002</v>
      </c>
      <c r="EH14" s="78">
        <f t="shared" si="83"/>
        <v>586.1942574</v>
      </c>
      <c r="EI14" s="77">
        <f t="shared" si="84"/>
        <v>28.685163</v>
      </c>
      <c r="EJ14" s="79"/>
      <c r="EK14" s="78"/>
      <c r="EL14" s="78">
        <f t="shared" si="85"/>
        <v>18.2095596</v>
      </c>
      <c r="EM14" s="78">
        <f t="shared" si="86"/>
        <v>18.2095596</v>
      </c>
      <c r="EN14" s="78">
        <f t="shared" si="87"/>
        <v>5.8841226</v>
      </c>
      <c r="EO14" s="77">
        <f t="shared" si="88"/>
        <v>0.287937</v>
      </c>
      <c r="EP14" s="79"/>
      <c r="EQ14" s="78"/>
      <c r="ER14" s="78">
        <f t="shared" si="89"/>
        <v>33.8096496</v>
      </c>
      <c r="ES14" s="78">
        <f t="shared" si="90"/>
        <v>33.8096496</v>
      </c>
      <c r="ET14" s="78">
        <f t="shared" si="91"/>
        <v>10.9250376</v>
      </c>
      <c r="EU14" s="77">
        <f t="shared" si="92"/>
        <v>0.534612</v>
      </c>
      <c r="EV14" s="79"/>
      <c r="EW14" s="78"/>
      <c r="EX14" s="78">
        <f t="shared" si="93"/>
        <v>6111.718168800001</v>
      </c>
      <c r="EY14" s="78">
        <f t="shared" si="94"/>
        <v>6111.718168800001</v>
      </c>
      <c r="EZ14" s="78">
        <f t="shared" si="95"/>
        <v>1974.9021828</v>
      </c>
      <c r="FA14" s="77">
        <f t="shared" si="96"/>
        <v>96.640986</v>
      </c>
      <c r="FB14" s="79"/>
      <c r="FC14" s="78"/>
      <c r="FD14" s="78">
        <f t="shared" si="97"/>
        <v>11360.155720800001</v>
      </c>
      <c r="FE14" s="78">
        <f t="shared" si="98"/>
        <v>11360.155720800001</v>
      </c>
      <c r="FF14" s="78">
        <f t="shared" si="99"/>
        <v>3670.8492948</v>
      </c>
      <c r="FG14" s="77">
        <f t="shared" si="100"/>
        <v>179.631426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>
      <c r="A15" s="51">
        <v>45017</v>
      </c>
      <c r="C15" s="42">
        <v>6540000</v>
      </c>
      <c r="D15" s="42">
        <v>283638</v>
      </c>
      <c r="E15" s="77">
        <f t="shared" si="0"/>
        <v>6823638</v>
      </c>
      <c r="F15" s="77">
        <v>91653</v>
      </c>
      <c r="G15" s="77">
        <v>4485</v>
      </c>
      <c r="H15" s="79"/>
      <c r="I15" s="79">
        <f>'2011B Academic'!I15</f>
        <v>3550081.3860000004</v>
      </c>
      <c r="J15" s="79">
        <f>'2011B Academic'!J15</f>
        <v>153966.0526242</v>
      </c>
      <c r="K15" s="79">
        <f t="shared" si="1"/>
        <v>3704047.4386242004</v>
      </c>
      <c r="L15" s="79">
        <f>'2011B Academic'!L15</f>
        <v>49751.6222127</v>
      </c>
      <c r="M15" s="79">
        <f>'2011B Academic'!M15</f>
        <v>2434.5741615</v>
      </c>
      <c r="N15" s="79"/>
      <c r="O15" s="78">
        <f t="shared" si="2"/>
        <v>2989918.614</v>
      </c>
      <c r="P15" s="80">
        <f t="shared" si="2"/>
        <v>129671.94737580001</v>
      </c>
      <c r="Q15" s="78">
        <f t="shared" si="3"/>
        <v>3119590.5613758</v>
      </c>
      <c r="R15" s="78">
        <f t="shared" si="4"/>
        <v>41901.37778729999</v>
      </c>
      <c r="S15" s="78">
        <f t="shared" si="4"/>
        <v>2050.4258385</v>
      </c>
      <c r="T15" s="79"/>
      <c r="U15" s="78">
        <f t="shared" si="102"/>
        <v>534474.96</v>
      </c>
      <c r="V15" s="77">
        <f t="shared" si="5"/>
        <v>23180.031912</v>
      </c>
      <c r="W15" s="78">
        <f t="shared" si="6"/>
        <v>557654.991912</v>
      </c>
      <c r="X15" s="78">
        <f t="shared" si="7"/>
        <v>7490.249772</v>
      </c>
      <c r="Y15" s="77">
        <f t="shared" si="8"/>
        <v>366.53214</v>
      </c>
      <c r="Z15" s="79"/>
      <c r="AA15" s="78">
        <f t="shared" si="103"/>
        <v>389552.484</v>
      </c>
      <c r="AB15" s="78">
        <f t="shared" si="9"/>
        <v>16894.7840148</v>
      </c>
      <c r="AC15" s="78">
        <f t="shared" si="10"/>
        <v>406447.2680148</v>
      </c>
      <c r="AD15" s="78">
        <f t="shared" si="11"/>
        <v>5459.2742838</v>
      </c>
      <c r="AE15" s="77">
        <f t="shared" si="12"/>
        <v>267.14723100000003</v>
      </c>
      <c r="AF15" s="79"/>
      <c r="AG15" s="78">
        <f t="shared" si="104"/>
        <v>206535.81600000002</v>
      </c>
      <c r="AH15" s="78">
        <f t="shared" si="13"/>
        <v>8957.401495200002</v>
      </c>
      <c r="AI15" s="78">
        <f t="shared" si="14"/>
        <v>215493.21749520002</v>
      </c>
      <c r="AJ15" s="78">
        <f t="shared" si="15"/>
        <v>2894.4384012</v>
      </c>
      <c r="AK15" s="77">
        <f t="shared" si="16"/>
        <v>141.638094</v>
      </c>
      <c r="AL15" s="79"/>
      <c r="AM15" s="78">
        <f t="shared" si="105"/>
        <v>150210.72000000003</v>
      </c>
      <c r="AN15" s="78">
        <f t="shared" si="17"/>
        <v>6514.597584</v>
      </c>
      <c r="AO15" s="78">
        <f t="shared" si="18"/>
        <v>156725.31758400003</v>
      </c>
      <c r="AP15" s="78">
        <f t="shared" si="19"/>
        <v>2105.086104</v>
      </c>
      <c r="AQ15" s="77">
        <f t="shared" si="20"/>
        <v>103.01147999999999</v>
      </c>
      <c r="AR15" s="79"/>
      <c r="AS15" s="78">
        <f t="shared" si="106"/>
        <v>17206.086</v>
      </c>
      <c r="AT15" s="78">
        <f t="shared" si="21"/>
        <v>746.2232141999999</v>
      </c>
      <c r="AU15" s="78">
        <f t="shared" si="22"/>
        <v>17952.3092142</v>
      </c>
      <c r="AV15" s="78">
        <f t="shared" si="23"/>
        <v>241.12987769999998</v>
      </c>
      <c r="AW15" s="77">
        <f t="shared" si="24"/>
        <v>11.799586499999998</v>
      </c>
      <c r="AX15" s="79"/>
      <c r="AY15" s="78">
        <f t="shared" si="107"/>
        <v>272213.766</v>
      </c>
      <c r="AZ15" s="78">
        <f t="shared" si="25"/>
        <v>11805.8361102</v>
      </c>
      <c r="BA15" s="78">
        <f t="shared" si="26"/>
        <v>284019.6021102</v>
      </c>
      <c r="BB15" s="78">
        <f t="shared" si="27"/>
        <v>3814.8636536999998</v>
      </c>
      <c r="BC15" s="77">
        <f t="shared" si="28"/>
        <v>186.67870649999998</v>
      </c>
      <c r="BD15" s="79"/>
      <c r="BE15" s="78">
        <f t="shared" si="108"/>
        <v>29509.134</v>
      </c>
      <c r="BF15" s="78">
        <f t="shared" si="29"/>
        <v>1279.8030198000001</v>
      </c>
      <c r="BG15" s="78">
        <f t="shared" si="30"/>
        <v>30788.9370198</v>
      </c>
      <c r="BH15" s="78">
        <f t="shared" si="31"/>
        <v>413.54750129999996</v>
      </c>
      <c r="BI15" s="77">
        <f t="shared" si="32"/>
        <v>20.2367685</v>
      </c>
      <c r="BJ15" s="79"/>
      <c r="BK15" s="78">
        <f t="shared" si="109"/>
        <v>92310.138</v>
      </c>
      <c r="BL15" s="78">
        <f t="shared" si="33"/>
        <v>4003.4652785999997</v>
      </c>
      <c r="BM15" s="78">
        <f t="shared" si="34"/>
        <v>96313.6032786</v>
      </c>
      <c r="BN15" s="78">
        <f t="shared" si="35"/>
        <v>1293.6545991</v>
      </c>
      <c r="BO15" s="77">
        <f t="shared" si="36"/>
        <v>63.304429500000005</v>
      </c>
      <c r="BP15" s="79"/>
      <c r="BQ15" s="78">
        <f t="shared" si="110"/>
        <v>46812.666000000005</v>
      </c>
      <c r="BR15" s="78">
        <f t="shared" si="37"/>
        <v>2030.2524402000001</v>
      </c>
      <c r="BS15" s="78">
        <f t="shared" si="38"/>
        <v>48842.9184402</v>
      </c>
      <c r="BT15" s="78">
        <f t="shared" si="39"/>
        <v>656.0430087</v>
      </c>
      <c r="BU15" s="77">
        <f t="shared" si="40"/>
        <v>32.1031815</v>
      </c>
      <c r="BV15" s="79"/>
      <c r="BW15" s="78">
        <f t="shared" si="111"/>
        <v>9091.254</v>
      </c>
      <c r="BX15" s="78">
        <f t="shared" si="41"/>
        <v>394.2851838</v>
      </c>
      <c r="BY15" s="78">
        <f t="shared" si="42"/>
        <v>9485.539183800001</v>
      </c>
      <c r="BZ15" s="78">
        <f t="shared" si="43"/>
        <v>127.4068353</v>
      </c>
      <c r="CA15" s="77">
        <f t="shared" si="44"/>
        <v>6.2345985</v>
      </c>
      <c r="CB15" s="79"/>
      <c r="CC15" s="78">
        <f t="shared" si="112"/>
        <v>36123.03600000001</v>
      </c>
      <c r="CD15" s="78">
        <f t="shared" si="45"/>
        <v>1566.6461292000001</v>
      </c>
      <c r="CE15" s="78">
        <f t="shared" si="46"/>
        <v>37689.68212920001</v>
      </c>
      <c r="CF15" s="78">
        <f t="shared" si="47"/>
        <v>506.23618020000004</v>
      </c>
      <c r="CG15" s="77">
        <f t="shared" si="48"/>
        <v>24.772449</v>
      </c>
      <c r="CH15" s="79"/>
      <c r="CI15" s="78">
        <f t="shared" si="113"/>
        <v>88102.302</v>
      </c>
      <c r="CJ15" s="78">
        <f t="shared" si="49"/>
        <v>3820.9725894</v>
      </c>
      <c r="CK15" s="78">
        <f t="shared" si="50"/>
        <v>91923.2745894</v>
      </c>
      <c r="CL15" s="78">
        <f t="shared" si="51"/>
        <v>1234.6850589</v>
      </c>
      <c r="CM15" s="77">
        <f t="shared" si="52"/>
        <v>60.418780500000004</v>
      </c>
      <c r="CN15" s="79"/>
      <c r="CO15" s="78">
        <f t="shared" si="114"/>
        <v>197196.69599999997</v>
      </c>
      <c r="CP15" s="78">
        <f t="shared" si="53"/>
        <v>8552.3664312</v>
      </c>
      <c r="CQ15" s="78">
        <f t="shared" si="54"/>
        <v>205749.06243119997</v>
      </c>
      <c r="CR15" s="78">
        <f t="shared" si="55"/>
        <v>2763.5579172</v>
      </c>
      <c r="CS15" s="77">
        <f t="shared" si="56"/>
        <v>135.23351399999999</v>
      </c>
      <c r="CT15" s="79"/>
      <c r="CU15" s="78">
        <f t="shared" si="115"/>
        <v>29834.826</v>
      </c>
      <c r="CV15" s="78">
        <f t="shared" si="57"/>
        <v>1293.9281922</v>
      </c>
      <c r="CW15" s="78">
        <f t="shared" si="58"/>
        <v>31128.754192200002</v>
      </c>
      <c r="CX15" s="78">
        <f t="shared" si="59"/>
        <v>418.1118207</v>
      </c>
      <c r="CY15" s="77">
        <f t="shared" si="60"/>
        <v>20.4601215</v>
      </c>
      <c r="CZ15" s="79"/>
      <c r="DA15" s="78">
        <f t="shared" si="116"/>
        <v>85725.666</v>
      </c>
      <c r="DB15" s="78">
        <f t="shared" si="61"/>
        <v>3717.8985402</v>
      </c>
      <c r="DC15" s="78">
        <f t="shared" si="62"/>
        <v>89443.5645402</v>
      </c>
      <c r="DD15" s="78">
        <f t="shared" si="63"/>
        <v>1201.3783587</v>
      </c>
      <c r="DE15" s="77">
        <f t="shared" si="64"/>
        <v>58.788931500000004</v>
      </c>
      <c r="DF15" s="79"/>
      <c r="DG15" s="78">
        <f t="shared" si="117"/>
        <v>3303.3540000000003</v>
      </c>
      <c r="DH15" s="78">
        <f t="shared" si="65"/>
        <v>143.2655538</v>
      </c>
      <c r="DI15" s="78">
        <f t="shared" si="66"/>
        <v>3446.6195538</v>
      </c>
      <c r="DJ15" s="78">
        <f t="shared" si="67"/>
        <v>46.2939303</v>
      </c>
      <c r="DK15" s="77">
        <f t="shared" si="68"/>
        <v>2.2653735</v>
      </c>
      <c r="DL15" s="79"/>
      <c r="DM15" s="90">
        <f t="shared" si="118"/>
        <v>180842.772</v>
      </c>
      <c r="DN15" s="90">
        <f t="shared" si="69"/>
        <v>7843.101248399999</v>
      </c>
      <c r="DO15" s="90">
        <f t="shared" si="70"/>
        <v>188685.8732484</v>
      </c>
      <c r="DP15" s="90">
        <f t="shared" si="71"/>
        <v>2534.3704254</v>
      </c>
      <c r="DQ15" s="92">
        <f t="shared" si="72"/>
        <v>124.01832300000001</v>
      </c>
      <c r="DR15" s="79"/>
      <c r="DS15" s="78">
        <f t="shared" si="119"/>
        <v>28471.236</v>
      </c>
      <c r="DT15" s="78">
        <f t="shared" si="73"/>
        <v>1234.7896692000002</v>
      </c>
      <c r="DU15" s="78">
        <f t="shared" si="74"/>
        <v>29706.0256692</v>
      </c>
      <c r="DV15" s="78">
        <f t="shared" si="75"/>
        <v>399.0021702</v>
      </c>
      <c r="DW15" s="77">
        <f t="shared" si="76"/>
        <v>19.524999</v>
      </c>
      <c r="DX15" s="79"/>
      <c r="DY15" s="78">
        <f t="shared" si="120"/>
        <v>146514.966</v>
      </c>
      <c r="DZ15" s="78">
        <f t="shared" si="77"/>
        <v>6354.313750199999</v>
      </c>
      <c r="EA15" s="78">
        <f t="shared" si="78"/>
        <v>152869.2797502</v>
      </c>
      <c r="EB15" s="78">
        <f t="shared" si="79"/>
        <v>2053.2929937</v>
      </c>
      <c r="EC15" s="77">
        <f t="shared" si="80"/>
        <v>100.4770065</v>
      </c>
      <c r="ED15" s="79"/>
      <c r="EE15" s="78">
        <f t="shared" si="121"/>
        <v>41828.532</v>
      </c>
      <c r="EF15" s="78">
        <f t="shared" si="81"/>
        <v>1814.0919204000002</v>
      </c>
      <c r="EG15" s="78">
        <f t="shared" si="82"/>
        <v>43642.6239204</v>
      </c>
      <c r="EH15" s="78">
        <f t="shared" si="83"/>
        <v>586.1942574</v>
      </c>
      <c r="EI15" s="77">
        <f t="shared" si="84"/>
        <v>28.685163</v>
      </c>
      <c r="EJ15" s="79"/>
      <c r="EK15" s="78">
        <f t="shared" si="122"/>
        <v>419.86800000000005</v>
      </c>
      <c r="EL15" s="78">
        <f t="shared" si="85"/>
        <v>18.2095596</v>
      </c>
      <c r="EM15" s="78">
        <f t="shared" si="86"/>
        <v>438.07755960000003</v>
      </c>
      <c r="EN15" s="78">
        <f t="shared" si="87"/>
        <v>5.8841226</v>
      </c>
      <c r="EO15" s="77">
        <f t="shared" si="88"/>
        <v>0.287937</v>
      </c>
      <c r="EP15" s="79"/>
      <c r="EQ15" s="78">
        <f t="shared" si="123"/>
        <v>779.568</v>
      </c>
      <c r="ER15" s="78">
        <f t="shared" si="89"/>
        <v>33.8096496</v>
      </c>
      <c r="ES15" s="78">
        <f t="shared" si="90"/>
        <v>813.3776496</v>
      </c>
      <c r="ET15" s="78">
        <f t="shared" si="91"/>
        <v>10.9250376</v>
      </c>
      <c r="EU15" s="77">
        <f t="shared" si="92"/>
        <v>0.534612</v>
      </c>
      <c r="EV15" s="79"/>
      <c r="EW15" s="78">
        <f t="shared" si="124"/>
        <v>140921.304</v>
      </c>
      <c r="EX15" s="78">
        <f t="shared" si="93"/>
        <v>6111.718168800001</v>
      </c>
      <c r="EY15" s="78">
        <f t="shared" si="94"/>
        <v>147033.0221688</v>
      </c>
      <c r="EZ15" s="78">
        <f t="shared" si="95"/>
        <v>1974.9021828</v>
      </c>
      <c r="FA15" s="77">
        <f t="shared" si="96"/>
        <v>96.640986</v>
      </c>
      <c r="FB15" s="79"/>
      <c r="FC15" s="78">
        <f t="shared" si="125"/>
        <v>261937.46399999998</v>
      </c>
      <c r="FD15" s="78">
        <f t="shared" si="97"/>
        <v>11360.155720800001</v>
      </c>
      <c r="FE15" s="78">
        <f t="shared" si="98"/>
        <v>273297.61972079996</v>
      </c>
      <c r="FF15" s="78">
        <f t="shared" si="99"/>
        <v>3670.8492948</v>
      </c>
      <c r="FG15" s="77">
        <f t="shared" si="100"/>
        <v>179.631426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>
      <c r="A16" s="51">
        <v>45200</v>
      </c>
      <c r="C16" s="42"/>
      <c r="D16" s="42">
        <v>120138</v>
      </c>
      <c r="E16" s="77">
        <f t="shared" si="0"/>
        <v>120138</v>
      </c>
      <c r="F16" s="77">
        <v>91653</v>
      </c>
      <c r="G16" s="77">
        <v>4485</v>
      </c>
      <c r="H16" s="79"/>
      <c r="I16" s="79">
        <f>'2011B Academic'!I16</f>
        <v>0</v>
      </c>
      <c r="J16" s="79">
        <f>'2011B Academic'!J16</f>
        <v>65214.0179742</v>
      </c>
      <c r="K16" s="79">
        <f t="shared" si="1"/>
        <v>65214.0179742</v>
      </c>
      <c r="L16" s="79">
        <f>'2011B Academic'!L16</f>
        <v>49751.6222127</v>
      </c>
      <c r="M16" s="79">
        <f>'2011B Academic'!M16</f>
        <v>2434.5741615</v>
      </c>
      <c r="N16" s="79"/>
      <c r="O16" s="78">
        <f t="shared" si="2"/>
        <v>0</v>
      </c>
      <c r="P16" s="80">
        <f t="shared" si="2"/>
        <v>54923.9820258</v>
      </c>
      <c r="Q16" s="78">
        <f t="shared" si="3"/>
        <v>54923.9820258</v>
      </c>
      <c r="R16" s="78">
        <f t="shared" si="4"/>
        <v>41901.37778729999</v>
      </c>
      <c r="S16" s="78">
        <f t="shared" si="4"/>
        <v>2050.4258385</v>
      </c>
      <c r="T16" s="79"/>
      <c r="U16" s="78"/>
      <c r="V16" s="77">
        <f t="shared" si="5"/>
        <v>9818.157912</v>
      </c>
      <c r="W16" s="78">
        <f t="shared" si="6"/>
        <v>9818.157912</v>
      </c>
      <c r="X16" s="78">
        <f t="shared" si="7"/>
        <v>7490.249772</v>
      </c>
      <c r="Y16" s="77">
        <f t="shared" si="8"/>
        <v>366.53214</v>
      </c>
      <c r="Z16" s="79"/>
      <c r="AA16" s="78"/>
      <c r="AB16" s="78">
        <f t="shared" si="9"/>
        <v>7155.9719148</v>
      </c>
      <c r="AC16" s="78">
        <f t="shared" si="10"/>
        <v>7155.9719148</v>
      </c>
      <c r="AD16" s="78">
        <f t="shared" si="11"/>
        <v>5459.2742838</v>
      </c>
      <c r="AE16" s="77">
        <f t="shared" si="12"/>
        <v>267.14723100000003</v>
      </c>
      <c r="AF16" s="79"/>
      <c r="AG16" s="78"/>
      <c r="AH16" s="78">
        <f t="shared" si="13"/>
        <v>3794.0060952</v>
      </c>
      <c r="AI16" s="78">
        <f t="shared" si="14"/>
        <v>3794.0060952</v>
      </c>
      <c r="AJ16" s="78">
        <f t="shared" si="15"/>
        <v>2894.4384012</v>
      </c>
      <c r="AK16" s="77">
        <f t="shared" si="16"/>
        <v>141.638094</v>
      </c>
      <c r="AL16" s="79"/>
      <c r="AM16" s="78"/>
      <c r="AN16" s="78">
        <f t="shared" si="17"/>
        <v>2759.329584</v>
      </c>
      <c r="AO16" s="78">
        <f t="shared" si="18"/>
        <v>2759.329584</v>
      </c>
      <c r="AP16" s="78">
        <f t="shared" si="19"/>
        <v>2105.086104</v>
      </c>
      <c r="AQ16" s="77">
        <f t="shared" si="20"/>
        <v>103.01147999999999</v>
      </c>
      <c r="AR16" s="79"/>
      <c r="AS16" s="78"/>
      <c r="AT16" s="78">
        <f t="shared" si="21"/>
        <v>316.0710642</v>
      </c>
      <c r="AU16" s="78">
        <f t="shared" si="22"/>
        <v>316.0710642</v>
      </c>
      <c r="AV16" s="78">
        <f t="shared" si="23"/>
        <v>241.12987769999998</v>
      </c>
      <c r="AW16" s="77">
        <f t="shared" si="24"/>
        <v>11.799586499999998</v>
      </c>
      <c r="AX16" s="79"/>
      <c r="AY16" s="78"/>
      <c r="AZ16" s="78">
        <f t="shared" si="25"/>
        <v>5000.4919602</v>
      </c>
      <c r="BA16" s="78">
        <f t="shared" si="26"/>
        <v>5000.4919602</v>
      </c>
      <c r="BB16" s="78">
        <f t="shared" si="27"/>
        <v>3814.8636536999998</v>
      </c>
      <c r="BC16" s="77">
        <f t="shared" si="28"/>
        <v>186.67870649999998</v>
      </c>
      <c r="BD16" s="79"/>
      <c r="BE16" s="78"/>
      <c r="BF16" s="78">
        <f t="shared" si="29"/>
        <v>542.0746697999999</v>
      </c>
      <c r="BG16" s="78">
        <f t="shared" si="30"/>
        <v>542.0746697999999</v>
      </c>
      <c r="BH16" s="78">
        <f t="shared" si="31"/>
        <v>413.54750129999996</v>
      </c>
      <c r="BI16" s="77">
        <f t="shared" si="32"/>
        <v>20.2367685</v>
      </c>
      <c r="BJ16" s="79"/>
      <c r="BK16" s="78"/>
      <c r="BL16" s="78">
        <f t="shared" si="33"/>
        <v>1695.7118286</v>
      </c>
      <c r="BM16" s="78">
        <f t="shared" si="34"/>
        <v>1695.7118286</v>
      </c>
      <c r="BN16" s="78">
        <f t="shared" si="35"/>
        <v>1293.6545991</v>
      </c>
      <c r="BO16" s="77">
        <f t="shared" si="36"/>
        <v>63.304429500000005</v>
      </c>
      <c r="BP16" s="79"/>
      <c r="BQ16" s="78"/>
      <c r="BR16" s="78">
        <f t="shared" si="37"/>
        <v>859.9357902</v>
      </c>
      <c r="BS16" s="78">
        <f t="shared" si="38"/>
        <v>859.9357902</v>
      </c>
      <c r="BT16" s="78">
        <f t="shared" si="39"/>
        <v>656.0430087</v>
      </c>
      <c r="BU16" s="77">
        <f t="shared" si="40"/>
        <v>32.1031815</v>
      </c>
      <c r="BV16" s="79"/>
      <c r="BW16" s="78"/>
      <c r="BX16" s="78">
        <f t="shared" si="41"/>
        <v>167.0038338</v>
      </c>
      <c r="BY16" s="78">
        <f t="shared" si="42"/>
        <v>167.0038338</v>
      </c>
      <c r="BZ16" s="78">
        <f t="shared" si="43"/>
        <v>127.4068353</v>
      </c>
      <c r="CA16" s="77">
        <f t="shared" si="44"/>
        <v>6.2345985</v>
      </c>
      <c r="CB16" s="79"/>
      <c r="CC16" s="78"/>
      <c r="CD16" s="78">
        <f t="shared" si="45"/>
        <v>663.5702292000001</v>
      </c>
      <c r="CE16" s="78">
        <f t="shared" si="46"/>
        <v>663.5702292000001</v>
      </c>
      <c r="CF16" s="78">
        <f t="shared" si="47"/>
        <v>506.23618020000004</v>
      </c>
      <c r="CG16" s="77">
        <f t="shared" si="48"/>
        <v>24.772449</v>
      </c>
      <c r="CH16" s="79"/>
      <c r="CI16" s="78"/>
      <c r="CJ16" s="78">
        <f t="shared" si="49"/>
        <v>1618.4150393999998</v>
      </c>
      <c r="CK16" s="78">
        <f t="shared" si="50"/>
        <v>1618.4150393999998</v>
      </c>
      <c r="CL16" s="78">
        <f t="shared" si="51"/>
        <v>1234.6850589</v>
      </c>
      <c r="CM16" s="77">
        <f t="shared" si="52"/>
        <v>60.418780500000004</v>
      </c>
      <c r="CN16" s="79"/>
      <c r="CO16" s="78"/>
      <c r="CP16" s="78">
        <f t="shared" si="53"/>
        <v>3622.4490312</v>
      </c>
      <c r="CQ16" s="78">
        <f t="shared" si="54"/>
        <v>3622.4490312</v>
      </c>
      <c r="CR16" s="78">
        <f t="shared" si="55"/>
        <v>2763.5579172</v>
      </c>
      <c r="CS16" s="77">
        <f t="shared" si="56"/>
        <v>135.23351399999999</v>
      </c>
      <c r="CT16" s="79"/>
      <c r="CU16" s="78"/>
      <c r="CV16" s="78">
        <f t="shared" si="57"/>
        <v>548.0575422</v>
      </c>
      <c r="CW16" s="78">
        <f t="shared" si="58"/>
        <v>548.0575422</v>
      </c>
      <c r="CX16" s="78">
        <f t="shared" si="59"/>
        <v>418.1118207</v>
      </c>
      <c r="CY16" s="77">
        <f t="shared" si="60"/>
        <v>20.4601215</v>
      </c>
      <c r="CZ16" s="79"/>
      <c r="DA16" s="78"/>
      <c r="DB16" s="78">
        <f t="shared" si="61"/>
        <v>1574.7568901999998</v>
      </c>
      <c r="DC16" s="78">
        <f t="shared" si="62"/>
        <v>1574.7568901999998</v>
      </c>
      <c r="DD16" s="78">
        <f t="shared" si="63"/>
        <v>1201.3783587</v>
      </c>
      <c r="DE16" s="77">
        <f t="shared" si="64"/>
        <v>58.788931500000004</v>
      </c>
      <c r="DF16" s="79"/>
      <c r="DG16" s="78"/>
      <c r="DH16" s="78">
        <f t="shared" si="65"/>
        <v>60.681703799999994</v>
      </c>
      <c r="DI16" s="78">
        <f t="shared" si="66"/>
        <v>60.681703799999994</v>
      </c>
      <c r="DJ16" s="78">
        <f t="shared" si="67"/>
        <v>46.2939303</v>
      </c>
      <c r="DK16" s="77">
        <f t="shared" si="68"/>
        <v>2.2653735</v>
      </c>
      <c r="DL16" s="79"/>
      <c r="DM16" s="90"/>
      <c r="DN16" s="90">
        <f t="shared" si="69"/>
        <v>3322.0319484</v>
      </c>
      <c r="DO16" s="90">
        <f t="shared" si="70"/>
        <v>3322.0319484</v>
      </c>
      <c r="DP16" s="90">
        <f t="shared" si="71"/>
        <v>2534.3704254</v>
      </c>
      <c r="DQ16" s="92">
        <f t="shared" si="72"/>
        <v>124.01832300000001</v>
      </c>
      <c r="DR16" s="79"/>
      <c r="DS16" s="78"/>
      <c r="DT16" s="78">
        <f t="shared" si="73"/>
        <v>523.0087692000001</v>
      </c>
      <c r="DU16" s="78">
        <f t="shared" si="74"/>
        <v>523.0087692000001</v>
      </c>
      <c r="DV16" s="78">
        <f t="shared" si="75"/>
        <v>399.0021702</v>
      </c>
      <c r="DW16" s="77">
        <f t="shared" si="76"/>
        <v>19.524999</v>
      </c>
      <c r="DX16" s="79"/>
      <c r="DY16" s="78"/>
      <c r="DZ16" s="78">
        <f t="shared" si="77"/>
        <v>2691.4396002</v>
      </c>
      <c r="EA16" s="78">
        <f t="shared" si="78"/>
        <v>2691.4396002</v>
      </c>
      <c r="EB16" s="78">
        <f t="shared" si="79"/>
        <v>2053.2929937</v>
      </c>
      <c r="EC16" s="77">
        <f t="shared" si="80"/>
        <v>100.4770065</v>
      </c>
      <c r="ED16" s="79"/>
      <c r="EE16" s="78"/>
      <c r="EF16" s="78">
        <f t="shared" si="81"/>
        <v>768.3786204</v>
      </c>
      <c r="EG16" s="78">
        <f t="shared" si="82"/>
        <v>768.3786204</v>
      </c>
      <c r="EH16" s="78">
        <f t="shared" si="83"/>
        <v>586.1942574</v>
      </c>
      <c r="EI16" s="77">
        <f t="shared" si="84"/>
        <v>28.685163</v>
      </c>
      <c r="EJ16" s="79"/>
      <c r="EK16" s="78"/>
      <c r="EL16" s="78">
        <f t="shared" si="85"/>
        <v>7.712859600000001</v>
      </c>
      <c r="EM16" s="78">
        <f t="shared" si="86"/>
        <v>7.712859600000001</v>
      </c>
      <c r="EN16" s="78">
        <f t="shared" si="87"/>
        <v>5.8841226</v>
      </c>
      <c r="EO16" s="77">
        <f t="shared" si="88"/>
        <v>0.287937</v>
      </c>
      <c r="EP16" s="79"/>
      <c r="EQ16" s="78"/>
      <c r="ER16" s="78">
        <f t="shared" si="89"/>
        <v>14.3204496</v>
      </c>
      <c r="ES16" s="78">
        <f t="shared" si="90"/>
        <v>14.3204496</v>
      </c>
      <c r="ET16" s="78">
        <f t="shared" si="91"/>
        <v>10.9250376</v>
      </c>
      <c r="EU16" s="77">
        <f t="shared" si="92"/>
        <v>0.534612</v>
      </c>
      <c r="EV16" s="79"/>
      <c r="EW16" s="78"/>
      <c r="EX16" s="78">
        <f t="shared" si="93"/>
        <v>2588.6855688</v>
      </c>
      <c r="EY16" s="78">
        <f t="shared" si="94"/>
        <v>2588.6855688</v>
      </c>
      <c r="EZ16" s="78">
        <f t="shared" si="95"/>
        <v>1974.9021828</v>
      </c>
      <c r="FA16" s="77">
        <f t="shared" si="96"/>
        <v>96.640986</v>
      </c>
      <c r="FB16" s="79"/>
      <c r="FC16" s="78"/>
      <c r="FD16" s="78">
        <f t="shared" si="97"/>
        <v>4811.7191207999995</v>
      </c>
      <c r="FE16" s="78">
        <f t="shared" si="98"/>
        <v>4811.7191207999995</v>
      </c>
      <c r="FF16" s="78">
        <f t="shared" si="99"/>
        <v>3670.8492948</v>
      </c>
      <c r="FG16" s="77">
        <f t="shared" si="100"/>
        <v>179.631426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>
      <c r="A17" s="51">
        <v>45383</v>
      </c>
      <c r="C17" s="42">
        <v>6865000</v>
      </c>
      <c r="D17" s="42">
        <v>120138</v>
      </c>
      <c r="E17" s="77">
        <f t="shared" si="0"/>
        <v>6985138</v>
      </c>
      <c r="F17" s="77">
        <v>91653</v>
      </c>
      <c r="G17" s="77">
        <v>4485</v>
      </c>
      <c r="H17" s="79"/>
      <c r="I17" s="79">
        <f>'2011B Academic'!I17</f>
        <v>3726499.8035</v>
      </c>
      <c r="J17" s="79">
        <f>'2011B Academic'!J17</f>
        <v>65214.0179742</v>
      </c>
      <c r="K17" s="79">
        <f t="shared" si="1"/>
        <v>3791713.8214742</v>
      </c>
      <c r="L17" s="79">
        <f>'2011B Academic'!L17</f>
        <v>49751.6222127</v>
      </c>
      <c r="M17" s="79">
        <f>'2011B Academic'!M17</f>
        <v>2434.5741615</v>
      </c>
      <c r="N17" s="79"/>
      <c r="O17" s="78">
        <f t="shared" si="2"/>
        <v>3138500.1965000005</v>
      </c>
      <c r="P17" s="80">
        <f t="shared" si="2"/>
        <v>54923.9820258</v>
      </c>
      <c r="Q17" s="78">
        <f t="shared" si="3"/>
        <v>3193424.1785258004</v>
      </c>
      <c r="R17" s="78">
        <f t="shared" si="4"/>
        <v>41901.37778729999</v>
      </c>
      <c r="S17" s="78">
        <f t="shared" si="4"/>
        <v>2050.4258385</v>
      </c>
      <c r="T17" s="79"/>
      <c r="U17" s="78">
        <f t="shared" si="102"/>
        <v>561035.26</v>
      </c>
      <c r="V17" s="77">
        <f t="shared" si="5"/>
        <v>9818.157912</v>
      </c>
      <c r="W17" s="78">
        <f t="shared" si="6"/>
        <v>570853.417912</v>
      </c>
      <c r="X17" s="78">
        <f t="shared" si="7"/>
        <v>7490.249772</v>
      </c>
      <c r="Y17" s="77">
        <f t="shared" si="8"/>
        <v>366.53214</v>
      </c>
      <c r="Z17" s="79"/>
      <c r="AA17" s="78">
        <f t="shared" si="103"/>
        <v>408910.979</v>
      </c>
      <c r="AB17" s="78">
        <f t="shared" si="9"/>
        <v>7155.9719148</v>
      </c>
      <c r="AC17" s="78">
        <f t="shared" si="10"/>
        <v>416066.9509148</v>
      </c>
      <c r="AD17" s="78">
        <f t="shared" si="11"/>
        <v>5459.2742838</v>
      </c>
      <c r="AE17" s="77">
        <f t="shared" si="12"/>
        <v>267.14723100000003</v>
      </c>
      <c r="AF17" s="79"/>
      <c r="AG17" s="78">
        <f t="shared" si="104"/>
        <v>216799.44600000003</v>
      </c>
      <c r="AH17" s="78">
        <f t="shared" si="13"/>
        <v>3794.0060952</v>
      </c>
      <c r="AI17" s="78">
        <f t="shared" si="14"/>
        <v>220593.45209520002</v>
      </c>
      <c r="AJ17" s="78">
        <f t="shared" si="15"/>
        <v>2894.4384012</v>
      </c>
      <c r="AK17" s="77">
        <f t="shared" si="16"/>
        <v>141.638094</v>
      </c>
      <c r="AL17" s="79"/>
      <c r="AM17" s="78">
        <f t="shared" si="105"/>
        <v>157675.32</v>
      </c>
      <c r="AN17" s="78">
        <f t="shared" si="17"/>
        <v>2759.329584</v>
      </c>
      <c r="AO17" s="78">
        <f t="shared" si="18"/>
        <v>160434.649584</v>
      </c>
      <c r="AP17" s="78">
        <f t="shared" si="19"/>
        <v>2105.086104</v>
      </c>
      <c r="AQ17" s="77">
        <f t="shared" si="20"/>
        <v>103.01147999999999</v>
      </c>
      <c r="AR17" s="79"/>
      <c r="AS17" s="78">
        <f t="shared" si="106"/>
        <v>18061.1285</v>
      </c>
      <c r="AT17" s="78">
        <f t="shared" si="21"/>
        <v>316.0710642</v>
      </c>
      <c r="AU17" s="78">
        <f t="shared" si="22"/>
        <v>18377.1995642</v>
      </c>
      <c r="AV17" s="78">
        <f t="shared" si="23"/>
        <v>241.12987769999998</v>
      </c>
      <c r="AW17" s="77">
        <f t="shared" si="24"/>
        <v>11.799586499999998</v>
      </c>
      <c r="AX17" s="79"/>
      <c r="AY17" s="78">
        <f t="shared" si="107"/>
        <v>285741.20849999995</v>
      </c>
      <c r="AZ17" s="78">
        <f t="shared" si="25"/>
        <v>5000.4919602</v>
      </c>
      <c r="BA17" s="78">
        <f t="shared" si="26"/>
        <v>290741.70046019997</v>
      </c>
      <c r="BB17" s="78">
        <f t="shared" si="27"/>
        <v>3814.8636536999998</v>
      </c>
      <c r="BC17" s="77">
        <f t="shared" si="28"/>
        <v>186.67870649999998</v>
      </c>
      <c r="BD17" s="79"/>
      <c r="BE17" s="78">
        <f t="shared" si="108"/>
        <v>30975.5665</v>
      </c>
      <c r="BF17" s="78">
        <f t="shared" si="29"/>
        <v>542.0746697999999</v>
      </c>
      <c r="BG17" s="78">
        <f t="shared" si="30"/>
        <v>31517.6411698</v>
      </c>
      <c r="BH17" s="78">
        <f t="shared" si="31"/>
        <v>413.54750129999996</v>
      </c>
      <c r="BI17" s="77">
        <f t="shared" si="32"/>
        <v>20.2367685</v>
      </c>
      <c r="BJ17" s="79"/>
      <c r="BK17" s="78">
        <f t="shared" si="109"/>
        <v>96897.4155</v>
      </c>
      <c r="BL17" s="78">
        <f t="shared" si="33"/>
        <v>1695.7118286</v>
      </c>
      <c r="BM17" s="78">
        <f t="shared" si="34"/>
        <v>98593.1273286</v>
      </c>
      <c r="BN17" s="78">
        <f t="shared" si="35"/>
        <v>1293.6545991</v>
      </c>
      <c r="BO17" s="77">
        <f t="shared" si="36"/>
        <v>63.304429500000005</v>
      </c>
      <c r="BP17" s="79"/>
      <c r="BQ17" s="78">
        <f t="shared" si="110"/>
        <v>49138.9835</v>
      </c>
      <c r="BR17" s="78">
        <f t="shared" si="37"/>
        <v>859.9357902</v>
      </c>
      <c r="BS17" s="78">
        <f t="shared" si="38"/>
        <v>49998.9192902</v>
      </c>
      <c r="BT17" s="78">
        <f t="shared" si="39"/>
        <v>656.0430087</v>
      </c>
      <c r="BU17" s="77">
        <f t="shared" si="40"/>
        <v>32.1031815</v>
      </c>
      <c r="BV17" s="79"/>
      <c r="BW17" s="78">
        <f t="shared" si="111"/>
        <v>9543.036499999998</v>
      </c>
      <c r="BX17" s="78">
        <f t="shared" si="41"/>
        <v>167.0038338</v>
      </c>
      <c r="BY17" s="78">
        <f t="shared" si="42"/>
        <v>9710.040333799998</v>
      </c>
      <c r="BZ17" s="78">
        <f t="shared" si="43"/>
        <v>127.4068353</v>
      </c>
      <c r="CA17" s="77">
        <f t="shared" si="44"/>
        <v>6.2345985</v>
      </c>
      <c r="CB17" s="79"/>
      <c r="CC17" s="78">
        <f t="shared" si="112"/>
        <v>37918.141</v>
      </c>
      <c r="CD17" s="78">
        <f t="shared" si="45"/>
        <v>663.5702292000001</v>
      </c>
      <c r="CE17" s="78">
        <f t="shared" si="46"/>
        <v>38581.7112292</v>
      </c>
      <c r="CF17" s="78">
        <f t="shared" si="47"/>
        <v>506.23618020000004</v>
      </c>
      <c r="CG17" s="77">
        <f t="shared" si="48"/>
        <v>24.772449</v>
      </c>
      <c r="CH17" s="79"/>
      <c r="CI17" s="78">
        <f t="shared" si="113"/>
        <v>92480.4745</v>
      </c>
      <c r="CJ17" s="78">
        <f t="shared" si="49"/>
        <v>1618.4150393999998</v>
      </c>
      <c r="CK17" s="78">
        <f t="shared" si="50"/>
        <v>94098.8895394</v>
      </c>
      <c r="CL17" s="78">
        <f t="shared" si="51"/>
        <v>1234.6850589</v>
      </c>
      <c r="CM17" s="77">
        <f t="shared" si="52"/>
        <v>60.418780500000004</v>
      </c>
      <c r="CN17" s="79"/>
      <c r="CO17" s="78">
        <f t="shared" si="114"/>
        <v>206996.22599999997</v>
      </c>
      <c r="CP17" s="78">
        <f t="shared" si="53"/>
        <v>3622.4490312</v>
      </c>
      <c r="CQ17" s="78">
        <f t="shared" si="54"/>
        <v>210618.67503119996</v>
      </c>
      <c r="CR17" s="78">
        <f t="shared" si="55"/>
        <v>2763.5579172</v>
      </c>
      <c r="CS17" s="77">
        <f t="shared" si="56"/>
        <v>135.23351399999999</v>
      </c>
      <c r="CT17" s="79"/>
      <c r="CU17" s="78">
        <f t="shared" si="115"/>
        <v>31317.4435</v>
      </c>
      <c r="CV17" s="78">
        <f t="shared" si="57"/>
        <v>548.0575422</v>
      </c>
      <c r="CW17" s="78">
        <f t="shared" si="58"/>
        <v>31865.5010422</v>
      </c>
      <c r="CX17" s="78">
        <f t="shared" si="59"/>
        <v>418.1118207</v>
      </c>
      <c r="CY17" s="77">
        <f t="shared" si="60"/>
        <v>20.4601215</v>
      </c>
      <c r="CZ17" s="79"/>
      <c r="DA17" s="78">
        <f t="shared" si="116"/>
        <v>89985.7335</v>
      </c>
      <c r="DB17" s="78">
        <f t="shared" si="61"/>
        <v>1574.7568901999998</v>
      </c>
      <c r="DC17" s="78">
        <f t="shared" si="62"/>
        <v>91560.49039020001</v>
      </c>
      <c r="DD17" s="78">
        <f t="shared" si="63"/>
        <v>1201.3783587</v>
      </c>
      <c r="DE17" s="77">
        <f t="shared" si="64"/>
        <v>58.788931500000004</v>
      </c>
      <c r="DF17" s="79"/>
      <c r="DG17" s="78">
        <f t="shared" si="117"/>
        <v>3467.5115</v>
      </c>
      <c r="DH17" s="78">
        <f t="shared" si="65"/>
        <v>60.681703799999994</v>
      </c>
      <c r="DI17" s="78">
        <f t="shared" si="66"/>
        <v>3528.1932038</v>
      </c>
      <c r="DJ17" s="78">
        <f t="shared" si="67"/>
        <v>46.2939303</v>
      </c>
      <c r="DK17" s="77">
        <f t="shared" si="68"/>
        <v>2.2653735</v>
      </c>
      <c r="DL17" s="79"/>
      <c r="DM17" s="90">
        <f t="shared" si="118"/>
        <v>189829.607</v>
      </c>
      <c r="DN17" s="90">
        <f t="shared" si="69"/>
        <v>3322.0319484</v>
      </c>
      <c r="DO17" s="90">
        <f t="shared" si="70"/>
        <v>193151.63894839998</v>
      </c>
      <c r="DP17" s="90">
        <f t="shared" si="71"/>
        <v>2534.3704254</v>
      </c>
      <c r="DQ17" s="92">
        <f t="shared" si="72"/>
        <v>124.01832300000001</v>
      </c>
      <c r="DR17" s="79"/>
      <c r="DS17" s="78">
        <f t="shared" si="119"/>
        <v>29886.091</v>
      </c>
      <c r="DT17" s="78">
        <f t="shared" si="73"/>
        <v>523.0087692000001</v>
      </c>
      <c r="DU17" s="78">
        <f t="shared" si="74"/>
        <v>30409.099769200002</v>
      </c>
      <c r="DV17" s="78">
        <f t="shared" si="75"/>
        <v>399.0021702</v>
      </c>
      <c r="DW17" s="77">
        <f t="shared" si="76"/>
        <v>19.524999</v>
      </c>
      <c r="DX17" s="79"/>
      <c r="DY17" s="78">
        <f t="shared" si="120"/>
        <v>153795.9085</v>
      </c>
      <c r="DZ17" s="78">
        <f t="shared" si="77"/>
        <v>2691.4396002</v>
      </c>
      <c r="EA17" s="78">
        <f t="shared" si="78"/>
        <v>156487.3481002</v>
      </c>
      <c r="EB17" s="78">
        <f t="shared" si="79"/>
        <v>2053.2929937</v>
      </c>
      <c r="EC17" s="77">
        <f t="shared" si="80"/>
        <v>100.4770065</v>
      </c>
      <c r="ED17" s="79"/>
      <c r="EE17" s="78">
        <f t="shared" si="121"/>
        <v>43907.167</v>
      </c>
      <c r="EF17" s="78">
        <f t="shared" si="81"/>
        <v>768.3786204</v>
      </c>
      <c r="EG17" s="78">
        <f t="shared" si="82"/>
        <v>44675.5456204</v>
      </c>
      <c r="EH17" s="78">
        <f t="shared" si="83"/>
        <v>586.1942574</v>
      </c>
      <c r="EI17" s="77">
        <f t="shared" si="84"/>
        <v>28.685163</v>
      </c>
      <c r="EJ17" s="79"/>
      <c r="EK17" s="78">
        <f t="shared" si="122"/>
        <v>440.733</v>
      </c>
      <c r="EL17" s="78">
        <f t="shared" si="85"/>
        <v>7.712859600000001</v>
      </c>
      <c r="EM17" s="78">
        <f t="shared" si="86"/>
        <v>448.4458596</v>
      </c>
      <c r="EN17" s="78">
        <f t="shared" si="87"/>
        <v>5.8841226</v>
      </c>
      <c r="EO17" s="77">
        <f t="shared" si="88"/>
        <v>0.287937</v>
      </c>
      <c r="EP17" s="79"/>
      <c r="EQ17" s="78">
        <f t="shared" si="123"/>
        <v>818.308</v>
      </c>
      <c r="ER17" s="78">
        <f t="shared" si="89"/>
        <v>14.3204496</v>
      </c>
      <c r="ES17" s="78">
        <f t="shared" si="90"/>
        <v>832.6284496</v>
      </c>
      <c r="ET17" s="78">
        <f t="shared" si="91"/>
        <v>10.9250376</v>
      </c>
      <c r="EU17" s="77">
        <f t="shared" si="92"/>
        <v>0.534612</v>
      </c>
      <c r="EV17" s="79"/>
      <c r="EW17" s="78">
        <f t="shared" si="124"/>
        <v>147924.274</v>
      </c>
      <c r="EX17" s="78">
        <f t="shared" si="93"/>
        <v>2588.6855688</v>
      </c>
      <c r="EY17" s="78">
        <f t="shared" si="94"/>
        <v>150512.9595688</v>
      </c>
      <c r="EZ17" s="78">
        <f t="shared" si="95"/>
        <v>1974.9021828</v>
      </c>
      <c r="FA17" s="77">
        <f t="shared" si="96"/>
        <v>96.640986</v>
      </c>
      <c r="FB17" s="79"/>
      <c r="FC17" s="78">
        <f t="shared" si="125"/>
        <v>274954.234</v>
      </c>
      <c r="FD17" s="78">
        <f t="shared" si="97"/>
        <v>4811.7191207999995</v>
      </c>
      <c r="FE17" s="78">
        <f t="shared" si="98"/>
        <v>279765.95312079997</v>
      </c>
      <c r="FF17" s="78">
        <f t="shared" si="99"/>
        <v>3670.8492948</v>
      </c>
      <c r="FG17" s="77">
        <f t="shared" si="100"/>
        <v>179.631426</v>
      </c>
      <c r="FH17" s="79"/>
      <c r="FI17" s="80"/>
      <c r="FJ17" s="78"/>
      <c r="FK17" s="78"/>
      <c r="FL17" s="78"/>
      <c r="FM17" s="77">
        <f t="shared" si="101"/>
        <v>0</v>
      </c>
    </row>
    <row r="18" spans="3:169" ht="12.75">
      <c r="C18" s="42"/>
      <c r="D18" s="42"/>
      <c r="E18" s="42"/>
      <c r="F18" s="42"/>
      <c r="G18" s="42"/>
      <c r="J18" s="50"/>
      <c r="M18" s="42"/>
      <c r="S18" s="42"/>
      <c r="Y18" s="42"/>
      <c r="AA18" s="33"/>
      <c r="AB18" s="33"/>
      <c r="AE18" s="42"/>
      <c r="AG18" s="33"/>
      <c r="AH18" s="33"/>
      <c r="AI18" s="33"/>
      <c r="AJ18" s="33"/>
      <c r="AK18" s="42"/>
      <c r="AM18" s="20"/>
      <c r="AN18" s="20"/>
      <c r="AO18" s="20"/>
      <c r="AP18" s="20"/>
      <c r="AQ18" s="42"/>
      <c r="AR18" s="33"/>
      <c r="AS18" s="33"/>
      <c r="AT18" s="33"/>
      <c r="AU18" s="33"/>
      <c r="AV18" s="33"/>
      <c r="AW18" s="42"/>
      <c r="AX18" s="33"/>
      <c r="AY18" s="33"/>
      <c r="AZ18" s="33"/>
      <c r="BA18" s="33"/>
      <c r="BB18" s="33"/>
      <c r="BC18" s="42"/>
      <c r="BD18" s="33"/>
      <c r="BE18" s="33"/>
      <c r="BF18" s="33"/>
      <c r="BG18" s="33"/>
      <c r="BH18" s="33"/>
      <c r="BI18" s="42"/>
      <c r="BJ18" s="33"/>
      <c r="BK18" s="33"/>
      <c r="BL18" s="33"/>
      <c r="BM18" s="33"/>
      <c r="BN18" s="33"/>
      <c r="BO18" s="42"/>
      <c r="BP18" s="33"/>
      <c r="BQ18" s="33"/>
      <c r="BR18" s="33"/>
      <c r="BS18" s="33"/>
      <c r="BT18" s="33"/>
      <c r="BU18" s="42"/>
      <c r="BV18" s="33"/>
      <c r="BW18" s="33"/>
      <c r="BX18" s="33"/>
      <c r="BY18" s="33"/>
      <c r="BZ18" s="33"/>
      <c r="CA18" s="42"/>
      <c r="CB18" s="33"/>
      <c r="CC18" s="33"/>
      <c r="CD18" s="33"/>
      <c r="CE18" s="33"/>
      <c r="CF18" s="33"/>
      <c r="CG18" s="42"/>
      <c r="CH18" s="33"/>
      <c r="CI18" s="33"/>
      <c r="CJ18" s="33"/>
      <c r="CK18" s="33"/>
      <c r="CL18" s="33"/>
      <c r="CM18" s="42"/>
      <c r="CN18" s="33"/>
      <c r="CO18" s="33"/>
      <c r="CP18" s="33"/>
      <c r="CQ18" s="33"/>
      <c r="CR18" s="33"/>
      <c r="CS18" s="42"/>
      <c r="CT18" s="33"/>
      <c r="CU18" s="33"/>
      <c r="CV18" s="33"/>
      <c r="CW18" s="33"/>
      <c r="CX18" s="33"/>
      <c r="CY18" s="42"/>
      <c r="CZ18" s="33"/>
      <c r="DA18" s="33"/>
      <c r="DB18" s="33"/>
      <c r="DC18" s="33"/>
      <c r="DD18" s="33"/>
      <c r="DE18" s="42"/>
      <c r="DF18" s="33"/>
      <c r="DG18" s="33"/>
      <c r="DH18" s="33"/>
      <c r="DI18" s="33"/>
      <c r="DJ18" s="33"/>
      <c r="DK18" s="42"/>
      <c r="DL18" s="33"/>
      <c r="DM18" s="93"/>
      <c r="DN18" s="93"/>
      <c r="DO18" s="93"/>
      <c r="DP18" s="93"/>
      <c r="DQ18" s="94"/>
      <c r="DR18" s="33"/>
      <c r="DS18" s="33"/>
      <c r="DT18" s="33"/>
      <c r="DU18" s="33"/>
      <c r="DV18" s="33"/>
      <c r="DW18" s="42"/>
      <c r="DX18" s="33"/>
      <c r="DY18" s="33"/>
      <c r="DZ18" s="33"/>
      <c r="EA18" s="33"/>
      <c r="EB18" s="33"/>
      <c r="EC18" s="42"/>
      <c r="ED18" s="33"/>
      <c r="EE18" s="33"/>
      <c r="EF18" s="33"/>
      <c r="EG18" s="33"/>
      <c r="EH18" s="33"/>
      <c r="EI18" s="42"/>
      <c r="EJ18" s="33"/>
      <c r="EK18" s="33"/>
      <c r="EL18" s="33"/>
      <c r="EM18" s="33"/>
      <c r="EN18" s="33"/>
      <c r="EO18" s="42"/>
      <c r="EP18" s="33"/>
      <c r="EQ18" s="33"/>
      <c r="ER18" s="33"/>
      <c r="ES18" s="33"/>
      <c r="ET18" s="33"/>
      <c r="EU18" s="42"/>
      <c r="EV18" s="33"/>
      <c r="EW18" s="33"/>
      <c r="EX18" s="33"/>
      <c r="EY18" s="33"/>
      <c r="EZ18" s="33"/>
      <c r="FA18" s="42"/>
      <c r="FB18" s="33"/>
      <c r="FC18" s="33"/>
      <c r="FD18" s="33"/>
      <c r="FE18" s="33"/>
      <c r="FF18" s="33"/>
      <c r="FG18" s="42"/>
      <c r="FH18" s="33"/>
      <c r="FI18" s="50"/>
      <c r="FJ18" s="50"/>
      <c r="FK18" s="50"/>
      <c r="FL18" s="50"/>
      <c r="FM18" s="42"/>
    </row>
    <row r="19" spans="1:169" ht="13.5" thickBot="1">
      <c r="A19" s="31" t="s">
        <v>4</v>
      </c>
      <c r="C19" s="49">
        <f>SUM(C8:C18)</f>
        <v>19640000</v>
      </c>
      <c r="D19" s="49">
        <f>SUM(D8:D18)</f>
        <v>3443580</v>
      </c>
      <c r="E19" s="49">
        <f>SUM(E8:E18)</f>
        <v>23083580</v>
      </c>
      <c r="F19" s="49">
        <f>SUM(F8:F18)</f>
        <v>916530</v>
      </c>
      <c r="G19" s="49">
        <f>SUM(G8:G18)</f>
        <v>44850</v>
      </c>
      <c r="I19" s="49">
        <f>SUM(I8:I18)</f>
        <v>10661100.676</v>
      </c>
      <c r="J19" s="49">
        <f>SUM(J8:J18)</f>
        <v>1869264.4127220004</v>
      </c>
      <c r="K19" s="49">
        <f>SUM(K8:K18)</f>
        <v>12530365.088722002</v>
      </c>
      <c r="L19" s="49">
        <f>SUM(L8:L18)</f>
        <v>497516.2221270001</v>
      </c>
      <c r="M19" s="49">
        <f>SUM(M8:M18)</f>
        <v>24345.741615000003</v>
      </c>
      <c r="O19" s="49">
        <f>SUM(O8:O18)</f>
        <v>8978899.324000001</v>
      </c>
      <c r="P19" s="49">
        <f>SUM(P8:P18)</f>
        <v>1574315.587278</v>
      </c>
      <c r="Q19" s="49">
        <f>SUM(Q8:Q18)</f>
        <v>10553214.911278</v>
      </c>
      <c r="R19" s="49">
        <f>SUM(R8:R18)</f>
        <v>419013.77787299984</v>
      </c>
      <c r="S19" s="49">
        <f>SUM(S8:S18)</f>
        <v>20504.258384999997</v>
      </c>
      <c r="U19" s="49">
        <f>SUM(U8:U18)</f>
        <v>1605059.3599999999</v>
      </c>
      <c r="V19" s="49">
        <f>SUM(V8:V18)</f>
        <v>281423.13192</v>
      </c>
      <c r="W19" s="49">
        <f>SUM(W8:W18)</f>
        <v>1886482.49192</v>
      </c>
      <c r="X19" s="49">
        <f>SUM(X8:X18)</f>
        <v>74902.49772</v>
      </c>
      <c r="Y19" s="49">
        <f>SUM(Y8:Y18)</f>
        <v>3665.3214000000007</v>
      </c>
      <c r="AA19" s="49">
        <f>SUM(AA8:AA18)</f>
        <v>1169848.744</v>
      </c>
      <c r="AB19" s="49">
        <f>SUM(AB8:AB18)</f>
        <v>205115.46526800003</v>
      </c>
      <c r="AC19" s="49">
        <f>SUM(AC8:AC18)</f>
        <v>1374964.209268</v>
      </c>
      <c r="AD19" s="49">
        <f>SUM(AD8:AD18)</f>
        <v>54592.742838</v>
      </c>
      <c r="AE19" s="49">
        <f>SUM(AE8:AE18)</f>
        <v>2671.4723099999997</v>
      </c>
      <c r="AG19" s="49">
        <f>SUM(AG8:AG18)</f>
        <v>620239.056</v>
      </c>
      <c r="AH19" s="49">
        <f>SUM(AH8:AH18)</f>
        <v>108749.63383200002</v>
      </c>
      <c r="AI19" s="49">
        <f>SUM(AI8:AI18)</f>
        <v>728988.6898320001</v>
      </c>
      <c r="AJ19" s="49">
        <f>SUM(AJ8:AJ18)</f>
        <v>28944.384012000006</v>
      </c>
      <c r="AK19" s="49">
        <f>SUM(AK8:AK18)</f>
        <v>1416.3809399999998</v>
      </c>
      <c r="AM19" s="49">
        <f>SUM(AM8:AM18)</f>
        <v>451091.5200000001</v>
      </c>
      <c r="AN19" s="49">
        <f>SUM(AN8:AN18)</f>
        <v>79092.14544000002</v>
      </c>
      <c r="AO19" s="49">
        <f>SUM(AO8:AO18)</f>
        <v>530183.6654400001</v>
      </c>
      <c r="AP19" s="49">
        <f>SUM(AP8:AP18)</f>
        <v>21050.861040000003</v>
      </c>
      <c r="AQ19" s="49">
        <f>SUM(AQ8:AQ18)</f>
        <v>1030.1147999999998</v>
      </c>
      <c r="AR19" s="33"/>
      <c r="AS19" s="49">
        <f>SUM(AS8:AS18)</f>
        <v>51670.876</v>
      </c>
      <c r="AT19" s="49">
        <f>SUM(AT8:AT18)</f>
        <v>9059.714622</v>
      </c>
      <c r="AU19" s="49">
        <f>SUM(AU8:AU18)</f>
        <v>60730.590622</v>
      </c>
      <c r="AV19" s="49">
        <f>SUM(AV8:AV18)</f>
        <v>2411.298777</v>
      </c>
      <c r="AW19" s="49">
        <f>SUM(AW8:AW18)</f>
        <v>117.99586500000001</v>
      </c>
      <c r="AX19" s="33"/>
      <c r="AY19" s="49">
        <f>SUM(AY8:AY18)</f>
        <v>817473.7559999999</v>
      </c>
      <c r="AZ19" s="49">
        <f>SUM(AZ8:AZ18)</f>
        <v>143331.78598199997</v>
      </c>
      <c r="BA19" s="49">
        <f>SUM(BA8:BA18)</f>
        <v>960805.5419819999</v>
      </c>
      <c r="BB19" s="49">
        <f>SUM(BB8:BB18)</f>
        <v>38148.63653699999</v>
      </c>
      <c r="BC19" s="49">
        <f>SUM(BC8:BC18)</f>
        <v>1866.7870649999995</v>
      </c>
      <c r="BD19" s="33"/>
      <c r="BE19" s="49">
        <f>SUM(BE8:BE18)</f>
        <v>88617.644</v>
      </c>
      <c r="BF19" s="49">
        <f>SUM(BF8:BF18)</f>
        <v>15537.777318</v>
      </c>
      <c r="BG19" s="49">
        <f>SUM(BG8:BG18)</f>
        <v>104155.421318</v>
      </c>
      <c r="BH19" s="49">
        <f>SUM(BH8:BH18)</f>
        <v>4135.475012999999</v>
      </c>
      <c r="BI19" s="49">
        <f>SUM(BI8:BI18)</f>
        <v>202.36768500000002</v>
      </c>
      <c r="BJ19" s="33"/>
      <c r="BK19" s="49">
        <f>SUM(BK8:BK18)</f>
        <v>277212.708</v>
      </c>
      <c r="BL19" s="49">
        <f>SUM(BL8:BL18)</f>
        <v>48605.098626</v>
      </c>
      <c r="BM19" s="49">
        <f>SUM(BM8:BM18)</f>
        <v>325817.806626</v>
      </c>
      <c r="BN19" s="49">
        <f>SUM(BN8:BN18)</f>
        <v>12936.545991</v>
      </c>
      <c r="BO19" s="49">
        <f>SUM(BO8:BO18)</f>
        <v>633.044295</v>
      </c>
      <c r="BP19" s="33"/>
      <c r="BQ19" s="49">
        <f>SUM(BQ8:BQ18)</f>
        <v>140581.15600000002</v>
      </c>
      <c r="BR19" s="49">
        <f>SUM(BR8:BR18)</f>
        <v>24648.801282000008</v>
      </c>
      <c r="BS19" s="49">
        <f>SUM(BS8:BS18)</f>
        <v>165229.95728200002</v>
      </c>
      <c r="BT19" s="49">
        <f>SUM(BT8:BT18)</f>
        <v>6560.430087000001</v>
      </c>
      <c r="BU19" s="49">
        <f>SUM(BU8:BU18)</f>
        <v>321.031815</v>
      </c>
      <c r="BV19" s="33"/>
      <c r="BW19" s="49">
        <f>SUM(BW8:BW18)</f>
        <v>27301.564</v>
      </c>
      <c r="BX19" s="49">
        <f>SUM(BX8:BX18)</f>
        <v>4786.920558000001</v>
      </c>
      <c r="BY19" s="49">
        <f>SUM(BY8:BY18)</f>
        <v>32088.484557999996</v>
      </c>
      <c r="BZ19" s="49">
        <f>SUM(BZ8:BZ18)</f>
        <v>1274.068353</v>
      </c>
      <c r="CA19" s="49">
        <f>SUM(CA8:CA18)</f>
        <v>62.345984999999985</v>
      </c>
      <c r="CB19" s="33"/>
      <c r="CC19" s="49">
        <f>SUM(CC8:CC18)</f>
        <v>108479.57600000002</v>
      </c>
      <c r="CD19" s="49">
        <f>SUM(CD8:CD18)</f>
        <v>19020.269772</v>
      </c>
      <c r="CE19" s="49">
        <f>SUM(CE8:CE18)</f>
        <v>127499.84577200003</v>
      </c>
      <c r="CF19" s="49">
        <f>SUM(CF8:CF18)</f>
        <v>5062.361801999999</v>
      </c>
      <c r="CG19" s="49">
        <f>SUM(CG8:CG18)</f>
        <v>247.72448999999997</v>
      </c>
      <c r="CH19" s="33"/>
      <c r="CI19" s="49">
        <f>SUM(CI8:CI18)</f>
        <v>264576.332</v>
      </c>
      <c r="CJ19" s="49">
        <f>SUM(CJ8:CJ18)</f>
        <v>46389.49925400001</v>
      </c>
      <c r="CK19" s="49">
        <f>SUM(CK8:CK18)</f>
        <v>310965.83125399996</v>
      </c>
      <c r="CL19" s="49">
        <f>SUM(CL8:CL18)</f>
        <v>12346.850589000003</v>
      </c>
      <c r="CM19" s="49">
        <f>SUM(CM8:CM18)</f>
        <v>604.1878050000001</v>
      </c>
      <c r="CN19" s="33"/>
      <c r="CO19" s="49">
        <f>SUM(CO8:CO18)</f>
        <v>592193.1359999999</v>
      </c>
      <c r="CP19" s="49">
        <f>SUM(CP8:CP18)</f>
        <v>103832.20159200001</v>
      </c>
      <c r="CQ19" s="49">
        <f>SUM(CQ8:CQ18)</f>
        <v>696025.3375919999</v>
      </c>
      <c r="CR19" s="49">
        <f>SUM(CR8:CR18)</f>
        <v>27635.579171999998</v>
      </c>
      <c r="CS19" s="49">
        <f>SUM(CS8:CS18)</f>
        <v>1352.33514</v>
      </c>
      <c r="CT19" s="33"/>
      <c r="CU19" s="49">
        <f>SUM(CU8:CU18)</f>
        <v>89595.716</v>
      </c>
      <c r="CV19" s="49">
        <f>SUM(CV8:CV18)</f>
        <v>15709.267602000004</v>
      </c>
      <c r="CW19" s="49">
        <f>SUM(CW8:CW18)</f>
        <v>105304.98360200001</v>
      </c>
      <c r="CX19" s="49">
        <f>SUM(CX8:CX18)</f>
        <v>4181.118207</v>
      </c>
      <c r="CY19" s="49">
        <f>SUM(CY8:CY18)</f>
        <v>204.60121500000002</v>
      </c>
      <c r="CZ19" s="33"/>
      <c r="DA19" s="49">
        <f>SUM(DA8:DA18)</f>
        <v>257439.156</v>
      </c>
      <c r="DB19" s="49">
        <f>SUM(DB8:DB18)</f>
        <v>45138.10228199999</v>
      </c>
      <c r="DC19" s="49">
        <f>SUM(DC8:DC18)</f>
        <v>302577.25828199997</v>
      </c>
      <c r="DD19" s="49">
        <f>SUM(DD8:DD18)</f>
        <v>12013.783587</v>
      </c>
      <c r="DE19" s="49">
        <f>SUM(DE8:DE18)</f>
        <v>587.889315</v>
      </c>
      <c r="DF19" s="33"/>
      <c r="DG19" s="49">
        <f>SUM(DG8:DG18)</f>
        <v>9920.164</v>
      </c>
      <c r="DH19" s="49">
        <f>SUM(DH8:DH18)</f>
        <v>1739.3522579999994</v>
      </c>
      <c r="DI19" s="49">
        <f>SUM(DI8:DI18)</f>
        <v>11659.516258</v>
      </c>
      <c r="DJ19" s="49">
        <f>SUM(DJ8:DJ18)</f>
        <v>462.939303</v>
      </c>
      <c r="DK19" s="49">
        <f>SUM(DK8:DK18)</f>
        <v>22.653734999999994</v>
      </c>
      <c r="DL19" s="33"/>
      <c r="DM19" s="95">
        <f>SUM(DM8:DM18)</f>
        <v>543081.352</v>
      </c>
      <c r="DN19" s="95">
        <f>SUM(DN8:DN18)</f>
        <v>95221.185444</v>
      </c>
      <c r="DO19" s="95">
        <f>SUM(DO8:DO18)</f>
        <v>638302.537444</v>
      </c>
      <c r="DP19" s="95">
        <f>SUM(DP8:DP18)</f>
        <v>25343.704254</v>
      </c>
      <c r="DQ19" s="95">
        <f>SUM(DQ8:DQ18)</f>
        <v>1240.18323</v>
      </c>
      <c r="DR19" s="33"/>
      <c r="DS19" s="49">
        <f>SUM(DS8:DS18)</f>
        <v>85500.776</v>
      </c>
      <c r="DT19" s="49">
        <f>SUM(DT8:DT18)</f>
        <v>14991.281171999999</v>
      </c>
      <c r="DU19" s="49">
        <f>SUM(DU8:DU18)</f>
        <v>100492.057172</v>
      </c>
      <c r="DV19" s="49">
        <f>SUM(DV8:DV18)</f>
        <v>3990.0217019999996</v>
      </c>
      <c r="DW19" s="49">
        <f>SUM(DW8:DW18)</f>
        <v>195.24999000000005</v>
      </c>
      <c r="DX19" s="33"/>
      <c r="DY19" s="49">
        <f>SUM(DY8:DY18)</f>
        <v>439992.956</v>
      </c>
      <c r="DZ19" s="49">
        <f>SUM(DZ8:DZ18)</f>
        <v>77146.178382</v>
      </c>
      <c r="EA19" s="49">
        <f>SUM(EA8:EA18)</f>
        <v>517139.13438199996</v>
      </c>
      <c r="EB19" s="49">
        <f>SUM(EB8:EB18)</f>
        <v>20532.929937000004</v>
      </c>
      <c r="EC19" s="49">
        <f>SUM(EC8:EC18)</f>
        <v>1004.770065</v>
      </c>
      <c r="ED19" s="33"/>
      <c r="EE19" s="49">
        <f>SUM(EE8:EE18)</f>
        <v>125613.512</v>
      </c>
      <c r="EF19" s="49">
        <f>SUM(EF8:EF18)</f>
        <v>22024.448964000003</v>
      </c>
      <c r="EG19" s="49">
        <f>SUM(EG8:EG18)</f>
        <v>147637.960964</v>
      </c>
      <c r="EH19" s="49">
        <f>SUM(EH8:EH18)</f>
        <v>5861.942574000001</v>
      </c>
      <c r="EI19" s="49">
        <f>SUM(EI8:EI18)</f>
        <v>286.85162999999994</v>
      </c>
      <c r="EJ19" s="33"/>
      <c r="EK19" s="49">
        <f>SUM(EK8:EK18)</f>
        <v>1260.888</v>
      </c>
      <c r="EL19" s="49">
        <f>SUM(EL8:EL18)</f>
        <v>221.077836</v>
      </c>
      <c r="EM19" s="49">
        <f>SUM(EM8:EM18)</f>
        <v>1481.965836</v>
      </c>
      <c r="EN19" s="49">
        <f>SUM(EN8:EN18)</f>
        <v>58.84122599999999</v>
      </c>
      <c r="EO19" s="49">
        <f>SUM(EO8:EO18)</f>
        <v>2.8793699999999993</v>
      </c>
      <c r="EP19" s="33"/>
      <c r="EQ19" s="49">
        <f>SUM(EQ8:EQ18)</f>
        <v>2341.0879999999997</v>
      </c>
      <c r="ER19" s="49">
        <f>SUM(ER8:ER18)</f>
        <v>410.474736</v>
      </c>
      <c r="ES19" s="49">
        <f>SUM(ES8:ES18)</f>
        <v>2751.562736</v>
      </c>
      <c r="ET19" s="49">
        <f>SUM(ET8:ET18)</f>
        <v>109.25037599999997</v>
      </c>
      <c r="EU19" s="49">
        <f>SUM(EU8:EU18)</f>
        <v>5.34612</v>
      </c>
      <c r="EV19" s="33"/>
      <c r="EW19" s="49">
        <f>SUM(EW8:EW18)</f>
        <v>423194.86399999994</v>
      </c>
      <c r="EX19" s="49">
        <f>SUM(EX8:EX18)</f>
        <v>74200.88440800001</v>
      </c>
      <c r="EY19" s="49">
        <f>SUM(EY8:EY18)</f>
        <v>497395.74840800004</v>
      </c>
      <c r="EZ19" s="49">
        <f>SUM(EZ8:EZ18)</f>
        <v>19749.021828</v>
      </c>
      <c r="FA19" s="49">
        <f>SUM(FA8:FA18)</f>
        <v>966.40986</v>
      </c>
      <c r="FB19" s="33"/>
      <c r="FC19" s="49">
        <f>SUM(FC8:FC18)</f>
        <v>786613.4239999999</v>
      </c>
      <c r="FD19" s="49">
        <f>SUM(FD8:FD18)</f>
        <v>137920.888728</v>
      </c>
      <c r="FE19" s="49">
        <f>SUM(FE8:FE18)</f>
        <v>924534.3127279999</v>
      </c>
      <c r="FF19" s="49">
        <f>SUM(FF8:FF18)</f>
        <v>36708.49294799999</v>
      </c>
      <c r="FG19" s="49">
        <f>SUM(FG8:FG18)</f>
        <v>1796.3142599999996</v>
      </c>
      <c r="FH19" s="33"/>
      <c r="FI19" s="49">
        <f>SUM(FI8:FI18)</f>
        <v>0</v>
      </c>
      <c r="FJ19" s="49">
        <f>SUM(FJ8:FJ18)</f>
        <v>0</v>
      </c>
      <c r="FK19" s="49">
        <f>SUM(FK8:IV18)</f>
        <v>0</v>
      </c>
      <c r="FL19" s="42"/>
      <c r="FM19" s="49">
        <f>SUM(FM8:FM18)</f>
        <v>0</v>
      </c>
    </row>
    <row r="20" spans="33:43" ht="13.5" thickTop="1">
      <c r="AG20" s="33"/>
      <c r="AH20" s="33"/>
      <c r="AI20" s="33"/>
      <c r="AJ20" s="33"/>
      <c r="AK20" s="33"/>
      <c r="AM20" s="20"/>
      <c r="AN20" s="20"/>
      <c r="AO20" s="20"/>
      <c r="AP20" s="20"/>
      <c r="AQ20" s="20"/>
    </row>
    <row r="21" spans="16:43" ht="12.75">
      <c r="P21" s="33"/>
      <c r="AG21" s="33"/>
      <c r="AH21" s="33"/>
      <c r="AI21" s="33"/>
      <c r="AJ21" s="33"/>
      <c r="AK21" s="33"/>
      <c r="AM21" s="20"/>
      <c r="AN21" s="20"/>
      <c r="AO21" s="20"/>
      <c r="AP21" s="20"/>
      <c r="AQ21" s="20"/>
    </row>
    <row r="22" spans="33:43" ht="12.75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33:43" ht="12.75"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1:16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33"/>
      <c r="AH33" s="33"/>
      <c r="AI33" s="33"/>
      <c r="AJ33" s="33"/>
      <c r="AK33" s="33"/>
      <c r="AM33" s="20"/>
      <c r="AN33" s="20"/>
      <c r="AO33" s="20"/>
      <c r="AP33" s="20"/>
      <c r="AQ33" s="20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</row>
    <row r="34" spans="1:16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33"/>
      <c r="AH34" s="33"/>
      <c r="AI34" s="33"/>
      <c r="AJ34" s="33"/>
      <c r="AK34" s="33"/>
      <c r="AM34" s="20"/>
      <c r="AN34" s="20"/>
      <c r="AO34" s="20"/>
      <c r="AP34" s="20"/>
      <c r="AQ34" s="20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</row>
    <row r="35" spans="1:16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33"/>
      <c r="AH35" s="33"/>
      <c r="AI35" s="33"/>
      <c r="AJ35" s="33"/>
      <c r="AK35" s="33"/>
      <c r="AM35" s="20"/>
      <c r="AN35" s="20"/>
      <c r="AO35" s="20"/>
      <c r="AP35" s="20"/>
      <c r="AQ35" s="20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</row>
    <row r="36" spans="1:16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33"/>
      <c r="AH36" s="33"/>
      <c r="AI36" s="33"/>
      <c r="AJ36" s="33"/>
      <c r="AK36" s="33"/>
      <c r="AM36" s="20"/>
      <c r="AN36" s="20"/>
      <c r="AO36" s="20"/>
      <c r="AP36" s="20"/>
      <c r="AQ36" s="2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</row>
    <row r="37" spans="1:16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I59"/>
  <sheetViews>
    <sheetView zoomScale="150" zoomScaleNormal="150" zoomScalePageLayoutView="0" workbookViewId="0" topLeftCell="A1">
      <selection activeCell="I17" sqref="I17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hidden="1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2011B Bond Issue</v>
      </c>
      <c r="W2" s="45"/>
      <c r="AA2" s="43" t="str">
        <f>O2</f>
        <v>Distribution of Debt Services after 2011B Bond Issue</v>
      </c>
      <c r="AE2"/>
      <c r="AF2"/>
      <c r="AG2"/>
      <c r="AI2" s="45"/>
      <c r="AJ2"/>
      <c r="AK2"/>
      <c r="AL2"/>
      <c r="AM2" s="43" t="str">
        <f>AA2</f>
        <v>Distribution of Debt Services after 2011B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2011B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2011B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2011B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2011B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2011B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2011B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2011B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W3" s="45"/>
      <c r="AA3" s="45" t="s">
        <v>172</v>
      </c>
      <c r="AE3"/>
      <c r="AF3" s="12"/>
      <c r="AG3"/>
      <c r="AI3" s="45"/>
      <c r="AJ3"/>
      <c r="AK3"/>
      <c r="AL3"/>
      <c r="AM3" s="45" t="s">
        <v>172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172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172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172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172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172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172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172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179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96" t="s">
        <v>173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96" t="s">
        <v>173</v>
      </c>
      <c r="N6" s="33"/>
      <c r="O6" s="40"/>
      <c r="P6" s="53">
        <v>0.0661452</v>
      </c>
      <c r="Q6" s="39"/>
      <c r="R6" s="41" t="s">
        <v>168</v>
      </c>
      <c r="S6" s="96" t="s">
        <v>173</v>
      </c>
      <c r="T6" s="33"/>
      <c r="U6" s="40"/>
      <c r="V6" s="53">
        <v>0.0011296</v>
      </c>
      <c r="W6" s="39"/>
      <c r="X6" s="41" t="s">
        <v>168</v>
      </c>
      <c r="Y6" s="96" t="s">
        <v>173</v>
      </c>
      <c r="Z6" s="33"/>
      <c r="AA6" s="40"/>
      <c r="AB6" s="53">
        <v>0.0050994</v>
      </c>
      <c r="AC6" s="39"/>
      <c r="AD6" s="41" t="s">
        <v>168</v>
      </c>
      <c r="AE6" s="96" t="s">
        <v>173</v>
      </c>
      <c r="AF6" s="33"/>
      <c r="AG6" s="40"/>
      <c r="AH6" s="53">
        <v>0.0886797</v>
      </c>
      <c r="AI6" s="39"/>
      <c r="AJ6" s="41" t="s">
        <v>168</v>
      </c>
      <c r="AK6" s="96" t="s">
        <v>173</v>
      </c>
      <c r="AL6" s="33"/>
      <c r="AM6" s="40"/>
      <c r="AN6" s="53">
        <v>0.0010742</v>
      </c>
      <c r="AO6" s="39"/>
      <c r="AP6" s="41" t="s">
        <v>168</v>
      </c>
      <c r="AQ6" s="96" t="s">
        <v>173</v>
      </c>
      <c r="AR6" s="63"/>
      <c r="AS6" s="40"/>
      <c r="AT6" s="53">
        <v>0.0009059</v>
      </c>
      <c r="AU6" s="39"/>
      <c r="AV6" s="41" t="s">
        <v>168</v>
      </c>
      <c r="AW6" s="96" t="s">
        <v>173</v>
      </c>
      <c r="AX6" s="33"/>
      <c r="AY6" s="40"/>
      <c r="AZ6" s="53">
        <v>0.0371668</v>
      </c>
      <c r="BA6" s="39"/>
      <c r="BB6" s="41" t="s">
        <v>168</v>
      </c>
      <c r="BC6" s="96" t="s">
        <v>173</v>
      </c>
      <c r="BD6" s="33"/>
      <c r="BE6" s="40"/>
      <c r="BF6" s="53">
        <v>0.0762623</v>
      </c>
      <c r="BG6" s="39"/>
      <c r="BH6" s="41" t="s">
        <v>168</v>
      </c>
      <c r="BI6" s="96" t="s">
        <v>173</v>
      </c>
      <c r="BJ6" s="33"/>
      <c r="BK6" s="40"/>
      <c r="BL6" s="53">
        <v>0.0008804</v>
      </c>
      <c r="BM6" s="39"/>
      <c r="BN6" s="41" t="s">
        <v>168</v>
      </c>
      <c r="BO6" s="96" t="s">
        <v>173</v>
      </c>
      <c r="BP6" s="33"/>
      <c r="BQ6" s="40"/>
      <c r="BR6" s="53">
        <v>0.0005914</v>
      </c>
      <c r="BS6" s="39"/>
      <c r="BT6" s="41" t="s">
        <v>168</v>
      </c>
      <c r="BU6" s="96" t="s">
        <v>173</v>
      </c>
      <c r="BV6" s="33"/>
      <c r="BW6" s="40"/>
      <c r="BX6" s="53">
        <v>-8.81E-05</v>
      </c>
      <c r="BY6" s="39"/>
      <c r="BZ6" s="41" t="s">
        <v>168</v>
      </c>
      <c r="CA6" s="96" t="s">
        <v>173</v>
      </c>
      <c r="CB6" s="63"/>
      <c r="CC6" s="40"/>
      <c r="CD6" s="53">
        <v>-5.74E-05</v>
      </c>
      <c r="CE6" s="39"/>
      <c r="CF6" s="41" t="s">
        <v>168</v>
      </c>
      <c r="CG6" s="96" t="s">
        <v>173</v>
      </c>
      <c r="CH6" s="33"/>
      <c r="CI6" s="40"/>
      <c r="CJ6" s="53">
        <v>0.0021346</v>
      </c>
      <c r="CK6" s="39"/>
      <c r="CL6" s="41" t="s">
        <v>168</v>
      </c>
      <c r="CM6" s="96" t="s">
        <v>173</v>
      </c>
      <c r="CN6" s="33"/>
      <c r="CO6" s="40"/>
      <c r="CP6" s="53">
        <v>0.013127</v>
      </c>
      <c r="CQ6" s="39"/>
      <c r="CR6" s="41" t="s">
        <v>168</v>
      </c>
      <c r="CS6" s="96" t="s">
        <v>173</v>
      </c>
      <c r="CT6" s="33"/>
      <c r="CU6" s="40"/>
      <c r="CV6" s="53">
        <v>0.0881851</v>
      </c>
      <c r="CW6" s="39"/>
      <c r="CX6" s="41" t="s">
        <v>168</v>
      </c>
      <c r="CY6" s="96" t="s">
        <v>173</v>
      </c>
      <c r="CZ6" s="33"/>
      <c r="DA6" s="40"/>
      <c r="DB6" s="53">
        <v>0.0127232</v>
      </c>
      <c r="DC6" s="39"/>
      <c r="DD6" s="41" t="s">
        <v>168</v>
      </c>
      <c r="DE6" s="96" t="s">
        <v>173</v>
      </c>
      <c r="DF6" s="33"/>
      <c r="DG6" s="40"/>
      <c r="DH6" s="53">
        <v>0.0259972</v>
      </c>
      <c r="DI6" s="39"/>
      <c r="DJ6" s="41" t="s">
        <v>168</v>
      </c>
      <c r="DK6" s="96" t="s">
        <v>173</v>
      </c>
      <c r="DL6" s="33"/>
      <c r="DM6" s="40"/>
      <c r="DN6" s="53">
        <v>0.0042162</v>
      </c>
      <c r="DO6" s="39"/>
      <c r="DP6" s="41" t="s">
        <v>168</v>
      </c>
      <c r="DQ6" s="96" t="s">
        <v>173</v>
      </c>
      <c r="DR6" s="33"/>
      <c r="DS6" s="40"/>
      <c r="DT6" s="53">
        <v>0.0216282</v>
      </c>
      <c r="DU6" s="39"/>
      <c r="DV6" s="41" t="s">
        <v>168</v>
      </c>
      <c r="DW6" s="96" t="s">
        <v>173</v>
      </c>
      <c r="DX6" s="33"/>
      <c r="DY6" s="40"/>
      <c r="DZ6" s="53">
        <v>0.0001933</v>
      </c>
      <c r="EA6" s="39"/>
      <c r="EB6" s="41" t="s">
        <v>168</v>
      </c>
      <c r="EC6" s="96" t="s">
        <v>173</v>
      </c>
      <c r="ED6" s="33"/>
      <c r="EE6" s="40"/>
      <c r="EF6" s="53">
        <v>0.0002544</v>
      </c>
      <c r="EG6" s="39"/>
      <c r="EH6" s="41" t="s">
        <v>168</v>
      </c>
      <c r="EI6" s="96" t="s">
        <v>173</v>
      </c>
      <c r="EJ6" s="33"/>
      <c r="EK6" s="40"/>
      <c r="EL6" s="53">
        <v>0.0128187</v>
      </c>
      <c r="EM6" s="39"/>
      <c r="EN6" s="41" t="s">
        <v>168</v>
      </c>
      <c r="EO6" s="96" t="s">
        <v>173</v>
      </c>
      <c r="EP6" s="33"/>
      <c r="EQ6" s="40"/>
      <c r="ER6" s="53">
        <v>0.000244</v>
      </c>
      <c r="ES6" s="39"/>
      <c r="ET6" s="41" t="s">
        <v>168</v>
      </c>
      <c r="EU6" s="96" t="s">
        <v>173</v>
      </c>
      <c r="EV6" s="33"/>
      <c r="EW6" s="40"/>
      <c r="EX6" s="53">
        <v>0.0036459</v>
      </c>
      <c r="EY6" s="39"/>
      <c r="EZ6" s="41" t="s">
        <v>168</v>
      </c>
      <c r="FA6" s="96" t="s">
        <v>173</v>
      </c>
      <c r="FB6" s="33"/>
      <c r="FC6" s="40"/>
      <c r="FD6" s="53">
        <v>0.0025327</v>
      </c>
      <c r="FE6" s="39"/>
      <c r="FF6" s="41" t="s">
        <v>168</v>
      </c>
      <c r="FG6" s="96" t="s">
        <v>173</v>
      </c>
      <c r="FH6" s="33"/>
      <c r="FI6" s="40"/>
      <c r="FJ6" s="53">
        <v>0.0009887</v>
      </c>
      <c r="FK6" s="39"/>
      <c r="FL6" s="41" t="s">
        <v>168</v>
      </c>
      <c r="FM6" s="96" t="s">
        <v>173</v>
      </c>
      <c r="FN6" s="33"/>
      <c r="FO6" s="40"/>
      <c r="FP6" s="53">
        <v>0.0111111</v>
      </c>
      <c r="FQ6" s="39"/>
      <c r="FR6" s="41" t="s">
        <v>168</v>
      </c>
      <c r="FS6" s="96" t="s">
        <v>173</v>
      </c>
      <c r="FT6" s="33"/>
      <c r="FU6" s="40"/>
      <c r="FV6" s="53">
        <v>0.0250422</v>
      </c>
      <c r="FW6" s="39"/>
      <c r="FX6" s="41" t="s">
        <v>168</v>
      </c>
      <c r="FY6" s="96" t="s">
        <v>173</v>
      </c>
      <c r="FZ6" s="33"/>
      <c r="GA6" s="40"/>
      <c r="GB6" s="53">
        <v>0.0031957</v>
      </c>
      <c r="GC6" s="39"/>
      <c r="GD6" s="41" t="s">
        <v>168</v>
      </c>
      <c r="GE6" s="96" t="s">
        <v>173</v>
      </c>
      <c r="GF6" s="33"/>
      <c r="GG6" s="40"/>
      <c r="GH6" s="53">
        <v>0.0050748</v>
      </c>
      <c r="GI6" s="39"/>
      <c r="GJ6" s="41" t="s">
        <v>168</v>
      </c>
      <c r="GK6" s="96" t="s">
        <v>173</v>
      </c>
      <c r="GL6" s="33"/>
      <c r="GM6" s="40"/>
      <c r="GN6" s="53">
        <v>0.0235189</v>
      </c>
      <c r="GO6" s="39"/>
      <c r="GP6" s="41" t="s">
        <v>168</v>
      </c>
      <c r="GQ6" s="96" t="s">
        <v>173</v>
      </c>
      <c r="GR6" s="33"/>
      <c r="GS6" s="40"/>
      <c r="GT6" s="53">
        <v>0.0012482</v>
      </c>
      <c r="GU6" s="39"/>
      <c r="GV6" s="41" t="s">
        <v>168</v>
      </c>
      <c r="GW6" s="96" t="s">
        <v>173</v>
      </c>
      <c r="GX6" s="33"/>
      <c r="GY6" s="40"/>
      <c r="GZ6" s="53">
        <v>0.0071564</v>
      </c>
      <c r="HA6" s="39"/>
      <c r="HB6" s="41" t="s">
        <v>168</v>
      </c>
      <c r="HC6" s="96" t="s">
        <v>173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6" t="s">
        <v>181</v>
      </c>
      <c r="I7" s="41" t="s">
        <v>11</v>
      </c>
      <c r="J7" s="41" t="s">
        <v>12</v>
      </c>
      <c r="K7" s="41" t="s">
        <v>4</v>
      </c>
      <c r="L7" s="41" t="s">
        <v>169</v>
      </c>
      <c r="M7" s="98" t="s">
        <v>181</v>
      </c>
      <c r="O7" s="41" t="s">
        <v>11</v>
      </c>
      <c r="P7" s="41" t="s">
        <v>12</v>
      </c>
      <c r="Q7" s="41" t="s">
        <v>4</v>
      </c>
      <c r="R7" s="41" t="s">
        <v>169</v>
      </c>
      <c r="S7" s="96" t="s">
        <v>181</v>
      </c>
      <c r="U7" s="41" t="s">
        <v>11</v>
      </c>
      <c r="V7" s="41" t="s">
        <v>12</v>
      </c>
      <c r="W7" s="41" t="s">
        <v>4</v>
      </c>
      <c r="X7" s="41" t="s">
        <v>169</v>
      </c>
      <c r="Y7" s="96" t="s">
        <v>181</v>
      </c>
      <c r="AA7" s="41" t="s">
        <v>11</v>
      </c>
      <c r="AB7" s="41" t="s">
        <v>12</v>
      </c>
      <c r="AC7" s="41" t="s">
        <v>4</v>
      </c>
      <c r="AD7" s="41" t="s">
        <v>169</v>
      </c>
      <c r="AE7" s="96" t="s">
        <v>181</v>
      </c>
      <c r="AG7" s="41" t="s">
        <v>11</v>
      </c>
      <c r="AH7" s="41" t="s">
        <v>12</v>
      </c>
      <c r="AI7" s="41" t="s">
        <v>4</v>
      </c>
      <c r="AJ7" s="41" t="s">
        <v>169</v>
      </c>
      <c r="AK7" s="96" t="s">
        <v>181</v>
      </c>
      <c r="AM7" s="41" t="s">
        <v>11</v>
      </c>
      <c r="AN7" s="41" t="s">
        <v>12</v>
      </c>
      <c r="AO7" s="41" t="s">
        <v>4</v>
      </c>
      <c r="AP7" s="41" t="s">
        <v>169</v>
      </c>
      <c r="AQ7" s="96" t="s">
        <v>181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96" t="s">
        <v>181</v>
      </c>
      <c r="AY7" s="41" t="s">
        <v>11</v>
      </c>
      <c r="AZ7" s="41" t="s">
        <v>12</v>
      </c>
      <c r="BA7" s="41" t="s">
        <v>4</v>
      </c>
      <c r="BB7" s="41" t="s">
        <v>169</v>
      </c>
      <c r="BC7" s="96" t="s">
        <v>181</v>
      </c>
      <c r="BE7" s="41" t="s">
        <v>11</v>
      </c>
      <c r="BF7" s="41" t="s">
        <v>12</v>
      </c>
      <c r="BG7" s="41" t="s">
        <v>4</v>
      </c>
      <c r="BH7" s="41" t="s">
        <v>169</v>
      </c>
      <c r="BI7" s="96" t="s">
        <v>181</v>
      </c>
      <c r="BK7" s="41" t="s">
        <v>11</v>
      </c>
      <c r="BL7" s="41" t="s">
        <v>12</v>
      </c>
      <c r="BM7" s="41" t="s">
        <v>4</v>
      </c>
      <c r="BN7" s="41" t="s">
        <v>169</v>
      </c>
      <c r="BO7" s="96" t="s">
        <v>181</v>
      </c>
      <c r="BQ7" s="41" t="s">
        <v>11</v>
      </c>
      <c r="BR7" s="41" t="s">
        <v>12</v>
      </c>
      <c r="BS7" s="41" t="s">
        <v>4</v>
      </c>
      <c r="BT7" s="41" t="s">
        <v>169</v>
      </c>
      <c r="BU7" s="96" t="s">
        <v>181</v>
      </c>
      <c r="BW7" s="41" t="s">
        <v>11</v>
      </c>
      <c r="BX7" s="41" t="s">
        <v>12</v>
      </c>
      <c r="BY7" s="41" t="s">
        <v>4</v>
      </c>
      <c r="BZ7" s="41" t="s">
        <v>169</v>
      </c>
      <c r="CA7" s="96" t="s">
        <v>181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96" t="s">
        <v>181</v>
      </c>
      <c r="CI7" s="41" t="s">
        <v>11</v>
      </c>
      <c r="CJ7" s="41" t="s">
        <v>12</v>
      </c>
      <c r="CK7" s="41" t="s">
        <v>4</v>
      </c>
      <c r="CL7" s="41" t="s">
        <v>169</v>
      </c>
      <c r="CM7" s="96" t="s">
        <v>181</v>
      </c>
      <c r="CO7" s="41" t="s">
        <v>11</v>
      </c>
      <c r="CP7" s="41" t="s">
        <v>12</v>
      </c>
      <c r="CQ7" s="41" t="s">
        <v>4</v>
      </c>
      <c r="CR7" s="41" t="s">
        <v>169</v>
      </c>
      <c r="CS7" s="96" t="s">
        <v>181</v>
      </c>
      <c r="CU7" s="41" t="s">
        <v>11</v>
      </c>
      <c r="CV7" s="41" t="s">
        <v>12</v>
      </c>
      <c r="CW7" s="41" t="s">
        <v>4</v>
      </c>
      <c r="CX7" s="41" t="s">
        <v>169</v>
      </c>
      <c r="CY7" s="96" t="s">
        <v>181</v>
      </c>
      <c r="DA7" s="41" t="s">
        <v>11</v>
      </c>
      <c r="DB7" s="41" t="s">
        <v>12</v>
      </c>
      <c r="DC7" s="41" t="s">
        <v>4</v>
      </c>
      <c r="DD7" s="41" t="s">
        <v>169</v>
      </c>
      <c r="DE7" s="96" t="s">
        <v>181</v>
      </c>
      <c r="DG7" s="41" t="s">
        <v>11</v>
      </c>
      <c r="DH7" s="41" t="s">
        <v>12</v>
      </c>
      <c r="DI7" s="41" t="s">
        <v>4</v>
      </c>
      <c r="DJ7" s="41" t="s">
        <v>169</v>
      </c>
      <c r="DK7" s="96" t="s">
        <v>181</v>
      </c>
      <c r="DM7" s="41" t="s">
        <v>11</v>
      </c>
      <c r="DN7" s="41" t="s">
        <v>12</v>
      </c>
      <c r="DO7" s="41" t="s">
        <v>4</v>
      </c>
      <c r="DP7" s="41" t="s">
        <v>169</v>
      </c>
      <c r="DQ7" s="96" t="s">
        <v>181</v>
      </c>
      <c r="DS7" s="41" t="s">
        <v>11</v>
      </c>
      <c r="DT7" s="41" t="s">
        <v>12</v>
      </c>
      <c r="DU7" s="41" t="s">
        <v>4</v>
      </c>
      <c r="DV7" s="41" t="s">
        <v>169</v>
      </c>
      <c r="DW7" s="96" t="s">
        <v>181</v>
      </c>
      <c r="DY7" s="41" t="s">
        <v>11</v>
      </c>
      <c r="DZ7" s="41" t="s">
        <v>12</v>
      </c>
      <c r="EA7" s="41" t="s">
        <v>4</v>
      </c>
      <c r="EB7" s="41" t="s">
        <v>169</v>
      </c>
      <c r="EC7" s="96" t="s">
        <v>181</v>
      </c>
      <c r="EE7" s="41" t="s">
        <v>11</v>
      </c>
      <c r="EF7" s="41" t="s">
        <v>12</v>
      </c>
      <c r="EG7" s="41" t="s">
        <v>4</v>
      </c>
      <c r="EH7" s="41" t="s">
        <v>169</v>
      </c>
      <c r="EI7" s="96" t="s">
        <v>181</v>
      </c>
      <c r="EK7" s="41" t="s">
        <v>11</v>
      </c>
      <c r="EL7" s="41" t="s">
        <v>12</v>
      </c>
      <c r="EM7" s="41" t="s">
        <v>4</v>
      </c>
      <c r="EN7" s="41" t="s">
        <v>169</v>
      </c>
      <c r="EO7" s="96" t="s">
        <v>181</v>
      </c>
      <c r="EQ7" s="41" t="s">
        <v>11</v>
      </c>
      <c r="ER7" s="41" t="s">
        <v>12</v>
      </c>
      <c r="ES7" s="41" t="s">
        <v>4</v>
      </c>
      <c r="ET7" s="41" t="s">
        <v>169</v>
      </c>
      <c r="EU7" s="96" t="s">
        <v>181</v>
      </c>
      <c r="EW7" s="41" t="s">
        <v>11</v>
      </c>
      <c r="EX7" s="41" t="s">
        <v>12</v>
      </c>
      <c r="EY7" s="41" t="s">
        <v>4</v>
      </c>
      <c r="EZ7" s="41" t="s">
        <v>169</v>
      </c>
      <c r="FA7" s="96" t="s">
        <v>181</v>
      </c>
      <c r="FC7" s="41" t="s">
        <v>11</v>
      </c>
      <c r="FD7" s="41" t="s">
        <v>12</v>
      </c>
      <c r="FE7" s="41" t="s">
        <v>4</v>
      </c>
      <c r="FF7" s="41" t="s">
        <v>169</v>
      </c>
      <c r="FG7" s="96" t="s">
        <v>181</v>
      </c>
      <c r="FI7" s="41" t="s">
        <v>11</v>
      </c>
      <c r="FJ7" s="41" t="s">
        <v>12</v>
      </c>
      <c r="FK7" s="41" t="s">
        <v>4</v>
      </c>
      <c r="FL7" s="41" t="s">
        <v>169</v>
      </c>
      <c r="FM7" s="96" t="s">
        <v>181</v>
      </c>
      <c r="FO7" s="41" t="s">
        <v>11</v>
      </c>
      <c r="FP7" s="41" t="s">
        <v>12</v>
      </c>
      <c r="FQ7" s="41" t="s">
        <v>4</v>
      </c>
      <c r="FR7" s="41" t="s">
        <v>169</v>
      </c>
      <c r="FS7" s="96" t="s">
        <v>181</v>
      </c>
      <c r="FU7" s="41" t="s">
        <v>11</v>
      </c>
      <c r="FV7" s="41" t="s">
        <v>12</v>
      </c>
      <c r="FW7" s="41" t="s">
        <v>4</v>
      </c>
      <c r="FX7" s="41" t="s">
        <v>169</v>
      </c>
      <c r="FY7" s="96" t="s">
        <v>181</v>
      </c>
      <c r="GA7" s="41" t="s">
        <v>11</v>
      </c>
      <c r="GB7" s="41" t="s">
        <v>12</v>
      </c>
      <c r="GC7" s="41" t="s">
        <v>4</v>
      </c>
      <c r="GD7" s="41" t="s">
        <v>169</v>
      </c>
      <c r="GE7" s="96" t="s">
        <v>181</v>
      </c>
      <c r="GG7" s="41" t="s">
        <v>11</v>
      </c>
      <c r="GH7" s="41" t="s">
        <v>12</v>
      </c>
      <c r="GI7" s="41" t="s">
        <v>4</v>
      </c>
      <c r="GJ7" s="41" t="s">
        <v>169</v>
      </c>
      <c r="GK7" s="96" t="s">
        <v>181</v>
      </c>
      <c r="GM7" s="41" t="s">
        <v>11</v>
      </c>
      <c r="GN7" s="41" t="s">
        <v>12</v>
      </c>
      <c r="GO7" s="41" t="s">
        <v>4</v>
      </c>
      <c r="GP7" s="41" t="s">
        <v>169</v>
      </c>
      <c r="GQ7" s="96" t="s">
        <v>181</v>
      </c>
      <c r="GS7" s="41" t="s">
        <v>11</v>
      </c>
      <c r="GT7" s="41" t="s">
        <v>12</v>
      </c>
      <c r="GU7" s="41" t="s">
        <v>4</v>
      </c>
      <c r="GV7" s="41" t="s">
        <v>169</v>
      </c>
      <c r="GW7" s="96" t="s">
        <v>181</v>
      </c>
      <c r="GY7" s="41" t="s">
        <v>11</v>
      </c>
      <c r="GZ7" s="41" t="s">
        <v>12</v>
      </c>
      <c r="HA7" s="41" t="s">
        <v>4</v>
      </c>
      <c r="HB7" s="41" t="s">
        <v>169</v>
      </c>
      <c r="HC7" s="96" t="s">
        <v>181</v>
      </c>
    </row>
    <row r="8" spans="1:217" s="52" customFormat="1" ht="12.75">
      <c r="A8" s="51">
        <v>43739</v>
      </c>
      <c r="C8" s="42"/>
      <c r="D8" s="42">
        <v>439413</v>
      </c>
      <c r="E8" s="77">
        <f aca="true" t="shared" si="0" ref="E8:E17">C8+D8</f>
        <v>439413</v>
      </c>
      <c r="F8" s="77">
        <v>91653</v>
      </c>
      <c r="G8" s="77">
        <v>4485</v>
      </c>
      <c r="H8" s="79"/>
      <c r="I8" s="79"/>
      <c r="J8" s="79">
        <f aca="true" t="shared" si="1" ref="J8:J17">P8+V8+AB8+AH8+AN8+AT8+AZ8+BF8+BL8+BR8+BX8+CD8+CJ8+CP8+CV8+DB8+DH8+DN8+DT8+DZ8+EF8+EL8+ER8+EX8+FD8+FJ8+FP8+FV8+GB8+GH8+GN8+GT8+GZ8</f>
        <v>238524.7571967001</v>
      </c>
      <c r="K8" s="79">
        <f aca="true" t="shared" si="2" ref="K8:K17">I8+J8</f>
        <v>238524.7571967001</v>
      </c>
      <c r="L8" s="79">
        <f aca="true" t="shared" si="3" ref="L8:M17">R8+X8+AD8+AJ8+AP8+AV8+BB8+BH8+BN8+BT8+BZ8+CF8+CL8+CR8+CX8+DD8+DJ8+DP8+DV8+EB8+EH8+EN8+ET8+EZ8+FF8+FL8+FR8+FX8+GD8+GJ8+GP8+GV8+HB8</f>
        <v>49751.6222127</v>
      </c>
      <c r="M8" s="79">
        <f t="shared" si="3"/>
        <v>2434.5741615</v>
      </c>
      <c r="N8" s="79"/>
      <c r="O8" s="78"/>
      <c r="P8" s="78">
        <f aca="true" t="shared" si="4" ref="P8:P17">D8*6.61452/100</f>
        <v>29065.0607676</v>
      </c>
      <c r="Q8" s="79">
        <f aca="true" t="shared" si="5" ref="Q8:Q16">O8+P8</f>
        <v>29065.0607676</v>
      </c>
      <c r="R8" s="79">
        <f aca="true" t="shared" si="6" ref="R8:R17">P$6*$F8</f>
        <v>6062.4060156000005</v>
      </c>
      <c r="S8" s="77">
        <f aca="true" t="shared" si="7" ref="S8:S17">P$6*$G8</f>
        <v>296.661222</v>
      </c>
      <c r="T8" s="79"/>
      <c r="U8" s="78"/>
      <c r="V8" s="78">
        <f aca="true" t="shared" si="8" ref="V8:V17">D8*0.11296/100</f>
        <v>496.3609248</v>
      </c>
      <c r="W8" s="78">
        <f aca="true" t="shared" si="9" ref="W8:W17">U8+V8</f>
        <v>496.3609248</v>
      </c>
      <c r="X8" s="79">
        <f aca="true" t="shared" si="10" ref="X8:X17">V$6*$F8</f>
        <v>103.5312288</v>
      </c>
      <c r="Y8" s="77">
        <f aca="true" t="shared" si="11" ref="Y8:Y17">V$6*$G8</f>
        <v>5.066255999999999</v>
      </c>
      <c r="Z8" s="79"/>
      <c r="AA8" s="79"/>
      <c r="AB8" s="78">
        <f aca="true" t="shared" si="12" ref="AB8:AB17">D8*0.50994/100</f>
        <v>2240.7426521999996</v>
      </c>
      <c r="AC8" s="78">
        <f aca="true" t="shared" si="13" ref="AC8:AC17">AA8+AB8</f>
        <v>2240.7426521999996</v>
      </c>
      <c r="AD8" s="79">
        <f aca="true" t="shared" si="14" ref="AD8:AD17">AB$6*$F8</f>
        <v>467.37530819999995</v>
      </c>
      <c r="AE8" s="77">
        <f aca="true" t="shared" si="15" ref="AE8:AE17">AB$6*$G8</f>
        <v>22.870808999999998</v>
      </c>
      <c r="AF8" s="79"/>
      <c r="AG8" s="78"/>
      <c r="AH8" s="78">
        <f aca="true" t="shared" si="16" ref="AH8:AH17">D8*8.86797/100</f>
        <v>38967.0130161</v>
      </c>
      <c r="AI8" s="78">
        <f aca="true" t="shared" si="17" ref="AI8:AI17">AG8+AH8</f>
        <v>38967.0130161</v>
      </c>
      <c r="AJ8" s="79">
        <f aca="true" t="shared" si="18" ref="AJ8:AJ17">AH$6*$F8</f>
        <v>8127.7605441</v>
      </c>
      <c r="AK8" s="77">
        <f aca="true" t="shared" si="19" ref="AK8:AK17">AH$6*$G8</f>
        <v>397.7284545</v>
      </c>
      <c r="AL8" s="79"/>
      <c r="AM8" s="78"/>
      <c r="AN8" s="78">
        <f aca="true" t="shared" si="20" ref="AN8:AN17">D8*0.10742/100</f>
        <v>472.01744460000003</v>
      </c>
      <c r="AO8" s="78">
        <f aca="true" t="shared" si="21" ref="AO8:AO17">AM8+AN8</f>
        <v>472.01744460000003</v>
      </c>
      <c r="AP8" s="79">
        <f aca="true" t="shared" si="22" ref="AP8:AP17">AN$6*$F8</f>
        <v>98.4536526</v>
      </c>
      <c r="AQ8" s="77">
        <f aca="true" t="shared" si="23" ref="AQ8:AQ17">AN$6*$G8</f>
        <v>4.817787</v>
      </c>
      <c r="AR8" s="78"/>
      <c r="AS8" s="78"/>
      <c r="AT8" s="78">
        <f aca="true" t="shared" si="24" ref="AT8:AT17">D8*0.09059/100</f>
        <v>398.06423670000004</v>
      </c>
      <c r="AU8" s="78">
        <f aca="true" t="shared" si="25" ref="AU8:AU17">AS8+AT8</f>
        <v>398.06423670000004</v>
      </c>
      <c r="AV8" s="79">
        <f aca="true" t="shared" si="26" ref="AV8:AV17">AT$6*$F8</f>
        <v>83.0284527</v>
      </c>
      <c r="AW8" s="77">
        <f aca="true" t="shared" si="27" ref="AW8:AW17">AT$6*$G8</f>
        <v>4.0629615</v>
      </c>
      <c r="AX8" s="79"/>
      <c r="AY8" s="78"/>
      <c r="AZ8" s="78">
        <f aca="true" t="shared" si="28" ref="AZ8:AZ17">D8*3.71668/100</f>
        <v>16331.5750884</v>
      </c>
      <c r="BA8" s="78">
        <f aca="true" t="shared" si="29" ref="BA8:BA17">AY8+AZ8</f>
        <v>16331.5750884</v>
      </c>
      <c r="BB8" s="79">
        <f aca="true" t="shared" si="30" ref="BB8:BB17">AZ$6*$F8</f>
        <v>3406.4487204</v>
      </c>
      <c r="BC8" s="77">
        <f aca="true" t="shared" si="31" ref="BC8:BC17">AZ$6*$G8</f>
        <v>166.693098</v>
      </c>
      <c r="BD8" s="79"/>
      <c r="BE8" s="78"/>
      <c r="BF8" s="78">
        <f aca="true" t="shared" si="32" ref="BF8:BF17">D8*7.62623/100</f>
        <v>33510.6460299</v>
      </c>
      <c r="BG8" s="78">
        <f aca="true" t="shared" si="33" ref="BG8:BG17">BE8+BF8</f>
        <v>33510.6460299</v>
      </c>
      <c r="BH8" s="79">
        <f aca="true" t="shared" si="34" ref="BH8:BH17">BF$6*$F8</f>
        <v>6989.6685819</v>
      </c>
      <c r="BI8" s="77">
        <f aca="true" t="shared" si="35" ref="BI8:BI17">BF$6*$G8</f>
        <v>342.03641550000003</v>
      </c>
      <c r="BJ8" s="79"/>
      <c r="BK8" s="78"/>
      <c r="BL8" s="78">
        <f aca="true" t="shared" si="36" ref="BL8:BL17">D8*0.08804/100</f>
        <v>386.8592052</v>
      </c>
      <c r="BM8" s="78">
        <f aca="true" t="shared" si="37" ref="BM8:BM17">BK8+BL8</f>
        <v>386.8592052</v>
      </c>
      <c r="BN8" s="79">
        <f aca="true" t="shared" si="38" ref="BN8:BN17">BL$6*$F8</f>
        <v>80.6913012</v>
      </c>
      <c r="BO8" s="77">
        <f aca="true" t="shared" si="39" ref="BO8:BO17">BL$6*$G8</f>
        <v>3.9485940000000004</v>
      </c>
      <c r="BP8" s="79"/>
      <c r="BQ8" s="78"/>
      <c r="BR8" s="78">
        <f aca="true" t="shared" si="40" ref="BR8:BR17">D8*0.05914/100</f>
        <v>259.8688482</v>
      </c>
      <c r="BS8" s="78">
        <f aca="true" t="shared" si="41" ref="BS8:BS17">BQ8+BR8</f>
        <v>259.8688482</v>
      </c>
      <c r="BT8" s="79">
        <f aca="true" t="shared" si="42" ref="BT8:BT17">BR$6*$F8</f>
        <v>54.203584199999995</v>
      </c>
      <c r="BU8" s="77">
        <f aca="true" t="shared" si="43" ref="BU8:BU17">BR$6*$G8</f>
        <v>2.6524289999999997</v>
      </c>
      <c r="BV8" s="79"/>
      <c r="BW8" s="78"/>
      <c r="BX8" s="78">
        <f aca="true" t="shared" si="44" ref="BX8:BX17">D8*-0.00881/100</f>
        <v>-38.7122853</v>
      </c>
      <c r="BY8" s="78">
        <f aca="true" t="shared" si="45" ref="BY8:BY17">BW8+BX8</f>
        <v>-38.7122853</v>
      </c>
      <c r="BZ8" s="79">
        <f aca="true" t="shared" si="46" ref="BZ8:BZ17">BX$6*$F8</f>
        <v>-8.0746293</v>
      </c>
      <c r="CA8" s="77">
        <f aca="true" t="shared" si="47" ref="CA8:CA17">BX$6*$G8</f>
        <v>-0.3951285</v>
      </c>
      <c r="CB8" s="78"/>
      <c r="CC8" s="78"/>
      <c r="CD8" s="78">
        <f aca="true" t="shared" si="48" ref="CD8:CD17">D8*-0.00574/100</f>
        <v>-25.222306200000002</v>
      </c>
      <c r="CE8" s="78">
        <f aca="true" t="shared" si="49" ref="CE8:CE17">CC8+CD8</f>
        <v>-25.222306200000002</v>
      </c>
      <c r="CF8" s="79">
        <f aca="true" t="shared" si="50" ref="CF8:CF17">CD$6*$F8</f>
        <v>-5.2608822</v>
      </c>
      <c r="CG8" s="77">
        <f aca="true" t="shared" si="51" ref="CG8:CG17">CD$6*$G8</f>
        <v>-0.257439</v>
      </c>
      <c r="CH8" s="79"/>
      <c r="CI8" s="78"/>
      <c r="CJ8" s="78">
        <f aca="true" t="shared" si="52" ref="CJ8:CJ17">D8*0.21346/100</f>
        <v>937.9709898000001</v>
      </c>
      <c r="CK8" s="78">
        <f aca="true" t="shared" si="53" ref="CK8:CK17">CI8+CJ8</f>
        <v>937.9709898000001</v>
      </c>
      <c r="CL8" s="79">
        <f aca="true" t="shared" si="54" ref="CL8:CL17">CJ$6*$F8</f>
        <v>195.64249379999998</v>
      </c>
      <c r="CM8" s="77">
        <f aca="true" t="shared" si="55" ref="CM8:CM17">CJ$6*$G8</f>
        <v>9.573681</v>
      </c>
      <c r="CN8" s="79"/>
      <c r="CO8" s="78"/>
      <c r="CP8" s="78">
        <f aca="true" t="shared" si="56" ref="CP8:CP17">D8*1.3127/100</f>
        <v>5768.174451</v>
      </c>
      <c r="CQ8" s="78">
        <f aca="true" t="shared" si="57" ref="CQ8:CQ17">CO8+CP8</f>
        <v>5768.174451</v>
      </c>
      <c r="CR8" s="79">
        <f aca="true" t="shared" si="58" ref="CR8:CR17">CP$6*$F8</f>
        <v>1203.128931</v>
      </c>
      <c r="CS8" s="77">
        <f aca="true" t="shared" si="59" ref="CS8:CS17">CP$6*$G8</f>
        <v>58.874595</v>
      </c>
      <c r="CT8" s="79"/>
      <c r="CU8" s="78"/>
      <c r="CV8" s="78">
        <f aca="true" t="shared" si="60" ref="CV8:CV17">D8*8.81851/100</f>
        <v>38749.6793463</v>
      </c>
      <c r="CW8" s="78">
        <f aca="true" t="shared" si="61" ref="CW8:CW17">CU8+CV8</f>
        <v>38749.6793463</v>
      </c>
      <c r="CX8" s="79">
        <f aca="true" t="shared" si="62" ref="CX8:CX17">CV$6*$F8</f>
        <v>8082.4289703</v>
      </c>
      <c r="CY8" s="77">
        <f aca="true" t="shared" si="63" ref="CY8:CY17">CV$6*$G8</f>
        <v>395.5101735</v>
      </c>
      <c r="CZ8" s="79"/>
      <c r="DA8" s="78"/>
      <c r="DB8" s="78">
        <f aca="true" t="shared" si="64" ref="DB8:DB17">D8*1.27232/100</f>
        <v>5590.739481599999</v>
      </c>
      <c r="DC8" s="78">
        <f aca="true" t="shared" si="65" ref="DC8:DC17">DA8+DB8</f>
        <v>5590.739481599999</v>
      </c>
      <c r="DD8" s="79">
        <f aca="true" t="shared" si="66" ref="DD8:DD17">DB$6*$F8</f>
        <v>1166.1194496</v>
      </c>
      <c r="DE8" s="77">
        <f aca="true" t="shared" si="67" ref="DE8:DE17">DB$6*$G8</f>
        <v>57.063552</v>
      </c>
      <c r="DF8" s="79"/>
      <c r="DG8" s="78"/>
      <c r="DH8" s="78">
        <f aca="true" t="shared" si="68" ref="DH8:DH17">D8*2.59972/100</f>
        <v>11423.5076436</v>
      </c>
      <c r="DI8" s="78">
        <f aca="true" t="shared" si="69" ref="DI8:DI17">DG8+DH8</f>
        <v>11423.5076436</v>
      </c>
      <c r="DJ8" s="79">
        <f aca="true" t="shared" si="70" ref="DJ8:DJ17">DH$6*$F8</f>
        <v>2382.7213716</v>
      </c>
      <c r="DK8" s="77">
        <f aca="true" t="shared" si="71" ref="DK8:DK17">DH$6*$G8</f>
        <v>116.597442</v>
      </c>
      <c r="DL8" s="79"/>
      <c r="DM8" s="78"/>
      <c r="DN8" s="78">
        <f aca="true" t="shared" si="72" ref="DN8:DN17">D8*0.42162/100</f>
        <v>1852.6530906</v>
      </c>
      <c r="DO8" s="78">
        <f aca="true" t="shared" si="73" ref="DO8:DO17">DM8+DN8</f>
        <v>1852.6530906</v>
      </c>
      <c r="DP8" s="79">
        <f aca="true" t="shared" si="74" ref="DP8:DP17">DN$6*$F8</f>
        <v>386.4273786</v>
      </c>
      <c r="DQ8" s="77">
        <f aca="true" t="shared" si="75" ref="DQ8:DQ17">DN$6*$G8</f>
        <v>18.909657</v>
      </c>
      <c r="DR8" s="79"/>
      <c r="DS8" s="78"/>
      <c r="DT8" s="78">
        <f aca="true" t="shared" si="76" ref="DT8:DT17">D8*2.16282/100</f>
        <v>9503.7122466</v>
      </c>
      <c r="DU8" s="78">
        <f aca="true" t="shared" si="77" ref="DU8:DU17">DS8+DT8</f>
        <v>9503.7122466</v>
      </c>
      <c r="DV8" s="79">
        <f aca="true" t="shared" si="78" ref="DV8:DV17">DT$6*$F8</f>
        <v>1982.2894146</v>
      </c>
      <c r="DW8" s="77">
        <f aca="true" t="shared" si="79" ref="DW8:DW17">DT$6*$G8</f>
        <v>97.002477</v>
      </c>
      <c r="DX8" s="79"/>
      <c r="DY8" s="78"/>
      <c r="DZ8" s="78">
        <f aca="true" t="shared" si="80" ref="DZ8:DZ17">D8*0.01933/100</f>
        <v>84.93853289999998</v>
      </c>
      <c r="EA8" s="78">
        <f aca="true" t="shared" si="81" ref="EA8:EA17">DY8+DZ8</f>
        <v>84.93853289999998</v>
      </c>
      <c r="EB8" s="79">
        <f aca="true" t="shared" si="82" ref="EB8:EB17">DZ$6*$F8</f>
        <v>17.7165249</v>
      </c>
      <c r="EC8" s="77">
        <f aca="true" t="shared" si="83" ref="EC8:EC17">DZ$6*$G8</f>
        <v>0.8669505000000001</v>
      </c>
      <c r="ED8" s="79"/>
      <c r="EE8" s="78"/>
      <c r="EF8" s="78">
        <f aca="true" t="shared" si="84" ref="EF8:EF17">D8*0.02544/100</f>
        <v>111.78666720000001</v>
      </c>
      <c r="EG8" s="78">
        <f aca="true" t="shared" si="85" ref="EG8:EG17">EE8+EF8</f>
        <v>111.78666720000001</v>
      </c>
      <c r="EH8" s="79">
        <f aca="true" t="shared" si="86" ref="EH8:EH17">EF$6*$F8</f>
        <v>23.3165232</v>
      </c>
      <c r="EI8" s="77">
        <f aca="true" t="shared" si="87" ref="EI8:EI17">EF$6*$G8</f>
        <v>1.140984</v>
      </c>
      <c r="EJ8" s="79"/>
      <c r="EK8" s="78"/>
      <c r="EL8" s="78">
        <f aca="true" t="shared" si="88" ref="EL8:EL17">D8*1.28187/100</f>
        <v>5632.7034231</v>
      </c>
      <c r="EM8" s="78">
        <f aca="true" t="shared" si="89" ref="EM8:EM17">EK8+EL8</f>
        <v>5632.7034231</v>
      </c>
      <c r="EN8" s="79">
        <f aca="true" t="shared" si="90" ref="EN8:EN17">EL$6*$F8</f>
        <v>1174.8723111000002</v>
      </c>
      <c r="EO8" s="77">
        <f aca="true" t="shared" si="91" ref="EO8:EO17">EL$6*$G8</f>
        <v>57.4918695</v>
      </c>
      <c r="EP8" s="79"/>
      <c r="EQ8" s="78"/>
      <c r="ER8" s="78">
        <f aca="true" t="shared" si="92" ref="ER8:ER17">D8*0.0244/100</f>
        <v>107.216772</v>
      </c>
      <c r="ES8" s="78">
        <f aca="true" t="shared" si="93" ref="ES8:ES17">EQ8+ER8</f>
        <v>107.216772</v>
      </c>
      <c r="ET8" s="79">
        <f aca="true" t="shared" si="94" ref="ET8:ET17">ER$6*$F8</f>
        <v>22.363332</v>
      </c>
      <c r="EU8" s="77">
        <f aca="true" t="shared" si="95" ref="EU8:EU17">ER$6*$G8</f>
        <v>1.0943399999999999</v>
      </c>
      <c r="EV8" s="79"/>
      <c r="EW8" s="78"/>
      <c r="EX8" s="78">
        <f aca="true" t="shared" si="96" ref="EX8:EX17">D8*0.36459/100</f>
        <v>1602.0558567</v>
      </c>
      <c r="EY8" s="78">
        <f aca="true" t="shared" si="97" ref="EY8:EY17">EW8+EX8</f>
        <v>1602.0558567</v>
      </c>
      <c r="EZ8" s="79">
        <f aca="true" t="shared" si="98" ref="EZ8:EZ17">EX$6*$F8</f>
        <v>334.15767270000003</v>
      </c>
      <c r="FA8" s="77">
        <f aca="true" t="shared" si="99" ref="FA8:FA17">EX$6*$G8</f>
        <v>16.351861500000002</v>
      </c>
      <c r="FB8" s="79"/>
      <c r="FC8" s="78"/>
      <c r="FD8" s="78">
        <f aca="true" t="shared" si="100" ref="FD8:FD17">D8*0.25327/100</f>
        <v>1112.9013051</v>
      </c>
      <c r="FE8" s="78">
        <f aca="true" t="shared" si="101" ref="FE8:FE17">FC8+FD8</f>
        <v>1112.9013051</v>
      </c>
      <c r="FF8" s="79">
        <f aca="true" t="shared" si="102" ref="FF8:FF17">FD$6*$F8</f>
        <v>232.1295531</v>
      </c>
      <c r="FG8" s="77">
        <f aca="true" t="shared" si="103" ref="FG8:FG17">FD$6*$G8</f>
        <v>11.3591595</v>
      </c>
      <c r="FH8" s="79"/>
      <c r="FI8" s="78"/>
      <c r="FJ8" s="78">
        <f aca="true" t="shared" si="104" ref="FJ8:FJ17">D8*0.09887/100</f>
        <v>434.4476331</v>
      </c>
      <c r="FK8" s="78">
        <f aca="true" t="shared" si="105" ref="FK8:FK17">FI8+FJ8</f>
        <v>434.4476331</v>
      </c>
      <c r="FL8" s="79">
        <f aca="true" t="shared" si="106" ref="FL8:FL17">FJ$6*$F8</f>
        <v>90.6173211</v>
      </c>
      <c r="FM8" s="77">
        <f aca="true" t="shared" si="107" ref="FM8:FM17">FJ$6*$G8</f>
        <v>4.4343195</v>
      </c>
      <c r="FN8" s="79"/>
      <c r="FO8" s="78"/>
      <c r="FP8" s="78">
        <f aca="true" t="shared" si="108" ref="FP8:FP17">D8*1.11111/100</f>
        <v>4882.3617843</v>
      </c>
      <c r="FQ8" s="78">
        <f aca="true" t="shared" si="109" ref="FQ8:FQ17">FO8+FP8</f>
        <v>4882.3617843</v>
      </c>
      <c r="FR8" s="79">
        <f aca="true" t="shared" si="110" ref="FR8:FR17">FP$6*$F8</f>
        <v>1018.3656483000001</v>
      </c>
      <c r="FS8" s="77">
        <f aca="true" t="shared" si="111" ref="FS8:FS17">FP$6*$G8</f>
        <v>49.8332835</v>
      </c>
      <c r="FT8" s="79"/>
      <c r="FU8" s="78"/>
      <c r="FV8" s="78">
        <f aca="true" t="shared" si="112" ref="FV8:FV17">D8*2.50422/100</f>
        <v>11003.8682286</v>
      </c>
      <c r="FW8" s="78">
        <f aca="true" t="shared" si="113" ref="FW8:FW17">FU8+FV8</f>
        <v>11003.8682286</v>
      </c>
      <c r="FX8" s="79">
        <f aca="true" t="shared" si="114" ref="FX8:FX17">FV$6*$F8</f>
        <v>2295.1927566</v>
      </c>
      <c r="FY8" s="77">
        <f aca="true" t="shared" si="115" ref="FY8:FY17">FV$6*$G8</f>
        <v>112.314267</v>
      </c>
      <c r="FZ8" s="79"/>
      <c r="GA8" s="78"/>
      <c r="GB8" s="78">
        <f aca="true" t="shared" si="116" ref="GB8:GB17">D8*0.31957/100</f>
        <v>1404.2321241</v>
      </c>
      <c r="GC8" s="78">
        <f aca="true" t="shared" si="117" ref="GC8:GC17">GA8+GB8</f>
        <v>1404.2321241</v>
      </c>
      <c r="GD8" s="79">
        <f aca="true" t="shared" si="118" ref="GD8:GD17">GB$6*$F8</f>
        <v>292.8954921</v>
      </c>
      <c r="GE8" s="77">
        <f aca="true" t="shared" si="119" ref="GE8:GE17">GB$6*$G8</f>
        <v>14.3327145</v>
      </c>
      <c r="GF8" s="79"/>
      <c r="GG8" s="78"/>
      <c r="GH8" s="78">
        <f aca="true" t="shared" si="120" ref="GH8:GH17">D8*0.50748/100</f>
        <v>2229.9330924000005</v>
      </c>
      <c r="GI8" s="78">
        <f aca="true" t="shared" si="121" ref="GI8:GI17">GG8+GH8</f>
        <v>2229.9330924000005</v>
      </c>
      <c r="GJ8" s="79">
        <f aca="true" t="shared" si="122" ref="GJ8:GJ17">GH$6*$F8</f>
        <v>465.1206444</v>
      </c>
      <c r="GK8" s="77">
        <f aca="true" t="shared" si="123" ref="GK8:GK17">GH$6*$G8</f>
        <v>22.760478</v>
      </c>
      <c r="GL8" s="79"/>
      <c r="GM8" s="78"/>
      <c r="GN8" s="78">
        <f aca="true" t="shared" si="124" ref="GN8:GN17">D8*2.35189/100</f>
        <v>10334.5104057</v>
      </c>
      <c r="GO8" s="78">
        <f aca="true" t="shared" si="125" ref="GO8:GO17">GM8+GN8</f>
        <v>10334.5104057</v>
      </c>
      <c r="GP8" s="79">
        <f aca="true" t="shared" si="126" ref="GP8:GP17">GN$6*$F8</f>
        <v>2155.5777417</v>
      </c>
      <c r="GQ8" s="77">
        <f aca="true" t="shared" si="127" ref="GQ8:GQ17">GN$6*$G8</f>
        <v>105.4822665</v>
      </c>
      <c r="GR8" s="79"/>
      <c r="GS8" s="78"/>
      <c r="GT8" s="78">
        <f aca="true" t="shared" si="128" ref="GT8:GT17">D8*0.12482/100</f>
        <v>548.4753066</v>
      </c>
      <c r="GU8" s="78">
        <f aca="true" t="shared" si="129" ref="GU8:GU17">GS8+GT8</f>
        <v>548.4753066</v>
      </c>
      <c r="GV8" s="79">
        <f aca="true" t="shared" si="130" ref="GV8:GV17">GT$6*$F8</f>
        <v>114.40127460000001</v>
      </c>
      <c r="GW8" s="77">
        <f aca="true" t="shared" si="131" ref="GW8:GW17">GT$6*$G8</f>
        <v>5.598177000000001</v>
      </c>
      <c r="GX8" s="79"/>
      <c r="GY8" s="78"/>
      <c r="GZ8" s="78">
        <f aca="true" t="shared" si="132" ref="GZ8:GZ17">D8*0.71564/100</f>
        <v>3144.6151932000002</v>
      </c>
      <c r="HA8" s="78">
        <f aca="true" t="shared" si="133" ref="HA8:HA17">GY8+GZ8</f>
        <v>3144.6151932000002</v>
      </c>
      <c r="HB8" s="79">
        <f aca="true" t="shared" si="134" ref="HB8:HB17">GZ$6*$F8</f>
        <v>655.9055292</v>
      </c>
      <c r="HC8" s="77">
        <f aca="true" t="shared" si="135" ref="HC8:HC17">GZ$6*$G8</f>
        <v>32.096454</v>
      </c>
      <c r="HD8" s="79"/>
      <c r="HE8" s="79"/>
      <c r="HF8" s="79"/>
      <c r="HG8" s="79"/>
      <c r="HH8" s="79"/>
      <c r="HI8" s="79"/>
    </row>
    <row r="9" spans="1:217" s="52" customFormat="1" ht="12.75">
      <c r="A9" s="51">
        <v>43922</v>
      </c>
      <c r="C9" s="42">
        <v>5000</v>
      </c>
      <c r="D9" s="42">
        <v>439413</v>
      </c>
      <c r="E9" s="77">
        <f t="shared" si="0"/>
        <v>444413</v>
      </c>
      <c r="F9" s="77">
        <v>91653</v>
      </c>
      <c r="G9" s="77">
        <v>4485</v>
      </c>
      <c r="H9" s="79"/>
      <c r="I9" s="79">
        <f>O9+U9+AA9+AG9+AM9+AS9+AY9+BE9+BK9+BQ9+BW9+CC9+CI9+CO9+CU9+DA9+DG9+DM9+DS9+DY9+EE9+EK9+EQ9+EW9+FC9+FI9+FO9+FU9+GA9+GG9+GM9+GS9+GY9</f>
        <v>2714.1295</v>
      </c>
      <c r="J9" s="79">
        <f t="shared" si="1"/>
        <v>238524.7571967001</v>
      </c>
      <c r="K9" s="79">
        <f t="shared" si="2"/>
        <v>241238.88669670012</v>
      </c>
      <c r="L9" s="79">
        <f t="shared" si="3"/>
        <v>49751.6222127</v>
      </c>
      <c r="M9" s="79">
        <f t="shared" si="3"/>
        <v>2434.5741615</v>
      </c>
      <c r="N9" s="79"/>
      <c r="O9" s="78">
        <f aca="true" t="shared" si="136" ref="O9:O17">C9*6.61452/100</f>
        <v>330.726</v>
      </c>
      <c r="P9" s="78">
        <f t="shared" si="4"/>
        <v>29065.0607676</v>
      </c>
      <c r="Q9" s="79">
        <f t="shared" si="5"/>
        <v>29395.7867676</v>
      </c>
      <c r="R9" s="79">
        <f t="shared" si="6"/>
        <v>6062.4060156000005</v>
      </c>
      <c r="S9" s="77">
        <f t="shared" si="7"/>
        <v>296.661222</v>
      </c>
      <c r="T9" s="79"/>
      <c r="U9" s="78">
        <f aca="true" t="shared" si="137" ref="U9:U17">C9*0.11296/100</f>
        <v>5.648000000000001</v>
      </c>
      <c r="V9" s="78">
        <f t="shared" si="8"/>
        <v>496.3609248</v>
      </c>
      <c r="W9" s="78">
        <f t="shared" si="9"/>
        <v>502.00892480000005</v>
      </c>
      <c r="X9" s="79">
        <f t="shared" si="10"/>
        <v>103.5312288</v>
      </c>
      <c r="Y9" s="77">
        <f t="shared" si="11"/>
        <v>5.066255999999999</v>
      </c>
      <c r="Z9" s="79"/>
      <c r="AA9" s="79">
        <f aca="true" t="shared" si="138" ref="AA9:AA17">C9*0.50994/100</f>
        <v>25.497</v>
      </c>
      <c r="AB9" s="78">
        <f t="shared" si="12"/>
        <v>2240.7426521999996</v>
      </c>
      <c r="AC9" s="78">
        <f t="shared" si="13"/>
        <v>2266.2396521999995</v>
      </c>
      <c r="AD9" s="79">
        <f t="shared" si="14"/>
        <v>467.37530819999995</v>
      </c>
      <c r="AE9" s="77">
        <f t="shared" si="15"/>
        <v>22.870808999999998</v>
      </c>
      <c r="AF9" s="79"/>
      <c r="AG9" s="78">
        <f aca="true" t="shared" si="139" ref="AG9:AG17">C9*8.86797/100</f>
        <v>443.3985</v>
      </c>
      <c r="AH9" s="78">
        <f t="shared" si="16"/>
        <v>38967.0130161</v>
      </c>
      <c r="AI9" s="78">
        <f t="shared" si="17"/>
        <v>39410.4115161</v>
      </c>
      <c r="AJ9" s="79">
        <f t="shared" si="18"/>
        <v>8127.7605441</v>
      </c>
      <c r="AK9" s="77">
        <f t="shared" si="19"/>
        <v>397.7284545</v>
      </c>
      <c r="AL9" s="79"/>
      <c r="AM9" s="78">
        <f aca="true" t="shared" si="140" ref="AM9:AM17">C9*0.10742/100</f>
        <v>5.371</v>
      </c>
      <c r="AN9" s="78">
        <f t="shared" si="20"/>
        <v>472.01744460000003</v>
      </c>
      <c r="AO9" s="78">
        <f t="shared" si="21"/>
        <v>477.3884446</v>
      </c>
      <c r="AP9" s="79">
        <f t="shared" si="22"/>
        <v>98.4536526</v>
      </c>
      <c r="AQ9" s="77">
        <f t="shared" si="23"/>
        <v>4.817787</v>
      </c>
      <c r="AR9" s="78"/>
      <c r="AS9" s="78">
        <f aca="true" t="shared" si="141" ref="AS9:AS17">C9*0.09059/100</f>
        <v>4.5295000000000005</v>
      </c>
      <c r="AT9" s="78">
        <f t="shared" si="24"/>
        <v>398.06423670000004</v>
      </c>
      <c r="AU9" s="78">
        <f t="shared" si="25"/>
        <v>402.5937367</v>
      </c>
      <c r="AV9" s="79">
        <f t="shared" si="26"/>
        <v>83.0284527</v>
      </c>
      <c r="AW9" s="77">
        <f t="shared" si="27"/>
        <v>4.0629615</v>
      </c>
      <c r="AX9" s="79"/>
      <c r="AY9" s="78">
        <f aca="true" t="shared" si="142" ref="AY9:AY17">C9*3.71668/100</f>
        <v>185.834</v>
      </c>
      <c r="AZ9" s="78">
        <f t="shared" si="28"/>
        <v>16331.5750884</v>
      </c>
      <c r="BA9" s="78">
        <f t="shared" si="29"/>
        <v>16517.4090884</v>
      </c>
      <c r="BB9" s="79">
        <f t="shared" si="30"/>
        <v>3406.4487204</v>
      </c>
      <c r="BC9" s="77">
        <f t="shared" si="31"/>
        <v>166.693098</v>
      </c>
      <c r="BD9" s="79"/>
      <c r="BE9" s="78">
        <f aca="true" t="shared" si="143" ref="BE9:BE17">C9*7.62623/100</f>
        <v>381.3115</v>
      </c>
      <c r="BF9" s="78">
        <f t="shared" si="32"/>
        <v>33510.6460299</v>
      </c>
      <c r="BG9" s="78">
        <f t="shared" si="33"/>
        <v>33891.957529900006</v>
      </c>
      <c r="BH9" s="79">
        <f t="shared" si="34"/>
        <v>6989.6685819</v>
      </c>
      <c r="BI9" s="77">
        <f t="shared" si="35"/>
        <v>342.03641550000003</v>
      </c>
      <c r="BJ9" s="79"/>
      <c r="BK9" s="78">
        <f aca="true" t="shared" si="144" ref="BK9:BK17">C9*0.08804/100</f>
        <v>4.402</v>
      </c>
      <c r="BL9" s="78">
        <f t="shared" si="36"/>
        <v>386.8592052</v>
      </c>
      <c r="BM9" s="78">
        <f t="shared" si="37"/>
        <v>391.2612052</v>
      </c>
      <c r="BN9" s="79">
        <f t="shared" si="38"/>
        <v>80.6913012</v>
      </c>
      <c r="BO9" s="77">
        <f t="shared" si="39"/>
        <v>3.9485940000000004</v>
      </c>
      <c r="BP9" s="79"/>
      <c r="BQ9" s="78">
        <f aca="true" t="shared" si="145" ref="BQ9:BQ17">C9*0.05914/100</f>
        <v>2.957</v>
      </c>
      <c r="BR9" s="78">
        <f t="shared" si="40"/>
        <v>259.8688482</v>
      </c>
      <c r="BS9" s="78">
        <f t="shared" si="41"/>
        <v>262.8258482</v>
      </c>
      <c r="BT9" s="79">
        <f t="shared" si="42"/>
        <v>54.203584199999995</v>
      </c>
      <c r="BU9" s="77">
        <f t="shared" si="43"/>
        <v>2.6524289999999997</v>
      </c>
      <c r="BV9" s="79"/>
      <c r="BW9" s="78">
        <f aca="true" t="shared" si="146" ref="BW9:BW17">C9*-0.00881/100</f>
        <v>-0.44049999999999995</v>
      </c>
      <c r="BX9" s="78">
        <f t="shared" si="44"/>
        <v>-38.7122853</v>
      </c>
      <c r="BY9" s="78">
        <f t="shared" si="45"/>
        <v>-39.1527853</v>
      </c>
      <c r="BZ9" s="79">
        <f t="shared" si="46"/>
        <v>-8.0746293</v>
      </c>
      <c r="CA9" s="77">
        <f t="shared" si="47"/>
        <v>-0.3951285</v>
      </c>
      <c r="CB9" s="78"/>
      <c r="CC9" s="78">
        <f aca="true" t="shared" si="147" ref="CC9:CC17">C9*-0.00574/100</f>
        <v>-0.28700000000000003</v>
      </c>
      <c r="CD9" s="78">
        <f t="shared" si="48"/>
        <v>-25.222306200000002</v>
      </c>
      <c r="CE9" s="78">
        <f t="shared" si="49"/>
        <v>-25.5093062</v>
      </c>
      <c r="CF9" s="79">
        <f t="shared" si="50"/>
        <v>-5.2608822</v>
      </c>
      <c r="CG9" s="77">
        <f t="shared" si="51"/>
        <v>-0.257439</v>
      </c>
      <c r="CH9" s="79"/>
      <c r="CI9" s="78">
        <f aca="true" t="shared" si="148" ref="CI9:CI17">C9*0.21346/100</f>
        <v>10.673</v>
      </c>
      <c r="CJ9" s="78">
        <f t="shared" si="52"/>
        <v>937.9709898000001</v>
      </c>
      <c r="CK9" s="78">
        <f t="shared" si="53"/>
        <v>948.6439898000001</v>
      </c>
      <c r="CL9" s="79">
        <f t="shared" si="54"/>
        <v>195.64249379999998</v>
      </c>
      <c r="CM9" s="77">
        <f t="shared" si="55"/>
        <v>9.573681</v>
      </c>
      <c r="CN9" s="79"/>
      <c r="CO9" s="78">
        <f aca="true" t="shared" si="149" ref="CO9:CO17">C9*1.3127/100</f>
        <v>65.635</v>
      </c>
      <c r="CP9" s="78">
        <f t="shared" si="56"/>
        <v>5768.174451</v>
      </c>
      <c r="CQ9" s="78">
        <f t="shared" si="57"/>
        <v>5833.809451</v>
      </c>
      <c r="CR9" s="79">
        <f t="shared" si="58"/>
        <v>1203.128931</v>
      </c>
      <c r="CS9" s="77">
        <f t="shared" si="59"/>
        <v>58.874595</v>
      </c>
      <c r="CT9" s="79"/>
      <c r="CU9" s="78">
        <f aca="true" t="shared" si="150" ref="CU9:CU17">C9*8.81851/100</f>
        <v>440.92549999999994</v>
      </c>
      <c r="CV9" s="78">
        <f t="shared" si="60"/>
        <v>38749.6793463</v>
      </c>
      <c r="CW9" s="78">
        <f t="shared" si="61"/>
        <v>39190.6048463</v>
      </c>
      <c r="CX9" s="79">
        <f t="shared" si="62"/>
        <v>8082.4289703</v>
      </c>
      <c r="CY9" s="77">
        <f t="shared" si="63"/>
        <v>395.5101735</v>
      </c>
      <c r="CZ9" s="79"/>
      <c r="DA9" s="78">
        <f aca="true" t="shared" si="151" ref="DA9:DA17">C9*1.27232/100</f>
        <v>63.61599999999999</v>
      </c>
      <c r="DB9" s="78">
        <f t="shared" si="64"/>
        <v>5590.739481599999</v>
      </c>
      <c r="DC9" s="78">
        <f t="shared" si="65"/>
        <v>5654.355481599999</v>
      </c>
      <c r="DD9" s="79">
        <f t="shared" si="66"/>
        <v>1166.1194496</v>
      </c>
      <c r="DE9" s="77">
        <f t="shared" si="67"/>
        <v>57.063552</v>
      </c>
      <c r="DF9" s="79"/>
      <c r="DG9" s="78">
        <f aca="true" t="shared" si="152" ref="DG9:DG17">C9*2.59972/100</f>
        <v>129.986</v>
      </c>
      <c r="DH9" s="78">
        <f t="shared" si="68"/>
        <v>11423.5076436</v>
      </c>
      <c r="DI9" s="78">
        <f t="shared" si="69"/>
        <v>11553.4936436</v>
      </c>
      <c r="DJ9" s="79">
        <f t="shared" si="70"/>
        <v>2382.7213716</v>
      </c>
      <c r="DK9" s="77">
        <f t="shared" si="71"/>
        <v>116.597442</v>
      </c>
      <c r="DL9" s="79"/>
      <c r="DM9" s="78">
        <f aca="true" t="shared" si="153" ref="DM9:DM17">C9*0.42162/100</f>
        <v>21.081</v>
      </c>
      <c r="DN9" s="78">
        <f t="shared" si="72"/>
        <v>1852.6530906</v>
      </c>
      <c r="DO9" s="78">
        <f t="shared" si="73"/>
        <v>1873.7340906</v>
      </c>
      <c r="DP9" s="79">
        <f t="shared" si="74"/>
        <v>386.4273786</v>
      </c>
      <c r="DQ9" s="77">
        <f t="shared" si="75"/>
        <v>18.909657</v>
      </c>
      <c r="DR9" s="79"/>
      <c r="DS9" s="78">
        <f aca="true" t="shared" si="154" ref="DS9:DS17">C9*2.16282/100</f>
        <v>108.141</v>
      </c>
      <c r="DT9" s="78">
        <f t="shared" si="76"/>
        <v>9503.7122466</v>
      </c>
      <c r="DU9" s="78">
        <f t="shared" si="77"/>
        <v>9611.8532466</v>
      </c>
      <c r="DV9" s="79">
        <f t="shared" si="78"/>
        <v>1982.2894146</v>
      </c>
      <c r="DW9" s="77">
        <f t="shared" si="79"/>
        <v>97.002477</v>
      </c>
      <c r="DX9" s="79"/>
      <c r="DY9" s="78">
        <f aca="true" t="shared" si="155" ref="DY9:DY17">C9*0.01933/100</f>
        <v>0.9665</v>
      </c>
      <c r="DZ9" s="78">
        <f t="shared" si="80"/>
        <v>84.93853289999998</v>
      </c>
      <c r="EA9" s="78">
        <f t="shared" si="81"/>
        <v>85.90503289999998</v>
      </c>
      <c r="EB9" s="79">
        <f t="shared" si="82"/>
        <v>17.7165249</v>
      </c>
      <c r="EC9" s="77">
        <f t="shared" si="83"/>
        <v>0.8669505000000001</v>
      </c>
      <c r="ED9" s="79"/>
      <c r="EE9" s="78">
        <f aca="true" t="shared" si="156" ref="EE9:EE17">C9*0.02544/100</f>
        <v>1.272</v>
      </c>
      <c r="EF9" s="78">
        <f t="shared" si="84"/>
        <v>111.78666720000001</v>
      </c>
      <c r="EG9" s="78">
        <f t="shared" si="85"/>
        <v>113.05866720000002</v>
      </c>
      <c r="EH9" s="79">
        <f t="shared" si="86"/>
        <v>23.3165232</v>
      </c>
      <c r="EI9" s="77">
        <f t="shared" si="87"/>
        <v>1.140984</v>
      </c>
      <c r="EJ9" s="79"/>
      <c r="EK9" s="78">
        <f aca="true" t="shared" si="157" ref="EK9:EK17">C9*1.28187/100</f>
        <v>64.0935</v>
      </c>
      <c r="EL9" s="78">
        <f t="shared" si="88"/>
        <v>5632.7034231</v>
      </c>
      <c r="EM9" s="78">
        <f t="shared" si="89"/>
        <v>5696.7969231</v>
      </c>
      <c r="EN9" s="79">
        <f t="shared" si="90"/>
        <v>1174.8723111000002</v>
      </c>
      <c r="EO9" s="77">
        <f t="shared" si="91"/>
        <v>57.4918695</v>
      </c>
      <c r="EP9" s="79"/>
      <c r="EQ9" s="78">
        <f aca="true" t="shared" si="158" ref="EQ9:EQ17">C9*0.0244/100</f>
        <v>1.2200000000000002</v>
      </c>
      <c r="ER9" s="78">
        <f t="shared" si="92"/>
        <v>107.216772</v>
      </c>
      <c r="ES9" s="78">
        <f t="shared" si="93"/>
        <v>108.436772</v>
      </c>
      <c r="ET9" s="79">
        <f t="shared" si="94"/>
        <v>22.363332</v>
      </c>
      <c r="EU9" s="77">
        <f t="shared" si="95"/>
        <v>1.0943399999999999</v>
      </c>
      <c r="EV9" s="79"/>
      <c r="EW9" s="78">
        <f aca="true" t="shared" si="159" ref="EW9:EW17">C9*0.36459/100</f>
        <v>18.2295</v>
      </c>
      <c r="EX9" s="78">
        <f t="shared" si="96"/>
        <v>1602.0558567</v>
      </c>
      <c r="EY9" s="78">
        <f t="shared" si="97"/>
        <v>1620.2853567</v>
      </c>
      <c r="EZ9" s="79">
        <f t="shared" si="98"/>
        <v>334.15767270000003</v>
      </c>
      <c r="FA9" s="77">
        <f t="shared" si="99"/>
        <v>16.351861500000002</v>
      </c>
      <c r="FB9" s="79"/>
      <c r="FC9" s="78">
        <f aca="true" t="shared" si="160" ref="FC9:FC17">C9*0.25327/100</f>
        <v>12.663499999999999</v>
      </c>
      <c r="FD9" s="78">
        <f t="shared" si="100"/>
        <v>1112.9013051</v>
      </c>
      <c r="FE9" s="78">
        <f t="shared" si="101"/>
        <v>1125.5648050999998</v>
      </c>
      <c r="FF9" s="79">
        <f t="shared" si="102"/>
        <v>232.1295531</v>
      </c>
      <c r="FG9" s="77">
        <f t="shared" si="103"/>
        <v>11.3591595</v>
      </c>
      <c r="FH9" s="79"/>
      <c r="FI9" s="78">
        <f aca="true" t="shared" si="161" ref="FI9:FI17">C9*0.09887/100</f>
        <v>4.9435</v>
      </c>
      <c r="FJ9" s="78">
        <f t="shared" si="104"/>
        <v>434.4476331</v>
      </c>
      <c r="FK9" s="78">
        <f t="shared" si="105"/>
        <v>439.39113310000005</v>
      </c>
      <c r="FL9" s="79">
        <f t="shared" si="106"/>
        <v>90.6173211</v>
      </c>
      <c r="FM9" s="77">
        <f t="shared" si="107"/>
        <v>4.4343195</v>
      </c>
      <c r="FN9" s="79"/>
      <c r="FO9" s="78">
        <f aca="true" t="shared" si="162" ref="FO9:FO17">C9*1.11111/100</f>
        <v>55.5555</v>
      </c>
      <c r="FP9" s="78">
        <f t="shared" si="108"/>
        <v>4882.3617843</v>
      </c>
      <c r="FQ9" s="78">
        <f t="shared" si="109"/>
        <v>4937.917284300001</v>
      </c>
      <c r="FR9" s="79">
        <f t="shared" si="110"/>
        <v>1018.3656483000001</v>
      </c>
      <c r="FS9" s="77">
        <f t="shared" si="111"/>
        <v>49.8332835</v>
      </c>
      <c r="FT9" s="79"/>
      <c r="FU9" s="78">
        <f aca="true" t="shared" si="163" ref="FU9:FU17">C9*2.50422/100</f>
        <v>125.211</v>
      </c>
      <c r="FV9" s="78">
        <f t="shared" si="112"/>
        <v>11003.8682286</v>
      </c>
      <c r="FW9" s="78">
        <f t="shared" si="113"/>
        <v>11129.0792286</v>
      </c>
      <c r="FX9" s="79">
        <f t="shared" si="114"/>
        <v>2295.1927566</v>
      </c>
      <c r="FY9" s="77">
        <f t="shared" si="115"/>
        <v>112.314267</v>
      </c>
      <c r="FZ9" s="79"/>
      <c r="GA9" s="78">
        <f aca="true" t="shared" si="164" ref="GA9:GA17">C9*0.31957/100</f>
        <v>15.978500000000002</v>
      </c>
      <c r="GB9" s="78">
        <f t="shared" si="116"/>
        <v>1404.2321241</v>
      </c>
      <c r="GC9" s="78">
        <f t="shared" si="117"/>
        <v>1420.2106241</v>
      </c>
      <c r="GD9" s="79">
        <f t="shared" si="118"/>
        <v>292.8954921</v>
      </c>
      <c r="GE9" s="77">
        <f t="shared" si="119"/>
        <v>14.3327145</v>
      </c>
      <c r="GF9" s="79"/>
      <c r="GG9" s="78">
        <f aca="true" t="shared" si="165" ref="GG9:GG17">C9*0.50748/100</f>
        <v>25.374000000000002</v>
      </c>
      <c r="GH9" s="78">
        <f t="shared" si="120"/>
        <v>2229.9330924000005</v>
      </c>
      <c r="GI9" s="78">
        <f t="shared" si="121"/>
        <v>2255.3070924000003</v>
      </c>
      <c r="GJ9" s="79">
        <f t="shared" si="122"/>
        <v>465.1206444</v>
      </c>
      <c r="GK9" s="77">
        <f t="shared" si="123"/>
        <v>22.760478</v>
      </c>
      <c r="GL9" s="79"/>
      <c r="GM9" s="78">
        <f aca="true" t="shared" si="166" ref="GM9:GM17">C9*2.35189/100</f>
        <v>117.59450000000001</v>
      </c>
      <c r="GN9" s="78">
        <f t="shared" si="124"/>
        <v>10334.5104057</v>
      </c>
      <c r="GO9" s="78">
        <f t="shared" si="125"/>
        <v>10452.1049057</v>
      </c>
      <c r="GP9" s="79">
        <f t="shared" si="126"/>
        <v>2155.5777417</v>
      </c>
      <c r="GQ9" s="77">
        <f t="shared" si="127"/>
        <v>105.4822665</v>
      </c>
      <c r="GR9" s="79"/>
      <c r="GS9" s="78">
        <f aca="true" t="shared" si="167" ref="GS9:GS17">C9*0.12482/100</f>
        <v>6.2410000000000005</v>
      </c>
      <c r="GT9" s="78">
        <f t="shared" si="128"/>
        <v>548.4753066</v>
      </c>
      <c r="GU9" s="78">
        <f t="shared" si="129"/>
        <v>554.7163065999999</v>
      </c>
      <c r="GV9" s="79">
        <f t="shared" si="130"/>
        <v>114.40127460000001</v>
      </c>
      <c r="GW9" s="77">
        <f t="shared" si="131"/>
        <v>5.598177000000001</v>
      </c>
      <c r="GX9" s="79"/>
      <c r="GY9" s="78">
        <f aca="true" t="shared" si="168" ref="GY9:GY17">C9*0.71564/100</f>
        <v>35.782000000000004</v>
      </c>
      <c r="GZ9" s="78">
        <f t="shared" si="132"/>
        <v>3144.6151932000002</v>
      </c>
      <c r="HA9" s="78">
        <f t="shared" si="133"/>
        <v>3180.3971932000004</v>
      </c>
      <c r="HB9" s="79">
        <f t="shared" si="134"/>
        <v>655.9055292</v>
      </c>
      <c r="HC9" s="77">
        <f t="shared" si="135"/>
        <v>32.096454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44105</v>
      </c>
      <c r="C10" s="42"/>
      <c r="D10" s="42">
        <v>439338</v>
      </c>
      <c r="E10" s="77">
        <f t="shared" si="0"/>
        <v>439338</v>
      </c>
      <c r="F10" s="77">
        <v>91653</v>
      </c>
      <c r="G10" s="77">
        <v>4485</v>
      </c>
      <c r="H10" s="79"/>
      <c r="I10" s="79"/>
      <c r="J10" s="79">
        <f t="shared" si="1"/>
        <v>238484.04525420006</v>
      </c>
      <c r="K10" s="79">
        <f t="shared" si="2"/>
        <v>238484.04525420006</v>
      </c>
      <c r="L10" s="79">
        <f t="shared" si="3"/>
        <v>49751.6222127</v>
      </c>
      <c r="M10" s="79">
        <f t="shared" si="3"/>
        <v>2434.5741615</v>
      </c>
      <c r="N10" s="79"/>
      <c r="O10" s="78"/>
      <c r="P10" s="78">
        <f t="shared" si="4"/>
        <v>29060.099877599998</v>
      </c>
      <c r="Q10" s="79">
        <f t="shared" si="5"/>
        <v>29060.099877599998</v>
      </c>
      <c r="R10" s="79">
        <f t="shared" si="6"/>
        <v>6062.4060156000005</v>
      </c>
      <c r="S10" s="77">
        <f t="shared" si="7"/>
        <v>296.661222</v>
      </c>
      <c r="T10" s="79"/>
      <c r="U10" s="78"/>
      <c r="V10" s="78">
        <f t="shared" si="8"/>
        <v>496.2762048000001</v>
      </c>
      <c r="W10" s="78">
        <f t="shared" si="9"/>
        <v>496.2762048000001</v>
      </c>
      <c r="X10" s="79">
        <f t="shared" si="10"/>
        <v>103.5312288</v>
      </c>
      <c r="Y10" s="77">
        <f t="shared" si="11"/>
        <v>5.066255999999999</v>
      </c>
      <c r="Z10" s="79"/>
      <c r="AA10" s="79"/>
      <c r="AB10" s="78">
        <f t="shared" si="12"/>
        <v>2240.3601971999997</v>
      </c>
      <c r="AC10" s="78">
        <f t="shared" si="13"/>
        <v>2240.3601971999997</v>
      </c>
      <c r="AD10" s="79">
        <f t="shared" si="14"/>
        <v>467.37530819999995</v>
      </c>
      <c r="AE10" s="77">
        <f t="shared" si="15"/>
        <v>22.870808999999998</v>
      </c>
      <c r="AF10" s="79"/>
      <c r="AG10" s="78"/>
      <c r="AH10" s="78">
        <f t="shared" si="16"/>
        <v>38960.3620386</v>
      </c>
      <c r="AI10" s="78">
        <f t="shared" si="17"/>
        <v>38960.3620386</v>
      </c>
      <c r="AJ10" s="79">
        <f t="shared" si="18"/>
        <v>8127.7605441</v>
      </c>
      <c r="AK10" s="77">
        <f t="shared" si="19"/>
        <v>397.7284545</v>
      </c>
      <c r="AL10" s="79"/>
      <c r="AM10" s="78"/>
      <c r="AN10" s="78">
        <f t="shared" si="20"/>
        <v>471.93687960000005</v>
      </c>
      <c r="AO10" s="78">
        <f t="shared" si="21"/>
        <v>471.93687960000005</v>
      </c>
      <c r="AP10" s="79">
        <f t="shared" si="22"/>
        <v>98.4536526</v>
      </c>
      <c r="AQ10" s="77">
        <f t="shared" si="23"/>
        <v>4.817787</v>
      </c>
      <c r="AR10" s="78"/>
      <c r="AS10" s="78"/>
      <c r="AT10" s="78">
        <f t="shared" si="24"/>
        <v>397.9962942</v>
      </c>
      <c r="AU10" s="78">
        <f t="shared" si="25"/>
        <v>397.9962942</v>
      </c>
      <c r="AV10" s="79">
        <f t="shared" si="26"/>
        <v>83.0284527</v>
      </c>
      <c r="AW10" s="77">
        <f t="shared" si="27"/>
        <v>4.0629615</v>
      </c>
      <c r="AX10" s="79"/>
      <c r="AY10" s="78"/>
      <c r="AZ10" s="78">
        <f t="shared" si="28"/>
        <v>16328.7875784</v>
      </c>
      <c r="BA10" s="78">
        <f t="shared" si="29"/>
        <v>16328.7875784</v>
      </c>
      <c r="BB10" s="79">
        <f t="shared" si="30"/>
        <v>3406.4487204</v>
      </c>
      <c r="BC10" s="77">
        <f t="shared" si="31"/>
        <v>166.693098</v>
      </c>
      <c r="BD10" s="79"/>
      <c r="BE10" s="78"/>
      <c r="BF10" s="78">
        <f t="shared" si="32"/>
        <v>33504.9263574</v>
      </c>
      <c r="BG10" s="78">
        <f t="shared" si="33"/>
        <v>33504.9263574</v>
      </c>
      <c r="BH10" s="79">
        <f t="shared" si="34"/>
        <v>6989.6685819</v>
      </c>
      <c r="BI10" s="77">
        <f t="shared" si="35"/>
        <v>342.03641550000003</v>
      </c>
      <c r="BJ10" s="79"/>
      <c r="BK10" s="78"/>
      <c r="BL10" s="78">
        <f t="shared" si="36"/>
        <v>386.79317519999995</v>
      </c>
      <c r="BM10" s="78">
        <f t="shared" si="37"/>
        <v>386.79317519999995</v>
      </c>
      <c r="BN10" s="79">
        <f t="shared" si="38"/>
        <v>80.6913012</v>
      </c>
      <c r="BO10" s="77">
        <f t="shared" si="39"/>
        <v>3.9485940000000004</v>
      </c>
      <c r="BP10" s="79"/>
      <c r="BQ10" s="78"/>
      <c r="BR10" s="78">
        <f t="shared" si="40"/>
        <v>259.8244932</v>
      </c>
      <c r="BS10" s="78">
        <f t="shared" si="41"/>
        <v>259.8244932</v>
      </c>
      <c r="BT10" s="79">
        <f t="shared" si="42"/>
        <v>54.203584199999995</v>
      </c>
      <c r="BU10" s="77">
        <f t="shared" si="43"/>
        <v>2.6524289999999997</v>
      </c>
      <c r="BV10" s="79"/>
      <c r="BW10" s="78"/>
      <c r="BX10" s="78">
        <f t="shared" si="44"/>
        <v>-38.7056778</v>
      </c>
      <c r="BY10" s="78">
        <f t="shared" si="45"/>
        <v>-38.7056778</v>
      </c>
      <c r="BZ10" s="79">
        <f t="shared" si="46"/>
        <v>-8.0746293</v>
      </c>
      <c r="CA10" s="77">
        <f t="shared" si="47"/>
        <v>-0.3951285</v>
      </c>
      <c r="CB10" s="78"/>
      <c r="CC10" s="78"/>
      <c r="CD10" s="78">
        <f t="shared" si="48"/>
        <v>-25.218001200000003</v>
      </c>
      <c r="CE10" s="78">
        <f t="shared" si="49"/>
        <v>-25.218001200000003</v>
      </c>
      <c r="CF10" s="79">
        <f t="shared" si="50"/>
        <v>-5.2608822</v>
      </c>
      <c r="CG10" s="77">
        <f t="shared" si="51"/>
        <v>-0.257439</v>
      </c>
      <c r="CH10" s="79"/>
      <c r="CI10" s="78"/>
      <c r="CJ10" s="78">
        <f t="shared" si="52"/>
        <v>937.8108948000001</v>
      </c>
      <c r="CK10" s="78">
        <f t="shared" si="53"/>
        <v>937.8108948000001</v>
      </c>
      <c r="CL10" s="79">
        <f t="shared" si="54"/>
        <v>195.64249379999998</v>
      </c>
      <c r="CM10" s="77">
        <f t="shared" si="55"/>
        <v>9.573681</v>
      </c>
      <c r="CN10" s="79"/>
      <c r="CO10" s="78"/>
      <c r="CP10" s="78">
        <f t="shared" si="56"/>
        <v>5767.189926</v>
      </c>
      <c r="CQ10" s="78">
        <f t="shared" si="57"/>
        <v>5767.189926</v>
      </c>
      <c r="CR10" s="79">
        <f t="shared" si="58"/>
        <v>1203.128931</v>
      </c>
      <c r="CS10" s="77">
        <f t="shared" si="59"/>
        <v>58.874595</v>
      </c>
      <c r="CT10" s="79"/>
      <c r="CU10" s="78"/>
      <c r="CV10" s="78">
        <f t="shared" si="60"/>
        <v>38743.0654638</v>
      </c>
      <c r="CW10" s="78">
        <f t="shared" si="61"/>
        <v>38743.0654638</v>
      </c>
      <c r="CX10" s="79">
        <f t="shared" si="62"/>
        <v>8082.4289703</v>
      </c>
      <c r="CY10" s="77">
        <f t="shared" si="63"/>
        <v>395.5101735</v>
      </c>
      <c r="CZ10" s="79"/>
      <c r="DA10" s="78"/>
      <c r="DB10" s="78">
        <f t="shared" si="64"/>
        <v>5589.785241599999</v>
      </c>
      <c r="DC10" s="78">
        <f t="shared" si="65"/>
        <v>5589.785241599999</v>
      </c>
      <c r="DD10" s="79">
        <f t="shared" si="66"/>
        <v>1166.1194496</v>
      </c>
      <c r="DE10" s="77">
        <f t="shared" si="67"/>
        <v>57.063552</v>
      </c>
      <c r="DF10" s="79"/>
      <c r="DG10" s="78"/>
      <c r="DH10" s="78">
        <f t="shared" si="68"/>
        <v>11421.557853600001</v>
      </c>
      <c r="DI10" s="78">
        <f t="shared" si="69"/>
        <v>11421.557853600001</v>
      </c>
      <c r="DJ10" s="79">
        <f t="shared" si="70"/>
        <v>2382.7213716</v>
      </c>
      <c r="DK10" s="77">
        <f t="shared" si="71"/>
        <v>116.597442</v>
      </c>
      <c r="DL10" s="79"/>
      <c r="DM10" s="78"/>
      <c r="DN10" s="78">
        <f t="shared" si="72"/>
        <v>1852.3368756</v>
      </c>
      <c r="DO10" s="78">
        <f t="shared" si="73"/>
        <v>1852.3368756</v>
      </c>
      <c r="DP10" s="79">
        <f t="shared" si="74"/>
        <v>386.4273786</v>
      </c>
      <c r="DQ10" s="77">
        <f t="shared" si="75"/>
        <v>18.909657</v>
      </c>
      <c r="DR10" s="79"/>
      <c r="DS10" s="78"/>
      <c r="DT10" s="78">
        <f t="shared" si="76"/>
        <v>9502.0901316</v>
      </c>
      <c r="DU10" s="78">
        <f t="shared" si="77"/>
        <v>9502.0901316</v>
      </c>
      <c r="DV10" s="79">
        <f t="shared" si="78"/>
        <v>1982.2894146</v>
      </c>
      <c r="DW10" s="77">
        <f t="shared" si="79"/>
        <v>97.002477</v>
      </c>
      <c r="DX10" s="79"/>
      <c r="DY10" s="78"/>
      <c r="DZ10" s="78">
        <f t="shared" si="80"/>
        <v>84.9240354</v>
      </c>
      <c r="EA10" s="78">
        <f t="shared" si="81"/>
        <v>84.9240354</v>
      </c>
      <c r="EB10" s="79">
        <f t="shared" si="82"/>
        <v>17.7165249</v>
      </c>
      <c r="EC10" s="77">
        <f t="shared" si="83"/>
        <v>0.8669505000000001</v>
      </c>
      <c r="ED10" s="79"/>
      <c r="EE10" s="78"/>
      <c r="EF10" s="78">
        <f t="shared" si="84"/>
        <v>111.7675872</v>
      </c>
      <c r="EG10" s="78">
        <f t="shared" si="85"/>
        <v>111.7675872</v>
      </c>
      <c r="EH10" s="79">
        <f t="shared" si="86"/>
        <v>23.3165232</v>
      </c>
      <c r="EI10" s="77">
        <f t="shared" si="87"/>
        <v>1.140984</v>
      </c>
      <c r="EJ10" s="79"/>
      <c r="EK10" s="78"/>
      <c r="EL10" s="78">
        <f t="shared" si="88"/>
        <v>5631.742020600001</v>
      </c>
      <c r="EM10" s="78">
        <f t="shared" si="89"/>
        <v>5631.742020600001</v>
      </c>
      <c r="EN10" s="79">
        <f t="shared" si="90"/>
        <v>1174.8723111000002</v>
      </c>
      <c r="EO10" s="77">
        <f t="shared" si="91"/>
        <v>57.4918695</v>
      </c>
      <c r="EP10" s="79"/>
      <c r="EQ10" s="78"/>
      <c r="ER10" s="78">
        <f t="shared" si="92"/>
        <v>107.198472</v>
      </c>
      <c r="ES10" s="78">
        <f t="shared" si="93"/>
        <v>107.198472</v>
      </c>
      <c r="ET10" s="79">
        <f t="shared" si="94"/>
        <v>22.363332</v>
      </c>
      <c r="EU10" s="77">
        <f t="shared" si="95"/>
        <v>1.0943399999999999</v>
      </c>
      <c r="EV10" s="79"/>
      <c r="EW10" s="78"/>
      <c r="EX10" s="78">
        <f t="shared" si="96"/>
        <v>1601.7824142</v>
      </c>
      <c r="EY10" s="78">
        <f t="shared" si="97"/>
        <v>1601.7824142</v>
      </c>
      <c r="EZ10" s="79">
        <f t="shared" si="98"/>
        <v>334.15767270000003</v>
      </c>
      <c r="FA10" s="77">
        <f t="shared" si="99"/>
        <v>16.351861500000002</v>
      </c>
      <c r="FB10" s="79"/>
      <c r="FC10" s="78"/>
      <c r="FD10" s="78">
        <f t="shared" si="100"/>
        <v>1112.7113526</v>
      </c>
      <c r="FE10" s="78">
        <f t="shared" si="101"/>
        <v>1112.7113526</v>
      </c>
      <c r="FF10" s="79">
        <f t="shared" si="102"/>
        <v>232.1295531</v>
      </c>
      <c r="FG10" s="77">
        <f t="shared" si="103"/>
        <v>11.3591595</v>
      </c>
      <c r="FH10" s="79"/>
      <c r="FI10" s="78"/>
      <c r="FJ10" s="78">
        <f t="shared" si="104"/>
        <v>434.3734806</v>
      </c>
      <c r="FK10" s="78">
        <f t="shared" si="105"/>
        <v>434.3734806</v>
      </c>
      <c r="FL10" s="79">
        <f t="shared" si="106"/>
        <v>90.6173211</v>
      </c>
      <c r="FM10" s="77">
        <f t="shared" si="107"/>
        <v>4.4343195</v>
      </c>
      <c r="FN10" s="79"/>
      <c r="FO10" s="78"/>
      <c r="FP10" s="78">
        <f t="shared" si="108"/>
        <v>4881.5284518</v>
      </c>
      <c r="FQ10" s="78">
        <f t="shared" si="109"/>
        <v>4881.5284518</v>
      </c>
      <c r="FR10" s="79">
        <f t="shared" si="110"/>
        <v>1018.3656483000001</v>
      </c>
      <c r="FS10" s="77">
        <f t="shared" si="111"/>
        <v>49.8332835</v>
      </c>
      <c r="FT10" s="79"/>
      <c r="FU10" s="78"/>
      <c r="FV10" s="78">
        <f t="shared" si="112"/>
        <v>11001.9900636</v>
      </c>
      <c r="FW10" s="78">
        <f t="shared" si="113"/>
        <v>11001.9900636</v>
      </c>
      <c r="FX10" s="79">
        <f t="shared" si="114"/>
        <v>2295.1927566</v>
      </c>
      <c r="FY10" s="77">
        <f t="shared" si="115"/>
        <v>112.314267</v>
      </c>
      <c r="FZ10" s="79"/>
      <c r="GA10" s="78"/>
      <c r="GB10" s="78">
        <f t="shared" si="116"/>
        <v>1403.9924466</v>
      </c>
      <c r="GC10" s="78">
        <f t="shared" si="117"/>
        <v>1403.9924466</v>
      </c>
      <c r="GD10" s="79">
        <f t="shared" si="118"/>
        <v>292.8954921</v>
      </c>
      <c r="GE10" s="77">
        <f t="shared" si="119"/>
        <v>14.3327145</v>
      </c>
      <c r="GF10" s="79"/>
      <c r="GG10" s="78"/>
      <c r="GH10" s="78">
        <f t="shared" si="120"/>
        <v>2229.5524824000004</v>
      </c>
      <c r="GI10" s="78">
        <f t="shared" si="121"/>
        <v>2229.5524824000004</v>
      </c>
      <c r="GJ10" s="79">
        <f t="shared" si="122"/>
        <v>465.1206444</v>
      </c>
      <c r="GK10" s="77">
        <f t="shared" si="123"/>
        <v>22.760478</v>
      </c>
      <c r="GL10" s="79"/>
      <c r="GM10" s="78"/>
      <c r="GN10" s="78">
        <f t="shared" si="124"/>
        <v>10332.7464882</v>
      </c>
      <c r="GO10" s="78">
        <f t="shared" si="125"/>
        <v>10332.7464882</v>
      </c>
      <c r="GP10" s="79">
        <f t="shared" si="126"/>
        <v>2155.5777417</v>
      </c>
      <c r="GQ10" s="77">
        <f t="shared" si="127"/>
        <v>105.4822665</v>
      </c>
      <c r="GR10" s="79"/>
      <c r="GS10" s="78"/>
      <c r="GT10" s="78">
        <f t="shared" si="128"/>
        <v>548.3816916</v>
      </c>
      <c r="GU10" s="78">
        <f t="shared" si="129"/>
        <v>548.3816916</v>
      </c>
      <c r="GV10" s="79">
        <f t="shared" si="130"/>
        <v>114.40127460000001</v>
      </c>
      <c r="GW10" s="77">
        <f t="shared" si="131"/>
        <v>5.598177000000001</v>
      </c>
      <c r="GX10" s="79"/>
      <c r="GY10" s="78"/>
      <c r="GZ10" s="78">
        <f t="shared" si="132"/>
        <v>3144.0784632</v>
      </c>
      <c r="HA10" s="78">
        <f t="shared" si="133"/>
        <v>3144.0784632</v>
      </c>
      <c r="HB10" s="79">
        <f t="shared" si="134"/>
        <v>655.9055292</v>
      </c>
      <c r="HC10" s="77">
        <f t="shared" si="135"/>
        <v>32.096454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44287</v>
      </c>
      <c r="C11" s="42">
        <v>5000</v>
      </c>
      <c r="D11" s="42">
        <v>439338</v>
      </c>
      <c r="E11" s="77">
        <f t="shared" si="0"/>
        <v>444338</v>
      </c>
      <c r="F11" s="77">
        <v>91653</v>
      </c>
      <c r="G11" s="77">
        <v>4485</v>
      </c>
      <c r="H11" s="79"/>
      <c r="I11" s="79">
        <f>O11+U11+AA11+AG11+AM11+AS11+AY11+BE11+BK11+BQ11+BW11+CC11+CI11+CO11+CU11+DA11+DG11+DM11+DS11+DY11+EE11+EK11+EQ11+EW11+FC11+FI11+FO11+FU11+GA11+GG11+GM11+GS11+GY11</f>
        <v>2714.1295</v>
      </c>
      <c r="J11" s="79">
        <f t="shared" si="1"/>
        <v>238484.04525420006</v>
      </c>
      <c r="K11" s="79">
        <f t="shared" si="2"/>
        <v>241198.17475420007</v>
      </c>
      <c r="L11" s="79">
        <f t="shared" si="3"/>
        <v>49751.6222127</v>
      </c>
      <c r="M11" s="79">
        <f t="shared" si="3"/>
        <v>2434.5741615</v>
      </c>
      <c r="N11" s="79"/>
      <c r="O11" s="78">
        <f t="shared" si="136"/>
        <v>330.726</v>
      </c>
      <c r="P11" s="78">
        <f t="shared" si="4"/>
        <v>29060.099877599998</v>
      </c>
      <c r="Q11" s="79">
        <f t="shared" si="5"/>
        <v>29390.825877599997</v>
      </c>
      <c r="R11" s="79">
        <f t="shared" si="6"/>
        <v>6062.4060156000005</v>
      </c>
      <c r="S11" s="77">
        <f t="shared" si="7"/>
        <v>296.661222</v>
      </c>
      <c r="T11" s="79"/>
      <c r="U11" s="78">
        <f t="shared" si="137"/>
        <v>5.648000000000001</v>
      </c>
      <c r="V11" s="78">
        <f t="shared" si="8"/>
        <v>496.2762048000001</v>
      </c>
      <c r="W11" s="78">
        <f t="shared" si="9"/>
        <v>501.9242048000001</v>
      </c>
      <c r="X11" s="79">
        <f t="shared" si="10"/>
        <v>103.5312288</v>
      </c>
      <c r="Y11" s="77">
        <f t="shared" si="11"/>
        <v>5.066255999999999</v>
      </c>
      <c r="Z11" s="79"/>
      <c r="AA11" s="79">
        <f t="shared" si="138"/>
        <v>25.497</v>
      </c>
      <c r="AB11" s="78">
        <f t="shared" si="12"/>
        <v>2240.3601971999997</v>
      </c>
      <c r="AC11" s="78">
        <f t="shared" si="13"/>
        <v>2265.8571971999995</v>
      </c>
      <c r="AD11" s="79">
        <f t="shared" si="14"/>
        <v>467.37530819999995</v>
      </c>
      <c r="AE11" s="77">
        <f t="shared" si="15"/>
        <v>22.870808999999998</v>
      </c>
      <c r="AF11" s="79"/>
      <c r="AG11" s="78">
        <f t="shared" si="139"/>
        <v>443.3985</v>
      </c>
      <c r="AH11" s="78">
        <f t="shared" si="16"/>
        <v>38960.3620386</v>
      </c>
      <c r="AI11" s="78">
        <f t="shared" si="17"/>
        <v>39403.7605386</v>
      </c>
      <c r="AJ11" s="79">
        <f t="shared" si="18"/>
        <v>8127.7605441</v>
      </c>
      <c r="AK11" s="77">
        <f t="shared" si="19"/>
        <v>397.7284545</v>
      </c>
      <c r="AL11" s="79"/>
      <c r="AM11" s="78">
        <f t="shared" si="140"/>
        <v>5.371</v>
      </c>
      <c r="AN11" s="78">
        <f t="shared" si="20"/>
        <v>471.93687960000005</v>
      </c>
      <c r="AO11" s="78">
        <f t="shared" si="21"/>
        <v>477.30787960000004</v>
      </c>
      <c r="AP11" s="79">
        <f t="shared" si="22"/>
        <v>98.4536526</v>
      </c>
      <c r="AQ11" s="77">
        <f t="shared" si="23"/>
        <v>4.817787</v>
      </c>
      <c r="AR11" s="78"/>
      <c r="AS11" s="78">
        <f t="shared" si="141"/>
        <v>4.5295000000000005</v>
      </c>
      <c r="AT11" s="78">
        <f t="shared" si="24"/>
        <v>397.9962942</v>
      </c>
      <c r="AU11" s="78">
        <f t="shared" si="25"/>
        <v>402.5257942</v>
      </c>
      <c r="AV11" s="79">
        <f t="shared" si="26"/>
        <v>83.0284527</v>
      </c>
      <c r="AW11" s="77">
        <f t="shared" si="27"/>
        <v>4.0629615</v>
      </c>
      <c r="AX11" s="79"/>
      <c r="AY11" s="78">
        <f t="shared" si="142"/>
        <v>185.834</v>
      </c>
      <c r="AZ11" s="78">
        <f t="shared" si="28"/>
        <v>16328.7875784</v>
      </c>
      <c r="BA11" s="78">
        <f t="shared" si="29"/>
        <v>16514.6215784</v>
      </c>
      <c r="BB11" s="79">
        <f t="shared" si="30"/>
        <v>3406.4487204</v>
      </c>
      <c r="BC11" s="77">
        <f t="shared" si="31"/>
        <v>166.693098</v>
      </c>
      <c r="BD11" s="79"/>
      <c r="BE11" s="78">
        <f t="shared" si="143"/>
        <v>381.3115</v>
      </c>
      <c r="BF11" s="78">
        <f t="shared" si="32"/>
        <v>33504.9263574</v>
      </c>
      <c r="BG11" s="78">
        <f t="shared" si="33"/>
        <v>33886.2378574</v>
      </c>
      <c r="BH11" s="79">
        <f t="shared" si="34"/>
        <v>6989.6685819</v>
      </c>
      <c r="BI11" s="77">
        <f t="shared" si="35"/>
        <v>342.03641550000003</v>
      </c>
      <c r="BJ11" s="79"/>
      <c r="BK11" s="78">
        <f t="shared" si="144"/>
        <v>4.402</v>
      </c>
      <c r="BL11" s="78">
        <f t="shared" si="36"/>
        <v>386.79317519999995</v>
      </c>
      <c r="BM11" s="78">
        <f t="shared" si="37"/>
        <v>391.19517519999994</v>
      </c>
      <c r="BN11" s="79">
        <f t="shared" si="38"/>
        <v>80.6913012</v>
      </c>
      <c r="BO11" s="77">
        <f t="shared" si="39"/>
        <v>3.9485940000000004</v>
      </c>
      <c r="BP11" s="79"/>
      <c r="BQ11" s="78">
        <f t="shared" si="145"/>
        <v>2.957</v>
      </c>
      <c r="BR11" s="78">
        <f t="shared" si="40"/>
        <v>259.8244932</v>
      </c>
      <c r="BS11" s="78">
        <f t="shared" si="41"/>
        <v>262.7814932</v>
      </c>
      <c r="BT11" s="79">
        <f t="shared" si="42"/>
        <v>54.203584199999995</v>
      </c>
      <c r="BU11" s="77">
        <f t="shared" si="43"/>
        <v>2.6524289999999997</v>
      </c>
      <c r="BV11" s="79"/>
      <c r="BW11" s="78">
        <f t="shared" si="146"/>
        <v>-0.44049999999999995</v>
      </c>
      <c r="BX11" s="78">
        <f t="shared" si="44"/>
        <v>-38.7056778</v>
      </c>
      <c r="BY11" s="78">
        <f t="shared" si="45"/>
        <v>-39.1461778</v>
      </c>
      <c r="BZ11" s="79">
        <f t="shared" si="46"/>
        <v>-8.0746293</v>
      </c>
      <c r="CA11" s="77">
        <f t="shared" si="47"/>
        <v>-0.3951285</v>
      </c>
      <c r="CB11" s="78"/>
      <c r="CC11" s="78">
        <f t="shared" si="147"/>
        <v>-0.28700000000000003</v>
      </c>
      <c r="CD11" s="78">
        <f t="shared" si="48"/>
        <v>-25.218001200000003</v>
      </c>
      <c r="CE11" s="78">
        <f t="shared" si="49"/>
        <v>-25.505001200000002</v>
      </c>
      <c r="CF11" s="79">
        <f t="shared" si="50"/>
        <v>-5.2608822</v>
      </c>
      <c r="CG11" s="77">
        <f t="shared" si="51"/>
        <v>-0.257439</v>
      </c>
      <c r="CH11" s="79"/>
      <c r="CI11" s="78">
        <f t="shared" si="148"/>
        <v>10.673</v>
      </c>
      <c r="CJ11" s="78">
        <f t="shared" si="52"/>
        <v>937.8108948000001</v>
      </c>
      <c r="CK11" s="78">
        <f t="shared" si="53"/>
        <v>948.4838948000001</v>
      </c>
      <c r="CL11" s="79">
        <f t="shared" si="54"/>
        <v>195.64249379999998</v>
      </c>
      <c r="CM11" s="77">
        <f t="shared" si="55"/>
        <v>9.573681</v>
      </c>
      <c r="CN11" s="79"/>
      <c r="CO11" s="78">
        <f t="shared" si="149"/>
        <v>65.635</v>
      </c>
      <c r="CP11" s="78">
        <f t="shared" si="56"/>
        <v>5767.189926</v>
      </c>
      <c r="CQ11" s="78">
        <f t="shared" si="57"/>
        <v>5832.824926</v>
      </c>
      <c r="CR11" s="79">
        <f t="shared" si="58"/>
        <v>1203.128931</v>
      </c>
      <c r="CS11" s="77">
        <f t="shared" si="59"/>
        <v>58.874595</v>
      </c>
      <c r="CT11" s="79"/>
      <c r="CU11" s="78">
        <f t="shared" si="150"/>
        <v>440.92549999999994</v>
      </c>
      <c r="CV11" s="78">
        <f t="shared" si="60"/>
        <v>38743.0654638</v>
      </c>
      <c r="CW11" s="78">
        <f t="shared" si="61"/>
        <v>39183.990963799995</v>
      </c>
      <c r="CX11" s="79">
        <f t="shared" si="62"/>
        <v>8082.4289703</v>
      </c>
      <c r="CY11" s="77">
        <f t="shared" si="63"/>
        <v>395.5101735</v>
      </c>
      <c r="CZ11" s="79"/>
      <c r="DA11" s="78">
        <f t="shared" si="151"/>
        <v>63.61599999999999</v>
      </c>
      <c r="DB11" s="78">
        <f t="shared" si="64"/>
        <v>5589.785241599999</v>
      </c>
      <c r="DC11" s="78">
        <f t="shared" si="65"/>
        <v>5653.401241599999</v>
      </c>
      <c r="DD11" s="79">
        <f t="shared" si="66"/>
        <v>1166.1194496</v>
      </c>
      <c r="DE11" s="77">
        <f t="shared" si="67"/>
        <v>57.063552</v>
      </c>
      <c r="DF11" s="79"/>
      <c r="DG11" s="78">
        <f t="shared" si="152"/>
        <v>129.986</v>
      </c>
      <c r="DH11" s="78">
        <f t="shared" si="68"/>
        <v>11421.557853600001</v>
      </c>
      <c r="DI11" s="78">
        <f t="shared" si="69"/>
        <v>11551.543853600002</v>
      </c>
      <c r="DJ11" s="79">
        <f t="shared" si="70"/>
        <v>2382.7213716</v>
      </c>
      <c r="DK11" s="77">
        <f t="shared" si="71"/>
        <v>116.597442</v>
      </c>
      <c r="DL11" s="79"/>
      <c r="DM11" s="78">
        <f t="shared" si="153"/>
        <v>21.081</v>
      </c>
      <c r="DN11" s="78">
        <f t="shared" si="72"/>
        <v>1852.3368756</v>
      </c>
      <c r="DO11" s="78">
        <f t="shared" si="73"/>
        <v>1873.4178756</v>
      </c>
      <c r="DP11" s="79">
        <f t="shared" si="74"/>
        <v>386.4273786</v>
      </c>
      <c r="DQ11" s="77">
        <f t="shared" si="75"/>
        <v>18.909657</v>
      </c>
      <c r="DR11" s="79"/>
      <c r="DS11" s="78">
        <f t="shared" si="154"/>
        <v>108.141</v>
      </c>
      <c r="DT11" s="78">
        <f t="shared" si="76"/>
        <v>9502.0901316</v>
      </c>
      <c r="DU11" s="78">
        <f t="shared" si="77"/>
        <v>9610.2311316</v>
      </c>
      <c r="DV11" s="79">
        <f t="shared" si="78"/>
        <v>1982.2894146</v>
      </c>
      <c r="DW11" s="77">
        <f t="shared" si="79"/>
        <v>97.002477</v>
      </c>
      <c r="DX11" s="79"/>
      <c r="DY11" s="78">
        <f t="shared" si="155"/>
        <v>0.9665</v>
      </c>
      <c r="DZ11" s="78">
        <f t="shared" si="80"/>
        <v>84.9240354</v>
      </c>
      <c r="EA11" s="78">
        <f t="shared" si="81"/>
        <v>85.89053539999999</v>
      </c>
      <c r="EB11" s="79">
        <f t="shared" si="82"/>
        <v>17.7165249</v>
      </c>
      <c r="EC11" s="77">
        <f t="shared" si="83"/>
        <v>0.8669505000000001</v>
      </c>
      <c r="ED11" s="79"/>
      <c r="EE11" s="78">
        <f t="shared" si="156"/>
        <v>1.272</v>
      </c>
      <c r="EF11" s="78">
        <f t="shared" si="84"/>
        <v>111.7675872</v>
      </c>
      <c r="EG11" s="78">
        <f t="shared" si="85"/>
        <v>113.0395872</v>
      </c>
      <c r="EH11" s="79">
        <f t="shared" si="86"/>
        <v>23.3165232</v>
      </c>
      <c r="EI11" s="77">
        <f t="shared" si="87"/>
        <v>1.140984</v>
      </c>
      <c r="EJ11" s="79"/>
      <c r="EK11" s="78">
        <f t="shared" si="157"/>
        <v>64.0935</v>
      </c>
      <c r="EL11" s="78">
        <f t="shared" si="88"/>
        <v>5631.742020600001</v>
      </c>
      <c r="EM11" s="78">
        <f t="shared" si="89"/>
        <v>5695.835520600001</v>
      </c>
      <c r="EN11" s="79">
        <f t="shared" si="90"/>
        <v>1174.8723111000002</v>
      </c>
      <c r="EO11" s="77">
        <f t="shared" si="91"/>
        <v>57.4918695</v>
      </c>
      <c r="EP11" s="79"/>
      <c r="EQ11" s="78">
        <f t="shared" si="158"/>
        <v>1.2200000000000002</v>
      </c>
      <c r="ER11" s="78">
        <f t="shared" si="92"/>
        <v>107.198472</v>
      </c>
      <c r="ES11" s="78">
        <f t="shared" si="93"/>
        <v>108.418472</v>
      </c>
      <c r="ET11" s="79">
        <f t="shared" si="94"/>
        <v>22.363332</v>
      </c>
      <c r="EU11" s="77">
        <f t="shared" si="95"/>
        <v>1.0943399999999999</v>
      </c>
      <c r="EV11" s="79"/>
      <c r="EW11" s="78">
        <f t="shared" si="159"/>
        <v>18.2295</v>
      </c>
      <c r="EX11" s="78">
        <f t="shared" si="96"/>
        <v>1601.7824142</v>
      </c>
      <c r="EY11" s="78">
        <f t="shared" si="97"/>
        <v>1620.0119141999999</v>
      </c>
      <c r="EZ11" s="79">
        <f t="shared" si="98"/>
        <v>334.15767270000003</v>
      </c>
      <c r="FA11" s="77">
        <f t="shared" si="99"/>
        <v>16.351861500000002</v>
      </c>
      <c r="FB11" s="79"/>
      <c r="FC11" s="78">
        <f t="shared" si="160"/>
        <v>12.663499999999999</v>
      </c>
      <c r="FD11" s="78">
        <f t="shared" si="100"/>
        <v>1112.7113526</v>
      </c>
      <c r="FE11" s="78">
        <f t="shared" si="101"/>
        <v>1125.3748526</v>
      </c>
      <c r="FF11" s="79">
        <f t="shared" si="102"/>
        <v>232.1295531</v>
      </c>
      <c r="FG11" s="77">
        <f t="shared" si="103"/>
        <v>11.3591595</v>
      </c>
      <c r="FH11" s="79"/>
      <c r="FI11" s="78">
        <f t="shared" si="161"/>
        <v>4.9435</v>
      </c>
      <c r="FJ11" s="78">
        <f t="shared" si="104"/>
        <v>434.3734806</v>
      </c>
      <c r="FK11" s="78">
        <f t="shared" si="105"/>
        <v>439.31698059999997</v>
      </c>
      <c r="FL11" s="79">
        <f t="shared" si="106"/>
        <v>90.6173211</v>
      </c>
      <c r="FM11" s="77">
        <f t="shared" si="107"/>
        <v>4.4343195</v>
      </c>
      <c r="FN11" s="79"/>
      <c r="FO11" s="78">
        <f t="shared" si="162"/>
        <v>55.5555</v>
      </c>
      <c r="FP11" s="78">
        <f t="shared" si="108"/>
        <v>4881.5284518</v>
      </c>
      <c r="FQ11" s="78">
        <f t="shared" si="109"/>
        <v>4937.0839518</v>
      </c>
      <c r="FR11" s="79">
        <f t="shared" si="110"/>
        <v>1018.3656483000001</v>
      </c>
      <c r="FS11" s="77">
        <f t="shared" si="111"/>
        <v>49.8332835</v>
      </c>
      <c r="FT11" s="79"/>
      <c r="FU11" s="78">
        <f t="shared" si="163"/>
        <v>125.211</v>
      </c>
      <c r="FV11" s="78">
        <f t="shared" si="112"/>
        <v>11001.9900636</v>
      </c>
      <c r="FW11" s="78">
        <f t="shared" si="113"/>
        <v>11127.2010636</v>
      </c>
      <c r="FX11" s="79">
        <f t="shared" si="114"/>
        <v>2295.1927566</v>
      </c>
      <c r="FY11" s="77">
        <f t="shared" si="115"/>
        <v>112.314267</v>
      </c>
      <c r="FZ11" s="79"/>
      <c r="GA11" s="78">
        <f t="shared" si="164"/>
        <v>15.978500000000002</v>
      </c>
      <c r="GB11" s="78">
        <f t="shared" si="116"/>
        <v>1403.9924466</v>
      </c>
      <c r="GC11" s="78">
        <f t="shared" si="117"/>
        <v>1419.9709466</v>
      </c>
      <c r="GD11" s="79">
        <f t="shared" si="118"/>
        <v>292.8954921</v>
      </c>
      <c r="GE11" s="77">
        <f t="shared" si="119"/>
        <v>14.3327145</v>
      </c>
      <c r="GF11" s="79"/>
      <c r="GG11" s="78">
        <f t="shared" si="165"/>
        <v>25.374000000000002</v>
      </c>
      <c r="GH11" s="78">
        <f t="shared" si="120"/>
        <v>2229.5524824000004</v>
      </c>
      <c r="GI11" s="78">
        <f t="shared" si="121"/>
        <v>2254.9264824</v>
      </c>
      <c r="GJ11" s="79">
        <f t="shared" si="122"/>
        <v>465.1206444</v>
      </c>
      <c r="GK11" s="77">
        <f t="shared" si="123"/>
        <v>22.760478</v>
      </c>
      <c r="GL11" s="79"/>
      <c r="GM11" s="78">
        <f t="shared" si="166"/>
        <v>117.59450000000001</v>
      </c>
      <c r="GN11" s="78">
        <f t="shared" si="124"/>
        <v>10332.7464882</v>
      </c>
      <c r="GO11" s="78">
        <f t="shared" si="125"/>
        <v>10450.3409882</v>
      </c>
      <c r="GP11" s="79">
        <f t="shared" si="126"/>
        <v>2155.5777417</v>
      </c>
      <c r="GQ11" s="77">
        <f t="shared" si="127"/>
        <v>105.4822665</v>
      </c>
      <c r="GR11" s="79"/>
      <c r="GS11" s="78">
        <f t="shared" si="167"/>
        <v>6.2410000000000005</v>
      </c>
      <c r="GT11" s="78">
        <f t="shared" si="128"/>
        <v>548.3816916</v>
      </c>
      <c r="GU11" s="78">
        <f t="shared" si="129"/>
        <v>554.6226915999999</v>
      </c>
      <c r="GV11" s="79">
        <f t="shared" si="130"/>
        <v>114.40127460000001</v>
      </c>
      <c r="GW11" s="77">
        <f t="shared" si="131"/>
        <v>5.598177000000001</v>
      </c>
      <c r="GX11" s="79"/>
      <c r="GY11" s="78">
        <f t="shared" si="168"/>
        <v>35.782000000000004</v>
      </c>
      <c r="GZ11" s="78">
        <f t="shared" si="132"/>
        <v>3144.0784632</v>
      </c>
      <c r="HA11" s="78">
        <f t="shared" si="133"/>
        <v>3179.8604632</v>
      </c>
      <c r="HB11" s="79">
        <f t="shared" si="134"/>
        <v>655.9055292</v>
      </c>
      <c r="HC11" s="77">
        <f t="shared" si="135"/>
        <v>32.096454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44470</v>
      </c>
      <c r="C12" s="42"/>
      <c r="D12" s="42">
        <v>439263</v>
      </c>
      <c r="E12" s="77">
        <f t="shared" si="0"/>
        <v>439263</v>
      </c>
      <c r="F12" s="77">
        <v>91653</v>
      </c>
      <c r="G12" s="77">
        <v>4485</v>
      </c>
      <c r="H12" s="79"/>
      <c r="I12" s="79"/>
      <c r="J12" s="79">
        <f t="shared" si="1"/>
        <v>238443.33331170003</v>
      </c>
      <c r="K12" s="79">
        <f t="shared" si="2"/>
        <v>238443.33331170003</v>
      </c>
      <c r="L12" s="79">
        <f t="shared" si="3"/>
        <v>49751.6222127</v>
      </c>
      <c r="M12" s="79">
        <f t="shared" si="3"/>
        <v>2434.5741615</v>
      </c>
      <c r="N12" s="79"/>
      <c r="O12" s="78"/>
      <c r="P12" s="78">
        <f t="shared" si="4"/>
        <v>29055.1389876</v>
      </c>
      <c r="Q12" s="79">
        <f t="shared" si="5"/>
        <v>29055.1389876</v>
      </c>
      <c r="R12" s="79">
        <f t="shared" si="6"/>
        <v>6062.4060156000005</v>
      </c>
      <c r="S12" s="77">
        <f t="shared" si="7"/>
        <v>296.661222</v>
      </c>
      <c r="T12" s="79"/>
      <c r="U12" s="78"/>
      <c r="V12" s="78">
        <f t="shared" si="8"/>
        <v>496.1914848</v>
      </c>
      <c r="W12" s="78">
        <f t="shared" si="9"/>
        <v>496.1914848</v>
      </c>
      <c r="X12" s="79">
        <f t="shared" si="10"/>
        <v>103.5312288</v>
      </c>
      <c r="Y12" s="77">
        <f t="shared" si="11"/>
        <v>5.066255999999999</v>
      </c>
      <c r="Z12" s="79"/>
      <c r="AA12" s="79"/>
      <c r="AB12" s="78">
        <f t="shared" si="12"/>
        <v>2239.9777421999997</v>
      </c>
      <c r="AC12" s="78">
        <f t="shared" si="13"/>
        <v>2239.9777421999997</v>
      </c>
      <c r="AD12" s="79">
        <f t="shared" si="14"/>
        <v>467.37530819999995</v>
      </c>
      <c r="AE12" s="77">
        <f t="shared" si="15"/>
        <v>22.870808999999998</v>
      </c>
      <c r="AF12" s="79"/>
      <c r="AG12" s="78"/>
      <c r="AH12" s="78">
        <f t="shared" si="16"/>
        <v>38953.7110611</v>
      </c>
      <c r="AI12" s="78">
        <f t="shared" si="17"/>
        <v>38953.7110611</v>
      </c>
      <c r="AJ12" s="79">
        <f t="shared" si="18"/>
        <v>8127.7605441</v>
      </c>
      <c r="AK12" s="77">
        <f t="shared" si="19"/>
        <v>397.7284545</v>
      </c>
      <c r="AL12" s="79"/>
      <c r="AM12" s="78"/>
      <c r="AN12" s="78">
        <f t="shared" si="20"/>
        <v>471.8563146</v>
      </c>
      <c r="AO12" s="78">
        <f t="shared" si="21"/>
        <v>471.8563146</v>
      </c>
      <c r="AP12" s="79">
        <f t="shared" si="22"/>
        <v>98.4536526</v>
      </c>
      <c r="AQ12" s="77">
        <f t="shared" si="23"/>
        <v>4.817787</v>
      </c>
      <c r="AR12" s="78"/>
      <c r="AS12" s="78"/>
      <c r="AT12" s="78">
        <f t="shared" si="24"/>
        <v>397.9283517</v>
      </c>
      <c r="AU12" s="78">
        <f t="shared" si="25"/>
        <v>397.9283517</v>
      </c>
      <c r="AV12" s="79">
        <f t="shared" si="26"/>
        <v>83.0284527</v>
      </c>
      <c r="AW12" s="77">
        <f t="shared" si="27"/>
        <v>4.0629615</v>
      </c>
      <c r="AX12" s="79"/>
      <c r="AY12" s="78"/>
      <c r="AZ12" s="78">
        <f t="shared" si="28"/>
        <v>16326.000068400002</v>
      </c>
      <c r="BA12" s="78">
        <f t="shared" si="29"/>
        <v>16326.000068400002</v>
      </c>
      <c r="BB12" s="79">
        <f t="shared" si="30"/>
        <v>3406.4487204</v>
      </c>
      <c r="BC12" s="77">
        <f t="shared" si="31"/>
        <v>166.693098</v>
      </c>
      <c r="BD12" s="79"/>
      <c r="BE12" s="78"/>
      <c r="BF12" s="78">
        <f t="shared" si="32"/>
        <v>33499.2066849</v>
      </c>
      <c r="BG12" s="78">
        <f t="shared" si="33"/>
        <v>33499.2066849</v>
      </c>
      <c r="BH12" s="79">
        <f t="shared" si="34"/>
        <v>6989.6685819</v>
      </c>
      <c r="BI12" s="77">
        <f t="shared" si="35"/>
        <v>342.03641550000003</v>
      </c>
      <c r="BJ12" s="79"/>
      <c r="BK12" s="78"/>
      <c r="BL12" s="78">
        <f t="shared" si="36"/>
        <v>386.72714519999994</v>
      </c>
      <c r="BM12" s="78">
        <f t="shared" si="37"/>
        <v>386.72714519999994</v>
      </c>
      <c r="BN12" s="79">
        <f t="shared" si="38"/>
        <v>80.6913012</v>
      </c>
      <c r="BO12" s="77">
        <f t="shared" si="39"/>
        <v>3.9485940000000004</v>
      </c>
      <c r="BP12" s="79"/>
      <c r="BQ12" s="78"/>
      <c r="BR12" s="78">
        <f t="shared" si="40"/>
        <v>259.7801382</v>
      </c>
      <c r="BS12" s="78">
        <f t="shared" si="41"/>
        <v>259.7801382</v>
      </c>
      <c r="BT12" s="79">
        <f t="shared" si="42"/>
        <v>54.203584199999995</v>
      </c>
      <c r="BU12" s="77">
        <f t="shared" si="43"/>
        <v>2.6524289999999997</v>
      </c>
      <c r="BV12" s="79"/>
      <c r="BW12" s="78"/>
      <c r="BX12" s="78">
        <f t="shared" si="44"/>
        <v>-38.699070299999995</v>
      </c>
      <c r="BY12" s="78">
        <f t="shared" si="45"/>
        <v>-38.699070299999995</v>
      </c>
      <c r="BZ12" s="79">
        <f t="shared" si="46"/>
        <v>-8.0746293</v>
      </c>
      <c r="CA12" s="77">
        <f t="shared" si="47"/>
        <v>-0.3951285</v>
      </c>
      <c r="CB12" s="78"/>
      <c r="CC12" s="78"/>
      <c r="CD12" s="78">
        <f t="shared" si="48"/>
        <v>-25.2136962</v>
      </c>
      <c r="CE12" s="78">
        <f t="shared" si="49"/>
        <v>-25.2136962</v>
      </c>
      <c r="CF12" s="79">
        <f t="shared" si="50"/>
        <v>-5.2608822</v>
      </c>
      <c r="CG12" s="77">
        <f t="shared" si="51"/>
        <v>-0.257439</v>
      </c>
      <c r="CH12" s="79"/>
      <c r="CI12" s="78"/>
      <c r="CJ12" s="78">
        <f t="shared" si="52"/>
        <v>937.6507998000001</v>
      </c>
      <c r="CK12" s="78">
        <f t="shared" si="53"/>
        <v>937.6507998000001</v>
      </c>
      <c r="CL12" s="79">
        <f t="shared" si="54"/>
        <v>195.64249379999998</v>
      </c>
      <c r="CM12" s="77">
        <f t="shared" si="55"/>
        <v>9.573681</v>
      </c>
      <c r="CN12" s="79"/>
      <c r="CO12" s="78"/>
      <c r="CP12" s="78">
        <f t="shared" si="56"/>
        <v>5766.205401</v>
      </c>
      <c r="CQ12" s="78">
        <f t="shared" si="57"/>
        <v>5766.205401</v>
      </c>
      <c r="CR12" s="79">
        <f t="shared" si="58"/>
        <v>1203.128931</v>
      </c>
      <c r="CS12" s="77">
        <f t="shared" si="59"/>
        <v>58.874595</v>
      </c>
      <c r="CT12" s="79"/>
      <c r="CU12" s="78"/>
      <c r="CV12" s="78">
        <f t="shared" si="60"/>
        <v>38736.451581299996</v>
      </c>
      <c r="CW12" s="78">
        <f t="shared" si="61"/>
        <v>38736.451581299996</v>
      </c>
      <c r="CX12" s="79">
        <f t="shared" si="62"/>
        <v>8082.4289703</v>
      </c>
      <c r="CY12" s="77">
        <f t="shared" si="63"/>
        <v>395.5101735</v>
      </c>
      <c r="CZ12" s="79"/>
      <c r="DA12" s="78"/>
      <c r="DB12" s="78">
        <f t="shared" si="64"/>
        <v>5588.8310016</v>
      </c>
      <c r="DC12" s="78">
        <f t="shared" si="65"/>
        <v>5588.8310016</v>
      </c>
      <c r="DD12" s="79">
        <f t="shared" si="66"/>
        <v>1166.1194496</v>
      </c>
      <c r="DE12" s="77">
        <f t="shared" si="67"/>
        <v>57.063552</v>
      </c>
      <c r="DF12" s="79"/>
      <c r="DG12" s="78"/>
      <c r="DH12" s="78">
        <f t="shared" si="68"/>
        <v>11419.6080636</v>
      </c>
      <c r="DI12" s="78">
        <f t="shared" si="69"/>
        <v>11419.6080636</v>
      </c>
      <c r="DJ12" s="79">
        <f t="shared" si="70"/>
        <v>2382.7213716</v>
      </c>
      <c r="DK12" s="77">
        <f t="shared" si="71"/>
        <v>116.597442</v>
      </c>
      <c r="DL12" s="79"/>
      <c r="DM12" s="78"/>
      <c r="DN12" s="78">
        <f t="shared" si="72"/>
        <v>1852.0206606000002</v>
      </c>
      <c r="DO12" s="78">
        <f t="shared" si="73"/>
        <v>1852.0206606000002</v>
      </c>
      <c r="DP12" s="79">
        <f t="shared" si="74"/>
        <v>386.4273786</v>
      </c>
      <c r="DQ12" s="77">
        <f t="shared" si="75"/>
        <v>18.909657</v>
      </c>
      <c r="DR12" s="79"/>
      <c r="DS12" s="78"/>
      <c r="DT12" s="78">
        <f t="shared" si="76"/>
        <v>9500.4680166</v>
      </c>
      <c r="DU12" s="78">
        <f t="shared" si="77"/>
        <v>9500.4680166</v>
      </c>
      <c r="DV12" s="79">
        <f t="shared" si="78"/>
        <v>1982.2894146</v>
      </c>
      <c r="DW12" s="77">
        <f t="shared" si="79"/>
        <v>97.002477</v>
      </c>
      <c r="DX12" s="79"/>
      <c r="DY12" s="78"/>
      <c r="DZ12" s="78">
        <f t="shared" si="80"/>
        <v>84.90953789999999</v>
      </c>
      <c r="EA12" s="78">
        <f t="shared" si="81"/>
        <v>84.90953789999999</v>
      </c>
      <c r="EB12" s="79">
        <f t="shared" si="82"/>
        <v>17.7165249</v>
      </c>
      <c r="EC12" s="77">
        <f t="shared" si="83"/>
        <v>0.8669505000000001</v>
      </c>
      <c r="ED12" s="79"/>
      <c r="EE12" s="78"/>
      <c r="EF12" s="78">
        <f t="shared" si="84"/>
        <v>111.7485072</v>
      </c>
      <c r="EG12" s="78">
        <f t="shared" si="85"/>
        <v>111.7485072</v>
      </c>
      <c r="EH12" s="79">
        <f t="shared" si="86"/>
        <v>23.3165232</v>
      </c>
      <c r="EI12" s="77">
        <f t="shared" si="87"/>
        <v>1.140984</v>
      </c>
      <c r="EJ12" s="79"/>
      <c r="EK12" s="78"/>
      <c r="EL12" s="78">
        <f t="shared" si="88"/>
        <v>5630.7806181</v>
      </c>
      <c r="EM12" s="78">
        <f t="shared" si="89"/>
        <v>5630.7806181</v>
      </c>
      <c r="EN12" s="79">
        <f t="shared" si="90"/>
        <v>1174.8723111000002</v>
      </c>
      <c r="EO12" s="77">
        <f t="shared" si="91"/>
        <v>57.4918695</v>
      </c>
      <c r="EP12" s="79"/>
      <c r="EQ12" s="78"/>
      <c r="ER12" s="78">
        <f t="shared" si="92"/>
        <v>107.180172</v>
      </c>
      <c r="ES12" s="78">
        <f t="shared" si="93"/>
        <v>107.180172</v>
      </c>
      <c r="ET12" s="79">
        <f t="shared" si="94"/>
        <v>22.363332</v>
      </c>
      <c r="EU12" s="77">
        <f t="shared" si="95"/>
        <v>1.0943399999999999</v>
      </c>
      <c r="EV12" s="79"/>
      <c r="EW12" s="78"/>
      <c r="EX12" s="78">
        <f t="shared" si="96"/>
        <v>1601.5089717</v>
      </c>
      <c r="EY12" s="78">
        <f t="shared" si="97"/>
        <v>1601.5089717</v>
      </c>
      <c r="EZ12" s="79">
        <f t="shared" si="98"/>
        <v>334.15767270000003</v>
      </c>
      <c r="FA12" s="77">
        <f t="shared" si="99"/>
        <v>16.351861500000002</v>
      </c>
      <c r="FB12" s="79"/>
      <c r="FC12" s="78"/>
      <c r="FD12" s="78">
        <f t="shared" si="100"/>
        <v>1112.5214001</v>
      </c>
      <c r="FE12" s="78">
        <f t="shared" si="101"/>
        <v>1112.5214001</v>
      </c>
      <c r="FF12" s="79">
        <f t="shared" si="102"/>
        <v>232.1295531</v>
      </c>
      <c r="FG12" s="77">
        <f t="shared" si="103"/>
        <v>11.3591595</v>
      </c>
      <c r="FH12" s="79"/>
      <c r="FI12" s="78"/>
      <c r="FJ12" s="78">
        <f t="shared" si="104"/>
        <v>434.29932809999997</v>
      </c>
      <c r="FK12" s="78">
        <f t="shared" si="105"/>
        <v>434.29932809999997</v>
      </c>
      <c r="FL12" s="79">
        <f t="shared" si="106"/>
        <v>90.6173211</v>
      </c>
      <c r="FM12" s="77">
        <f t="shared" si="107"/>
        <v>4.4343195</v>
      </c>
      <c r="FN12" s="79"/>
      <c r="FO12" s="78"/>
      <c r="FP12" s="78">
        <f t="shared" si="108"/>
        <v>4880.6951193</v>
      </c>
      <c r="FQ12" s="78">
        <f t="shared" si="109"/>
        <v>4880.6951193</v>
      </c>
      <c r="FR12" s="79">
        <f t="shared" si="110"/>
        <v>1018.3656483000001</v>
      </c>
      <c r="FS12" s="77">
        <f t="shared" si="111"/>
        <v>49.8332835</v>
      </c>
      <c r="FT12" s="79"/>
      <c r="FU12" s="78"/>
      <c r="FV12" s="78">
        <f t="shared" si="112"/>
        <v>11000.1118986</v>
      </c>
      <c r="FW12" s="78">
        <f t="shared" si="113"/>
        <v>11000.1118986</v>
      </c>
      <c r="FX12" s="79">
        <f t="shared" si="114"/>
        <v>2295.1927566</v>
      </c>
      <c r="FY12" s="77">
        <f t="shared" si="115"/>
        <v>112.314267</v>
      </c>
      <c r="FZ12" s="79"/>
      <c r="GA12" s="78"/>
      <c r="GB12" s="78">
        <f t="shared" si="116"/>
        <v>1403.7527691000003</v>
      </c>
      <c r="GC12" s="78">
        <f t="shared" si="117"/>
        <v>1403.7527691000003</v>
      </c>
      <c r="GD12" s="79">
        <f t="shared" si="118"/>
        <v>292.8954921</v>
      </c>
      <c r="GE12" s="77">
        <f t="shared" si="119"/>
        <v>14.3327145</v>
      </c>
      <c r="GF12" s="79"/>
      <c r="GG12" s="78"/>
      <c r="GH12" s="78">
        <f t="shared" si="120"/>
        <v>2229.1718724</v>
      </c>
      <c r="GI12" s="78">
        <f t="shared" si="121"/>
        <v>2229.1718724</v>
      </c>
      <c r="GJ12" s="79">
        <f t="shared" si="122"/>
        <v>465.1206444</v>
      </c>
      <c r="GK12" s="77">
        <f t="shared" si="123"/>
        <v>22.760478</v>
      </c>
      <c r="GL12" s="79"/>
      <c r="GM12" s="78"/>
      <c r="GN12" s="78">
        <f t="shared" si="124"/>
        <v>10330.9825707</v>
      </c>
      <c r="GO12" s="78">
        <f t="shared" si="125"/>
        <v>10330.9825707</v>
      </c>
      <c r="GP12" s="79">
        <f t="shared" si="126"/>
        <v>2155.5777417</v>
      </c>
      <c r="GQ12" s="77">
        <f t="shared" si="127"/>
        <v>105.4822665</v>
      </c>
      <c r="GR12" s="79"/>
      <c r="GS12" s="78"/>
      <c r="GT12" s="78">
        <f t="shared" si="128"/>
        <v>548.2880766</v>
      </c>
      <c r="GU12" s="78">
        <f t="shared" si="129"/>
        <v>548.2880766</v>
      </c>
      <c r="GV12" s="79">
        <f t="shared" si="130"/>
        <v>114.40127460000001</v>
      </c>
      <c r="GW12" s="77">
        <f t="shared" si="131"/>
        <v>5.598177000000001</v>
      </c>
      <c r="GX12" s="79"/>
      <c r="GY12" s="78"/>
      <c r="GZ12" s="78">
        <f t="shared" si="132"/>
        <v>3143.5417332</v>
      </c>
      <c r="HA12" s="78">
        <f t="shared" si="133"/>
        <v>3143.5417332</v>
      </c>
      <c r="HB12" s="79">
        <f t="shared" si="134"/>
        <v>655.9055292</v>
      </c>
      <c r="HC12" s="77">
        <f t="shared" si="135"/>
        <v>32.096454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44652</v>
      </c>
      <c r="C13" s="42">
        <v>6225000</v>
      </c>
      <c r="D13" s="42">
        <v>439263</v>
      </c>
      <c r="E13" s="77">
        <f t="shared" si="0"/>
        <v>6664263</v>
      </c>
      <c r="F13" s="77">
        <v>91653</v>
      </c>
      <c r="G13" s="77">
        <v>4485</v>
      </c>
      <c r="H13" s="79"/>
      <c r="I13" s="79">
        <f>O13+U13+AA13+AG13+AM13+AS13+AY13+BE13+BK13+BQ13+BW13+CC13+CI13+CO13+CU13+DA13+DG13+DM13+DS13+DY13+EE13+EK13+EQ13+EW13+FC13+FI13+FO13+FU13+GA13+GG13+GM13+GS13+GY13</f>
        <v>3379091.2275</v>
      </c>
      <c r="J13" s="79">
        <f t="shared" si="1"/>
        <v>238443.33331170003</v>
      </c>
      <c r="K13" s="79">
        <f t="shared" si="2"/>
        <v>3617534.5608117003</v>
      </c>
      <c r="L13" s="79">
        <f t="shared" si="3"/>
        <v>49751.6222127</v>
      </c>
      <c r="M13" s="79">
        <f t="shared" si="3"/>
        <v>2434.5741615</v>
      </c>
      <c r="N13" s="79"/>
      <c r="O13" s="78">
        <f t="shared" si="136"/>
        <v>411753.87</v>
      </c>
      <c r="P13" s="78">
        <f t="shared" si="4"/>
        <v>29055.1389876</v>
      </c>
      <c r="Q13" s="79">
        <f t="shared" si="5"/>
        <v>440809.0089876</v>
      </c>
      <c r="R13" s="79">
        <f t="shared" si="6"/>
        <v>6062.4060156000005</v>
      </c>
      <c r="S13" s="77">
        <f t="shared" si="7"/>
        <v>296.661222</v>
      </c>
      <c r="T13" s="79"/>
      <c r="U13" s="78">
        <f t="shared" si="137"/>
        <v>7031.76</v>
      </c>
      <c r="V13" s="78">
        <f t="shared" si="8"/>
        <v>496.1914848</v>
      </c>
      <c r="W13" s="78">
        <f t="shared" si="9"/>
        <v>7527.9514848</v>
      </c>
      <c r="X13" s="79">
        <f t="shared" si="10"/>
        <v>103.5312288</v>
      </c>
      <c r="Y13" s="77">
        <f t="shared" si="11"/>
        <v>5.066255999999999</v>
      </c>
      <c r="Z13" s="79"/>
      <c r="AA13" s="79">
        <f t="shared" si="138"/>
        <v>31743.764999999996</v>
      </c>
      <c r="AB13" s="78">
        <f t="shared" si="12"/>
        <v>2239.9777421999997</v>
      </c>
      <c r="AC13" s="78">
        <f t="shared" si="13"/>
        <v>33983.7427422</v>
      </c>
      <c r="AD13" s="79">
        <f t="shared" si="14"/>
        <v>467.37530819999995</v>
      </c>
      <c r="AE13" s="77">
        <f t="shared" si="15"/>
        <v>22.870808999999998</v>
      </c>
      <c r="AF13" s="79"/>
      <c r="AG13" s="78">
        <f t="shared" si="139"/>
        <v>552031.1325</v>
      </c>
      <c r="AH13" s="78">
        <f t="shared" si="16"/>
        <v>38953.7110611</v>
      </c>
      <c r="AI13" s="78">
        <f t="shared" si="17"/>
        <v>590984.8435611</v>
      </c>
      <c r="AJ13" s="79">
        <f t="shared" si="18"/>
        <v>8127.7605441</v>
      </c>
      <c r="AK13" s="77">
        <f t="shared" si="19"/>
        <v>397.7284545</v>
      </c>
      <c r="AL13" s="79"/>
      <c r="AM13" s="78">
        <f t="shared" si="140"/>
        <v>6686.895</v>
      </c>
      <c r="AN13" s="78">
        <f t="shared" si="20"/>
        <v>471.8563146</v>
      </c>
      <c r="AO13" s="78">
        <f t="shared" si="21"/>
        <v>7158.7513146</v>
      </c>
      <c r="AP13" s="79">
        <f t="shared" si="22"/>
        <v>98.4536526</v>
      </c>
      <c r="AQ13" s="77">
        <f t="shared" si="23"/>
        <v>4.817787</v>
      </c>
      <c r="AR13" s="78"/>
      <c r="AS13" s="78">
        <f t="shared" si="141"/>
        <v>5639.2275</v>
      </c>
      <c r="AT13" s="78">
        <f t="shared" si="24"/>
        <v>397.9283517</v>
      </c>
      <c r="AU13" s="78">
        <f t="shared" si="25"/>
        <v>6037.1558517</v>
      </c>
      <c r="AV13" s="79">
        <f t="shared" si="26"/>
        <v>83.0284527</v>
      </c>
      <c r="AW13" s="77">
        <f t="shared" si="27"/>
        <v>4.0629615</v>
      </c>
      <c r="AX13" s="79"/>
      <c r="AY13" s="78">
        <f t="shared" si="142"/>
        <v>231363.33</v>
      </c>
      <c r="AZ13" s="78">
        <f t="shared" si="28"/>
        <v>16326.000068400002</v>
      </c>
      <c r="BA13" s="78">
        <f t="shared" si="29"/>
        <v>247689.33006839998</v>
      </c>
      <c r="BB13" s="79">
        <f t="shared" si="30"/>
        <v>3406.4487204</v>
      </c>
      <c r="BC13" s="77">
        <f t="shared" si="31"/>
        <v>166.693098</v>
      </c>
      <c r="BD13" s="79"/>
      <c r="BE13" s="78">
        <f t="shared" si="143"/>
        <v>474732.8175</v>
      </c>
      <c r="BF13" s="78">
        <f t="shared" si="32"/>
        <v>33499.2066849</v>
      </c>
      <c r="BG13" s="78">
        <f t="shared" si="33"/>
        <v>508232.0241849</v>
      </c>
      <c r="BH13" s="79">
        <f t="shared" si="34"/>
        <v>6989.6685819</v>
      </c>
      <c r="BI13" s="77">
        <f t="shared" si="35"/>
        <v>342.03641550000003</v>
      </c>
      <c r="BJ13" s="79"/>
      <c r="BK13" s="78">
        <f t="shared" si="144"/>
        <v>5480.49</v>
      </c>
      <c r="BL13" s="78">
        <f t="shared" si="36"/>
        <v>386.72714519999994</v>
      </c>
      <c r="BM13" s="78">
        <f t="shared" si="37"/>
        <v>5867.217145199999</v>
      </c>
      <c r="BN13" s="79">
        <f t="shared" si="38"/>
        <v>80.6913012</v>
      </c>
      <c r="BO13" s="77">
        <f t="shared" si="39"/>
        <v>3.9485940000000004</v>
      </c>
      <c r="BP13" s="79"/>
      <c r="BQ13" s="78">
        <f t="shared" si="145"/>
        <v>3681.465</v>
      </c>
      <c r="BR13" s="78">
        <f t="shared" si="40"/>
        <v>259.7801382</v>
      </c>
      <c r="BS13" s="78">
        <f t="shared" si="41"/>
        <v>3941.2451382</v>
      </c>
      <c r="BT13" s="79">
        <f t="shared" si="42"/>
        <v>54.203584199999995</v>
      </c>
      <c r="BU13" s="77">
        <f t="shared" si="43"/>
        <v>2.6524289999999997</v>
      </c>
      <c r="BV13" s="79"/>
      <c r="BW13" s="78">
        <f t="shared" si="146"/>
        <v>-548.4225</v>
      </c>
      <c r="BX13" s="78">
        <f t="shared" si="44"/>
        <v>-38.699070299999995</v>
      </c>
      <c r="BY13" s="78">
        <f t="shared" si="45"/>
        <v>-587.1215703</v>
      </c>
      <c r="BZ13" s="79">
        <f t="shared" si="46"/>
        <v>-8.0746293</v>
      </c>
      <c r="CA13" s="77">
        <f t="shared" si="47"/>
        <v>-0.3951285</v>
      </c>
      <c r="CB13" s="78"/>
      <c r="CC13" s="78">
        <f t="shared" si="147"/>
        <v>-357.315</v>
      </c>
      <c r="CD13" s="78">
        <f t="shared" si="48"/>
        <v>-25.2136962</v>
      </c>
      <c r="CE13" s="78">
        <f t="shared" si="49"/>
        <v>-382.5286962</v>
      </c>
      <c r="CF13" s="79">
        <f t="shared" si="50"/>
        <v>-5.2608822</v>
      </c>
      <c r="CG13" s="77">
        <f t="shared" si="51"/>
        <v>-0.257439</v>
      </c>
      <c r="CH13" s="79"/>
      <c r="CI13" s="78">
        <f t="shared" si="148"/>
        <v>13287.885</v>
      </c>
      <c r="CJ13" s="78">
        <f t="shared" si="52"/>
        <v>937.6507998000001</v>
      </c>
      <c r="CK13" s="78">
        <f t="shared" si="53"/>
        <v>14225.5357998</v>
      </c>
      <c r="CL13" s="79">
        <f t="shared" si="54"/>
        <v>195.64249379999998</v>
      </c>
      <c r="CM13" s="77">
        <f t="shared" si="55"/>
        <v>9.573681</v>
      </c>
      <c r="CN13" s="79"/>
      <c r="CO13" s="78">
        <f t="shared" si="149"/>
        <v>81715.575</v>
      </c>
      <c r="CP13" s="78">
        <f t="shared" si="56"/>
        <v>5766.205401</v>
      </c>
      <c r="CQ13" s="78">
        <f t="shared" si="57"/>
        <v>87481.780401</v>
      </c>
      <c r="CR13" s="79">
        <f t="shared" si="58"/>
        <v>1203.128931</v>
      </c>
      <c r="CS13" s="77">
        <f t="shared" si="59"/>
        <v>58.874595</v>
      </c>
      <c r="CT13" s="79"/>
      <c r="CU13" s="78">
        <f t="shared" si="150"/>
        <v>548952.2475</v>
      </c>
      <c r="CV13" s="78">
        <f t="shared" si="60"/>
        <v>38736.451581299996</v>
      </c>
      <c r="CW13" s="78">
        <f t="shared" si="61"/>
        <v>587688.6990813001</v>
      </c>
      <c r="CX13" s="79">
        <f t="shared" si="62"/>
        <v>8082.4289703</v>
      </c>
      <c r="CY13" s="77">
        <f t="shared" si="63"/>
        <v>395.5101735</v>
      </c>
      <c r="CZ13" s="79"/>
      <c r="DA13" s="78">
        <f t="shared" si="151"/>
        <v>79201.91999999998</v>
      </c>
      <c r="DB13" s="78">
        <f t="shared" si="64"/>
        <v>5588.8310016</v>
      </c>
      <c r="DC13" s="78">
        <f t="shared" si="65"/>
        <v>84790.75100159999</v>
      </c>
      <c r="DD13" s="79">
        <f t="shared" si="66"/>
        <v>1166.1194496</v>
      </c>
      <c r="DE13" s="77">
        <f t="shared" si="67"/>
        <v>57.063552</v>
      </c>
      <c r="DF13" s="79"/>
      <c r="DG13" s="78">
        <f t="shared" si="152"/>
        <v>161832.57</v>
      </c>
      <c r="DH13" s="78">
        <f t="shared" si="68"/>
        <v>11419.6080636</v>
      </c>
      <c r="DI13" s="78">
        <f t="shared" si="69"/>
        <v>173252.1780636</v>
      </c>
      <c r="DJ13" s="79">
        <f t="shared" si="70"/>
        <v>2382.7213716</v>
      </c>
      <c r="DK13" s="77">
        <f t="shared" si="71"/>
        <v>116.597442</v>
      </c>
      <c r="DL13" s="79"/>
      <c r="DM13" s="78">
        <f t="shared" si="153"/>
        <v>26245.845</v>
      </c>
      <c r="DN13" s="78">
        <f t="shared" si="72"/>
        <v>1852.0206606000002</v>
      </c>
      <c r="DO13" s="78">
        <f t="shared" si="73"/>
        <v>28097.8656606</v>
      </c>
      <c r="DP13" s="79">
        <f t="shared" si="74"/>
        <v>386.4273786</v>
      </c>
      <c r="DQ13" s="77">
        <f t="shared" si="75"/>
        <v>18.909657</v>
      </c>
      <c r="DR13" s="79"/>
      <c r="DS13" s="78">
        <f t="shared" si="154"/>
        <v>134635.545</v>
      </c>
      <c r="DT13" s="78">
        <f t="shared" si="76"/>
        <v>9500.4680166</v>
      </c>
      <c r="DU13" s="78">
        <f t="shared" si="77"/>
        <v>144136.01301660002</v>
      </c>
      <c r="DV13" s="79">
        <f t="shared" si="78"/>
        <v>1982.2894146</v>
      </c>
      <c r="DW13" s="77">
        <f t="shared" si="79"/>
        <v>97.002477</v>
      </c>
      <c r="DX13" s="79"/>
      <c r="DY13" s="78">
        <f t="shared" si="155"/>
        <v>1203.2925</v>
      </c>
      <c r="DZ13" s="78">
        <f t="shared" si="80"/>
        <v>84.90953789999999</v>
      </c>
      <c r="EA13" s="78">
        <f t="shared" si="81"/>
        <v>1288.2020379</v>
      </c>
      <c r="EB13" s="79">
        <f t="shared" si="82"/>
        <v>17.7165249</v>
      </c>
      <c r="EC13" s="77">
        <f t="shared" si="83"/>
        <v>0.8669505000000001</v>
      </c>
      <c r="ED13" s="79"/>
      <c r="EE13" s="78">
        <f t="shared" si="156"/>
        <v>1583.64</v>
      </c>
      <c r="EF13" s="78">
        <f t="shared" si="84"/>
        <v>111.7485072</v>
      </c>
      <c r="EG13" s="78">
        <f t="shared" si="85"/>
        <v>1695.3885072</v>
      </c>
      <c r="EH13" s="79">
        <f t="shared" si="86"/>
        <v>23.3165232</v>
      </c>
      <c r="EI13" s="77">
        <f t="shared" si="87"/>
        <v>1.140984</v>
      </c>
      <c r="EJ13" s="79"/>
      <c r="EK13" s="78">
        <f t="shared" si="157"/>
        <v>79796.4075</v>
      </c>
      <c r="EL13" s="78">
        <f t="shared" si="88"/>
        <v>5630.7806181</v>
      </c>
      <c r="EM13" s="78">
        <f t="shared" si="89"/>
        <v>85427.1881181</v>
      </c>
      <c r="EN13" s="79">
        <f t="shared" si="90"/>
        <v>1174.8723111000002</v>
      </c>
      <c r="EO13" s="77">
        <f t="shared" si="91"/>
        <v>57.4918695</v>
      </c>
      <c r="EP13" s="79"/>
      <c r="EQ13" s="78">
        <f t="shared" si="158"/>
        <v>1518.9</v>
      </c>
      <c r="ER13" s="78">
        <f t="shared" si="92"/>
        <v>107.180172</v>
      </c>
      <c r="ES13" s="78">
        <f t="shared" si="93"/>
        <v>1626.0801720000002</v>
      </c>
      <c r="ET13" s="79">
        <f t="shared" si="94"/>
        <v>22.363332</v>
      </c>
      <c r="EU13" s="77">
        <f t="shared" si="95"/>
        <v>1.0943399999999999</v>
      </c>
      <c r="EV13" s="79"/>
      <c r="EW13" s="78">
        <f t="shared" si="159"/>
        <v>22695.7275</v>
      </c>
      <c r="EX13" s="78">
        <f t="shared" si="96"/>
        <v>1601.5089717</v>
      </c>
      <c r="EY13" s="78">
        <f t="shared" si="97"/>
        <v>24297.236471700002</v>
      </c>
      <c r="EZ13" s="79">
        <f t="shared" si="98"/>
        <v>334.15767270000003</v>
      </c>
      <c r="FA13" s="77">
        <f t="shared" si="99"/>
        <v>16.351861500000002</v>
      </c>
      <c r="FB13" s="79"/>
      <c r="FC13" s="78">
        <f t="shared" si="160"/>
        <v>15766.0575</v>
      </c>
      <c r="FD13" s="78">
        <f t="shared" si="100"/>
        <v>1112.5214001</v>
      </c>
      <c r="FE13" s="78">
        <f t="shared" si="101"/>
        <v>16878.5789001</v>
      </c>
      <c r="FF13" s="79">
        <f t="shared" si="102"/>
        <v>232.1295531</v>
      </c>
      <c r="FG13" s="77">
        <f t="shared" si="103"/>
        <v>11.3591595</v>
      </c>
      <c r="FH13" s="79"/>
      <c r="FI13" s="78">
        <f t="shared" si="161"/>
        <v>6154.6575</v>
      </c>
      <c r="FJ13" s="78">
        <f t="shared" si="104"/>
        <v>434.29932809999997</v>
      </c>
      <c r="FK13" s="78">
        <f t="shared" si="105"/>
        <v>6588.9568281</v>
      </c>
      <c r="FL13" s="79">
        <f t="shared" si="106"/>
        <v>90.6173211</v>
      </c>
      <c r="FM13" s="77">
        <f t="shared" si="107"/>
        <v>4.4343195</v>
      </c>
      <c r="FN13" s="79"/>
      <c r="FO13" s="78">
        <f t="shared" si="162"/>
        <v>69166.5975</v>
      </c>
      <c r="FP13" s="78">
        <f t="shared" si="108"/>
        <v>4880.6951193</v>
      </c>
      <c r="FQ13" s="78">
        <f t="shared" si="109"/>
        <v>74047.2926193</v>
      </c>
      <c r="FR13" s="79">
        <f t="shared" si="110"/>
        <v>1018.3656483000001</v>
      </c>
      <c r="FS13" s="77">
        <f t="shared" si="111"/>
        <v>49.8332835</v>
      </c>
      <c r="FT13" s="79"/>
      <c r="FU13" s="78">
        <f t="shared" si="163"/>
        <v>155887.695</v>
      </c>
      <c r="FV13" s="78">
        <f t="shared" si="112"/>
        <v>11000.1118986</v>
      </c>
      <c r="FW13" s="78">
        <f t="shared" si="113"/>
        <v>166887.8068986</v>
      </c>
      <c r="FX13" s="79">
        <f t="shared" si="114"/>
        <v>2295.1927566</v>
      </c>
      <c r="FY13" s="77">
        <f t="shared" si="115"/>
        <v>112.314267</v>
      </c>
      <c r="FZ13" s="79"/>
      <c r="GA13" s="78">
        <f t="shared" si="164"/>
        <v>19893.232500000002</v>
      </c>
      <c r="GB13" s="78">
        <f t="shared" si="116"/>
        <v>1403.7527691000003</v>
      </c>
      <c r="GC13" s="78">
        <f t="shared" si="117"/>
        <v>21296.9852691</v>
      </c>
      <c r="GD13" s="79">
        <f t="shared" si="118"/>
        <v>292.8954921</v>
      </c>
      <c r="GE13" s="77">
        <f t="shared" si="119"/>
        <v>14.3327145</v>
      </c>
      <c r="GF13" s="79"/>
      <c r="GG13" s="78">
        <f t="shared" si="165"/>
        <v>31590.630000000005</v>
      </c>
      <c r="GH13" s="78">
        <f t="shared" si="120"/>
        <v>2229.1718724</v>
      </c>
      <c r="GI13" s="78">
        <f t="shared" si="121"/>
        <v>33819.80187240001</v>
      </c>
      <c r="GJ13" s="79">
        <f t="shared" si="122"/>
        <v>465.1206444</v>
      </c>
      <c r="GK13" s="77">
        <f t="shared" si="123"/>
        <v>22.760478</v>
      </c>
      <c r="GL13" s="79"/>
      <c r="GM13" s="78">
        <f t="shared" si="166"/>
        <v>146405.1525</v>
      </c>
      <c r="GN13" s="78">
        <f t="shared" si="124"/>
        <v>10330.9825707</v>
      </c>
      <c r="GO13" s="78">
        <f t="shared" si="125"/>
        <v>156736.1350707</v>
      </c>
      <c r="GP13" s="79">
        <f t="shared" si="126"/>
        <v>2155.5777417</v>
      </c>
      <c r="GQ13" s="77">
        <f t="shared" si="127"/>
        <v>105.4822665</v>
      </c>
      <c r="GR13" s="79"/>
      <c r="GS13" s="78">
        <f t="shared" si="167"/>
        <v>7770.045</v>
      </c>
      <c r="GT13" s="78">
        <f t="shared" si="128"/>
        <v>548.2880766</v>
      </c>
      <c r="GU13" s="78">
        <f t="shared" si="129"/>
        <v>8318.3330766</v>
      </c>
      <c r="GV13" s="79">
        <f t="shared" si="130"/>
        <v>114.40127460000001</v>
      </c>
      <c r="GW13" s="77">
        <f t="shared" si="131"/>
        <v>5.598177000000001</v>
      </c>
      <c r="GX13" s="79"/>
      <c r="GY13" s="78">
        <f t="shared" si="168"/>
        <v>44548.59</v>
      </c>
      <c r="GZ13" s="78">
        <f t="shared" si="132"/>
        <v>3143.5417332</v>
      </c>
      <c r="HA13" s="78">
        <f t="shared" si="133"/>
        <v>47692.131733199996</v>
      </c>
      <c r="HB13" s="79">
        <f t="shared" si="134"/>
        <v>655.9055292</v>
      </c>
      <c r="HC13" s="77">
        <f t="shared" si="135"/>
        <v>32.096454</v>
      </c>
      <c r="HD13" s="79"/>
      <c r="HE13" s="79"/>
      <c r="HF13" s="79"/>
      <c r="HG13" s="79"/>
      <c r="HH13" s="79"/>
      <c r="HI13" s="79"/>
    </row>
    <row r="14" spans="1:217" s="52" customFormat="1" ht="12.75">
      <c r="A14" s="51">
        <v>44835</v>
      </c>
      <c r="C14" s="42"/>
      <c r="D14" s="42">
        <v>283638</v>
      </c>
      <c r="E14" s="77">
        <f t="shared" si="0"/>
        <v>283638</v>
      </c>
      <c r="F14" s="77">
        <v>91653</v>
      </c>
      <c r="G14" s="77">
        <v>4485</v>
      </c>
      <c r="H14" s="79"/>
      <c r="I14" s="79"/>
      <c r="J14" s="79">
        <f t="shared" si="1"/>
        <v>153966.0526242</v>
      </c>
      <c r="K14" s="79">
        <f t="shared" si="2"/>
        <v>153966.0526242</v>
      </c>
      <c r="L14" s="79">
        <f t="shared" si="3"/>
        <v>49751.6222127</v>
      </c>
      <c r="M14" s="79">
        <f t="shared" si="3"/>
        <v>2434.5741615</v>
      </c>
      <c r="N14" s="79"/>
      <c r="O14" s="78"/>
      <c r="P14" s="78">
        <f t="shared" si="4"/>
        <v>18761.2922376</v>
      </c>
      <c r="Q14" s="79">
        <f t="shared" si="5"/>
        <v>18761.2922376</v>
      </c>
      <c r="R14" s="79">
        <f t="shared" si="6"/>
        <v>6062.4060156000005</v>
      </c>
      <c r="S14" s="77">
        <f t="shared" si="7"/>
        <v>296.661222</v>
      </c>
      <c r="T14" s="79"/>
      <c r="U14" s="78"/>
      <c r="V14" s="78">
        <f t="shared" si="8"/>
        <v>320.39748480000003</v>
      </c>
      <c r="W14" s="78">
        <f t="shared" si="9"/>
        <v>320.39748480000003</v>
      </c>
      <c r="X14" s="79">
        <f t="shared" si="10"/>
        <v>103.5312288</v>
      </c>
      <c r="Y14" s="77">
        <f t="shared" si="11"/>
        <v>5.066255999999999</v>
      </c>
      <c r="Z14" s="79"/>
      <c r="AA14" s="79"/>
      <c r="AB14" s="78">
        <f t="shared" si="12"/>
        <v>1446.3836172</v>
      </c>
      <c r="AC14" s="78">
        <f t="shared" si="13"/>
        <v>1446.3836172</v>
      </c>
      <c r="AD14" s="79">
        <f t="shared" si="14"/>
        <v>467.37530819999995</v>
      </c>
      <c r="AE14" s="77">
        <f t="shared" si="15"/>
        <v>22.870808999999998</v>
      </c>
      <c r="AF14" s="79"/>
      <c r="AG14" s="78"/>
      <c r="AH14" s="78">
        <f t="shared" si="16"/>
        <v>25152.932748599997</v>
      </c>
      <c r="AI14" s="78">
        <f t="shared" si="17"/>
        <v>25152.932748599997</v>
      </c>
      <c r="AJ14" s="79">
        <f t="shared" si="18"/>
        <v>8127.7605441</v>
      </c>
      <c r="AK14" s="77">
        <f t="shared" si="19"/>
        <v>397.7284545</v>
      </c>
      <c r="AL14" s="79"/>
      <c r="AM14" s="78"/>
      <c r="AN14" s="78">
        <f t="shared" si="20"/>
        <v>304.68393960000003</v>
      </c>
      <c r="AO14" s="78">
        <f t="shared" si="21"/>
        <v>304.68393960000003</v>
      </c>
      <c r="AP14" s="79">
        <f t="shared" si="22"/>
        <v>98.4536526</v>
      </c>
      <c r="AQ14" s="77">
        <f t="shared" si="23"/>
        <v>4.817787</v>
      </c>
      <c r="AR14" s="78"/>
      <c r="AS14" s="78"/>
      <c r="AT14" s="78">
        <f t="shared" si="24"/>
        <v>256.9476642</v>
      </c>
      <c r="AU14" s="78">
        <f t="shared" si="25"/>
        <v>256.9476642</v>
      </c>
      <c r="AV14" s="79">
        <f t="shared" si="26"/>
        <v>83.0284527</v>
      </c>
      <c r="AW14" s="77">
        <f t="shared" si="27"/>
        <v>4.0629615</v>
      </c>
      <c r="AX14" s="79"/>
      <c r="AY14" s="78"/>
      <c r="AZ14" s="78">
        <f t="shared" si="28"/>
        <v>10541.9168184</v>
      </c>
      <c r="BA14" s="78">
        <f t="shared" si="29"/>
        <v>10541.9168184</v>
      </c>
      <c r="BB14" s="79">
        <f t="shared" si="30"/>
        <v>3406.4487204</v>
      </c>
      <c r="BC14" s="77">
        <f t="shared" si="31"/>
        <v>166.693098</v>
      </c>
      <c r="BD14" s="79"/>
      <c r="BE14" s="78"/>
      <c r="BF14" s="78">
        <f t="shared" si="32"/>
        <v>21630.886247399998</v>
      </c>
      <c r="BG14" s="78">
        <f t="shared" si="33"/>
        <v>21630.886247399998</v>
      </c>
      <c r="BH14" s="79">
        <f t="shared" si="34"/>
        <v>6989.6685819</v>
      </c>
      <c r="BI14" s="77">
        <f t="shared" si="35"/>
        <v>342.03641550000003</v>
      </c>
      <c r="BJ14" s="79"/>
      <c r="BK14" s="78"/>
      <c r="BL14" s="78">
        <f t="shared" si="36"/>
        <v>249.7148952</v>
      </c>
      <c r="BM14" s="78">
        <f t="shared" si="37"/>
        <v>249.7148952</v>
      </c>
      <c r="BN14" s="79">
        <f t="shared" si="38"/>
        <v>80.6913012</v>
      </c>
      <c r="BO14" s="77">
        <f t="shared" si="39"/>
        <v>3.9485940000000004</v>
      </c>
      <c r="BP14" s="79"/>
      <c r="BQ14" s="78"/>
      <c r="BR14" s="78">
        <f t="shared" si="40"/>
        <v>167.74351319999997</v>
      </c>
      <c r="BS14" s="78">
        <f t="shared" si="41"/>
        <v>167.74351319999997</v>
      </c>
      <c r="BT14" s="79">
        <f t="shared" si="42"/>
        <v>54.203584199999995</v>
      </c>
      <c r="BU14" s="77">
        <f t="shared" si="43"/>
        <v>2.6524289999999997</v>
      </c>
      <c r="BV14" s="79"/>
      <c r="BW14" s="78"/>
      <c r="BX14" s="78">
        <f t="shared" si="44"/>
        <v>-24.9885078</v>
      </c>
      <c r="BY14" s="78">
        <f t="shared" si="45"/>
        <v>-24.9885078</v>
      </c>
      <c r="BZ14" s="79">
        <f t="shared" si="46"/>
        <v>-8.0746293</v>
      </c>
      <c r="CA14" s="77">
        <f t="shared" si="47"/>
        <v>-0.3951285</v>
      </c>
      <c r="CB14" s="78"/>
      <c r="CC14" s="78"/>
      <c r="CD14" s="78">
        <f t="shared" si="48"/>
        <v>-16.280821200000002</v>
      </c>
      <c r="CE14" s="78">
        <f t="shared" si="49"/>
        <v>-16.280821200000002</v>
      </c>
      <c r="CF14" s="79">
        <f t="shared" si="50"/>
        <v>-5.2608822</v>
      </c>
      <c r="CG14" s="77">
        <f t="shared" si="51"/>
        <v>-0.257439</v>
      </c>
      <c r="CH14" s="79"/>
      <c r="CI14" s="78"/>
      <c r="CJ14" s="78">
        <f t="shared" si="52"/>
        <v>605.4536748</v>
      </c>
      <c r="CK14" s="78">
        <f t="shared" si="53"/>
        <v>605.4536748</v>
      </c>
      <c r="CL14" s="79">
        <f t="shared" si="54"/>
        <v>195.64249379999998</v>
      </c>
      <c r="CM14" s="77">
        <f t="shared" si="55"/>
        <v>9.573681</v>
      </c>
      <c r="CN14" s="79"/>
      <c r="CO14" s="78"/>
      <c r="CP14" s="78">
        <f t="shared" si="56"/>
        <v>3723.316026</v>
      </c>
      <c r="CQ14" s="78">
        <f t="shared" si="57"/>
        <v>3723.316026</v>
      </c>
      <c r="CR14" s="79">
        <f t="shared" si="58"/>
        <v>1203.128931</v>
      </c>
      <c r="CS14" s="77">
        <f t="shared" si="59"/>
        <v>58.874595</v>
      </c>
      <c r="CT14" s="79"/>
      <c r="CU14" s="78"/>
      <c r="CV14" s="78">
        <f t="shared" si="60"/>
        <v>25012.6453938</v>
      </c>
      <c r="CW14" s="78">
        <f t="shared" si="61"/>
        <v>25012.6453938</v>
      </c>
      <c r="CX14" s="79">
        <f t="shared" si="62"/>
        <v>8082.4289703</v>
      </c>
      <c r="CY14" s="77">
        <f t="shared" si="63"/>
        <v>395.5101735</v>
      </c>
      <c r="CZ14" s="79"/>
      <c r="DA14" s="78"/>
      <c r="DB14" s="78">
        <f t="shared" si="64"/>
        <v>3608.7830016</v>
      </c>
      <c r="DC14" s="78">
        <f t="shared" si="65"/>
        <v>3608.7830016</v>
      </c>
      <c r="DD14" s="79">
        <f t="shared" si="66"/>
        <v>1166.1194496</v>
      </c>
      <c r="DE14" s="77">
        <f t="shared" si="67"/>
        <v>57.063552</v>
      </c>
      <c r="DF14" s="79"/>
      <c r="DG14" s="78"/>
      <c r="DH14" s="78">
        <f t="shared" si="68"/>
        <v>7373.7938136</v>
      </c>
      <c r="DI14" s="78">
        <f t="shared" si="69"/>
        <v>7373.7938136</v>
      </c>
      <c r="DJ14" s="79">
        <f t="shared" si="70"/>
        <v>2382.7213716</v>
      </c>
      <c r="DK14" s="77">
        <f t="shared" si="71"/>
        <v>116.597442</v>
      </c>
      <c r="DL14" s="79"/>
      <c r="DM14" s="78"/>
      <c r="DN14" s="78">
        <f t="shared" si="72"/>
        <v>1195.8745356</v>
      </c>
      <c r="DO14" s="78">
        <f t="shared" si="73"/>
        <v>1195.8745356</v>
      </c>
      <c r="DP14" s="79">
        <f t="shared" si="74"/>
        <v>386.4273786</v>
      </c>
      <c r="DQ14" s="77">
        <f t="shared" si="75"/>
        <v>18.909657</v>
      </c>
      <c r="DR14" s="79"/>
      <c r="DS14" s="78"/>
      <c r="DT14" s="78">
        <f t="shared" si="76"/>
        <v>6134.579391599999</v>
      </c>
      <c r="DU14" s="78">
        <f t="shared" si="77"/>
        <v>6134.579391599999</v>
      </c>
      <c r="DV14" s="79">
        <f t="shared" si="78"/>
        <v>1982.2894146</v>
      </c>
      <c r="DW14" s="77">
        <f t="shared" si="79"/>
        <v>97.002477</v>
      </c>
      <c r="DX14" s="79"/>
      <c r="DY14" s="78"/>
      <c r="DZ14" s="78">
        <f t="shared" si="80"/>
        <v>54.827225399999996</v>
      </c>
      <c r="EA14" s="78">
        <f t="shared" si="81"/>
        <v>54.827225399999996</v>
      </c>
      <c r="EB14" s="79">
        <f t="shared" si="82"/>
        <v>17.7165249</v>
      </c>
      <c r="EC14" s="77">
        <f t="shared" si="83"/>
        <v>0.8669505000000001</v>
      </c>
      <c r="ED14" s="79"/>
      <c r="EE14" s="78"/>
      <c r="EF14" s="78">
        <f t="shared" si="84"/>
        <v>72.1575072</v>
      </c>
      <c r="EG14" s="78">
        <f t="shared" si="85"/>
        <v>72.1575072</v>
      </c>
      <c r="EH14" s="79">
        <f t="shared" si="86"/>
        <v>23.3165232</v>
      </c>
      <c r="EI14" s="77">
        <f t="shared" si="87"/>
        <v>1.140984</v>
      </c>
      <c r="EJ14" s="79"/>
      <c r="EK14" s="78"/>
      <c r="EL14" s="78">
        <f t="shared" si="88"/>
        <v>3635.8704306</v>
      </c>
      <c r="EM14" s="78">
        <f t="shared" si="89"/>
        <v>3635.8704306</v>
      </c>
      <c r="EN14" s="79">
        <f t="shared" si="90"/>
        <v>1174.8723111000002</v>
      </c>
      <c r="EO14" s="77">
        <f t="shared" si="91"/>
        <v>57.4918695</v>
      </c>
      <c r="EP14" s="79"/>
      <c r="EQ14" s="78"/>
      <c r="ER14" s="78">
        <f t="shared" si="92"/>
        <v>69.207672</v>
      </c>
      <c r="ES14" s="78">
        <f t="shared" si="93"/>
        <v>69.207672</v>
      </c>
      <c r="ET14" s="79">
        <f t="shared" si="94"/>
        <v>22.363332</v>
      </c>
      <c r="EU14" s="77">
        <f t="shared" si="95"/>
        <v>1.0943399999999999</v>
      </c>
      <c r="EV14" s="79"/>
      <c r="EW14" s="78"/>
      <c r="EX14" s="78">
        <f t="shared" si="96"/>
        <v>1034.1157842</v>
      </c>
      <c r="EY14" s="78">
        <f t="shared" si="97"/>
        <v>1034.1157842</v>
      </c>
      <c r="EZ14" s="79">
        <f t="shared" si="98"/>
        <v>334.15767270000003</v>
      </c>
      <c r="FA14" s="77">
        <f t="shared" si="99"/>
        <v>16.351861500000002</v>
      </c>
      <c r="FB14" s="79"/>
      <c r="FC14" s="78"/>
      <c r="FD14" s="78">
        <f t="shared" si="100"/>
        <v>718.3699626</v>
      </c>
      <c r="FE14" s="78">
        <f t="shared" si="101"/>
        <v>718.3699626</v>
      </c>
      <c r="FF14" s="79">
        <f t="shared" si="102"/>
        <v>232.1295531</v>
      </c>
      <c r="FG14" s="77">
        <f t="shared" si="103"/>
        <v>11.3591595</v>
      </c>
      <c r="FH14" s="79"/>
      <c r="FI14" s="78"/>
      <c r="FJ14" s="78">
        <f t="shared" si="104"/>
        <v>280.4328906</v>
      </c>
      <c r="FK14" s="78">
        <f t="shared" si="105"/>
        <v>280.4328906</v>
      </c>
      <c r="FL14" s="79">
        <f t="shared" si="106"/>
        <v>90.6173211</v>
      </c>
      <c r="FM14" s="77">
        <f t="shared" si="107"/>
        <v>4.4343195</v>
      </c>
      <c r="FN14" s="79"/>
      <c r="FO14" s="78"/>
      <c r="FP14" s="78">
        <f t="shared" si="108"/>
        <v>3151.5301818000003</v>
      </c>
      <c r="FQ14" s="78">
        <f t="shared" si="109"/>
        <v>3151.5301818000003</v>
      </c>
      <c r="FR14" s="79">
        <f t="shared" si="110"/>
        <v>1018.3656483000001</v>
      </c>
      <c r="FS14" s="77">
        <f t="shared" si="111"/>
        <v>49.8332835</v>
      </c>
      <c r="FT14" s="79"/>
      <c r="FU14" s="78"/>
      <c r="FV14" s="78">
        <f t="shared" si="112"/>
        <v>7102.9195236</v>
      </c>
      <c r="FW14" s="78">
        <f t="shared" si="113"/>
        <v>7102.9195236</v>
      </c>
      <c r="FX14" s="79">
        <f t="shared" si="114"/>
        <v>2295.1927566</v>
      </c>
      <c r="FY14" s="77">
        <f t="shared" si="115"/>
        <v>112.314267</v>
      </c>
      <c r="FZ14" s="79"/>
      <c r="GA14" s="78"/>
      <c r="GB14" s="78">
        <f t="shared" si="116"/>
        <v>906.4219566000002</v>
      </c>
      <c r="GC14" s="78">
        <f t="shared" si="117"/>
        <v>906.4219566000002</v>
      </c>
      <c r="GD14" s="79">
        <f t="shared" si="118"/>
        <v>292.8954921</v>
      </c>
      <c r="GE14" s="77">
        <f t="shared" si="119"/>
        <v>14.3327145</v>
      </c>
      <c r="GF14" s="79"/>
      <c r="GG14" s="78"/>
      <c r="GH14" s="78">
        <f t="shared" si="120"/>
        <v>1439.4061224000002</v>
      </c>
      <c r="GI14" s="78">
        <f t="shared" si="121"/>
        <v>1439.4061224000002</v>
      </c>
      <c r="GJ14" s="79">
        <f t="shared" si="122"/>
        <v>465.1206444</v>
      </c>
      <c r="GK14" s="77">
        <f t="shared" si="123"/>
        <v>22.760478</v>
      </c>
      <c r="GL14" s="79"/>
      <c r="GM14" s="78"/>
      <c r="GN14" s="78">
        <f t="shared" si="124"/>
        <v>6670.8537582</v>
      </c>
      <c r="GO14" s="78">
        <f t="shared" si="125"/>
        <v>6670.8537582</v>
      </c>
      <c r="GP14" s="79">
        <f t="shared" si="126"/>
        <v>2155.5777417</v>
      </c>
      <c r="GQ14" s="77">
        <f t="shared" si="127"/>
        <v>105.4822665</v>
      </c>
      <c r="GR14" s="79"/>
      <c r="GS14" s="78"/>
      <c r="GT14" s="78">
        <f t="shared" si="128"/>
        <v>354.0369516</v>
      </c>
      <c r="GU14" s="78">
        <f t="shared" si="129"/>
        <v>354.0369516</v>
      </c>
      <c r="GV14" s="79">
        <f t="shared" si="130"/>
        <v>114.40127460000001</v>
      </c>
      <c r="GW14" s="77">
        <f t="shared" si="131"/>
        <v>5.598177000000001</v>
      </c>
      <c r="GX14" s="79"/>
      <c r="GY14" s="78"/>
      <c r="GZ14" s="78">
        <f t="shared" si="132"/>
        <v>2029.8269832000003</v>
      </c>
      <c r="HA14" s="78">
        <f t="shared" si="133"/>
        <v>2029.8269832000003</v>
      </c>
      <c r="HB14" s="79">
        <f t="shared" si="134"/>
        <v>655.9055292</v>
      </c>
      <c r="HC14" s="77">
        <f t="shared" si="135"/>
        <v>32.096454</v>
      </c>
      <c r="HD14" s="79"/>
      <c r="HE14" s="79"/>
      <c r="HF14" s="79"/>
      <c r="HG14" s="79"/>
      <c r="HH14" s="79"/>
      <c r="HI14" s="79"/>
    </row>
    <row r="15" spans="1:217" s="52" customFormat="1" ht="12.75">
      <c r="A15" s="51">
        <v>45017</v>
      </c>
      <c r="C15" s="42">
        <v>6540000</v>
      </c>
      <c r="D15" s="42">
        <v>283638</v>
      </c>
      <c r="E15" s="77">
        <f t="shared" si="0"/>
        <v>6823638</v>
      </c>
      <c r="F15" s="77">
        <v>91653</v>
      </c>
      <c r="G15" s="77">
        <v>4485</v>
      </c>
      <c r="H15" s="79"/>
      <c r="I15" s="79">
        <f>O15+U15+AA15+AG15+AM15+AS15+AY15+BE15+BK15+BQ15+BW15+CC15+CI15+CO15+CU15+DA15+DG15+DM15+DS15+DY15+EE15+EK15+EQ15+EW15+FC15+FI15+FO15+FU15+GA15+GG15+GM15+GS15+GY15</f>
        <v>3550081.3860000004</v>
      </c>
      <c r="J15" s="79">
        <f t="shared" si="1"/>
        <v>153966.0526242</v>
      </c>
      <c r="K15" s="79">
        <f t="shared" si="2"/>
        <v>3704047.4386242004</v>
      </c>
      <c r="L15" s="79">
        <f t="shared" si="3"/>
        <v>49751.6222127</v>
      </c>
      <c r="M15" s="79">
        <f t="shared" si="3"/>
        <v>2434.5741615</v>
      </c>
      <c r="N15" s="79"/>
      <c r="O15" s="78">
        <f t="shared" si="136"/>
        <v>432589.60799999995</v>
      </c>
      <c r="P15" s="78">
        <f t="shared" si="4"/>
        <v>18761.2922376</v>
      </c>
      <c r="Q15" s="79">
        <f t="shared" si="5"/>
        <v>451350.90023759997</v>
      </c>
      <c r="R15" s="79">
        <f t="shared" si="6"/>
        <v>6062.4060156000005</v>
      </c>
      <c r="S15" s="77">
        <f t="shared" si="7"/>
        <v>296.661222</v>
      </c>
      <c r="T15" s="79"/>
      <c r="U15" s="78">
        <f t="shared" si="137"/>
        <v>7387.584</v>
      </c>
      <c r="V15" s="78">
        <f t="shared" si="8"/>
        <v>320.39748480000003</v>
      </c>
      <c r="W15" s="78">
        <f t="shared" si="9"/>
        <v>7707.9814848</v>
      </c>
      <c r="X15" s="79">
        <f t="shared" si="10"/>
        <v>103.5312288</v>
      </c>
      <c r="Y15" s="77">
        <f t="shared" si="11"/>
        <v>5.066255999999999</v>
      </c>
      <c r="Z15" s="79"/>
      <c r="AA15" s="79">
        <f t="shared" si="138"/>
        <v>33350.075999999994</v>
      </c>
      <c r="AB15" s="78">
        <f t="shared" si="12"/>
        <v>1446.3836172</v>
      </c>
      <c r="AC15" s="78">
        <f t="shared" si="13"/>
        <v>34796.459617199995</v>
      </c>
      <c r="AD15" s="79">
        <f t="shared" si="14"/>
        <v>467.37530819999995</v>
      </c>
      <c r="AE15" s="77">
        <f t="shared" si="15"/>
        <v>22.870808999999998</v>
      </c>
      <c r="AF15" s="79"/>
      <c r="AG15" s="78">
        <f t="shared" si="139"/>
        <v>579965.238</v>
      </c>
      <c r="AH15" s="78">
        <f t="shared" si="16"/>
        <v>25152.932748599997</v>
      </c>
      <c r="AI15" s="78">
        <f t="shared" si="17"/>
        <v>605118.1707486</v>
      </c>
      <c r="AJ15" s="79">
        <f t="shared" si="18"/>
        <v>8127.7605441</v>
      </c>
      <c r="AK15" s="77">
        <f t="shared" si="19"/>
        <v>397.7284545</v>
      </c>
      <c r="AL15" s="79"/>
      <c r="AM15" s="78">
        <f t="shared" si="140"/>
        <v>7025.268</v>
      </c>
      <c r="AN15" s="78">
        <f t="shared" si="20"/>
        <v>304.68393960000003</v>
      </c>
      <c r="AO15" s="78">
        <f t="shared" si="21"/>
        <v>7329.9519396</v>
      </c>
      <c r="AP15" s="79">
        <f t="shared" si="22"/>
        <v>98.4536526</v>
      </c>
      <c r="AQ15" s="77">
        <f t="shared" si="23"/>
        <v>4.817787</v>
      </c>
      <c r="AR15" s="78"/>
      <c r="AS15" s="78">
        <f t="shared" si="141"/>
        <v>5924.585999999999</v>
      </c>
      <c r="AT15" s="78">
        <f t="shared" si="24"/>
        <v>256.9476642</v>
      </c>
      <c r="AU15" s="78">
        <f t="shared" si="25"/>
        <v>6181.533664199999</v>
      </c>
      <c r="AV15" s="79">
        <f t="shared" si="26"/>
        <v>83.0284527</v>
      </c>
      <c r="AW15" s="77">
        <f t="shared" si="27"/>
        <v>4.0629615</v>
      </c>
      <c r="AX15" s="79"/>
      <c r="AY15" s="78">
        <f t="shared" si="142"/>
        <v>243070.87200000003</v>
      </c>
      <c r="AZ15" s="78">
        <f t="shared" si="28"/>
        <v>10541.9168184</v>
      </c>
      <c r="BA15" s="78">
        <f t="shared" si="29"/>
        <v>253612.78881840003</v>
      </c>
      <c r="BB15" s="79">
        <f t="shared" si="30"/>
        <v>3406.4487204</v>
      </c>
      <c r="BC15" s="77">
        <f t="shared" si="31"/>
        <v>166.693098</v>
      </c>
      <c r="BD15" s="79"/>
      <c r="BE15" s="78">
        <f t="shared" si="143"/>
        <v>498755.442</v>
      </c>
      <c r="BF15" s="78">
        <f t="shared" si="32"/>
        <v>21630.886247399998</v>
      </c>
      <c r="BG15" s="78">
        <f t="shared" si="33"/>
        <v>520386.3282474</v>
      </c>
      <c r="BH15" s="79">
        <f t="shared" si="34"/>
        <v>6989.6685819</v>
      </c>
      <c r="BI15" s="77">
        <f t="shared" si="35"/>
        <v>342.03641550000003</v>
      </c>
      <c r="BJ15" s="79"/>
      <c r="BK15" s="78">
        <f t="shared" si="144"/>
        <v>5757.816</v>
      </c>
      <c r="BL15" s="78">
        <f t="shared" si="36"/>
        <v>249.7148952</v>
      </c>
      <c r="BM15" s="78">
        <f t="shared" si="37"/>
        <v>6007.5308952</v>
      </c>
      <c r="BN15" s="79">
        <f t="shared" si="38"/>
        <v>80.6913012</v>
      </c>
      <c r="BO15" s="77">
        <f t="shared" si="39"/>
        <v>3.9485940000000004</v>
      </c>
      <c r="BP15" s="79"/>
      <c r="BQ15" s="78">
        <f t="shared" si="145"/>
        <v>3867.756</v>
      </c>
      <c r="BR15" s="78">
        <f t="shared" si="40"/>
        <v>167.74351319999997</v>
      </c>
      <c r="BS15" s="78">
        <f t="shared" si="41"/>
        <v>4035.4995132</v>
      </c>
      <c r="BT15" s="79">
        <f t="shared" si="42"/>
        <v>54.203584199999995</v>
      </c>
      <c r="BU15" s="77">
        <f t="shared" si="43"/>
        <v>2.6524289999999997</v>
      </c>
      <c r="BV15" s="79"/>
      <c r="BW15" s="78">
        <f t="shared" si="146"/>
        <v>-576.174</v>
      </c>
      <c r="BX15" s="78">
        <f t="shared" si="44"/>
        <v>-24.9885078</v>
      </c>
      <c r="BY15" s="78">
        <f t="shared" si="45"/>
        <v>-601.1625078</v>
      </c>
      <c r="BZ15" s="79">
        <f t="shared" si="46"/>
        <v>-8.0746293</v>
      </c>
      <c r="CA15" s="77">
        <f t="shared" si="47"/>
        <v>-0.3951285</v>
      </c>
      <c r="CB15" s="78"/>
      <c r="CC15" s="78">
        <f t="shared" si="147"/>
        <v>-375.39599999999996</v>
      </c>
      <c r="CD15" s="78">
        <f t="shared" si="48"/>
        <v>-16.280821200000002</v>
      </c>
      <c r="CE15" s="78">
        <f t="shared" si="49"/>
        <v>-391.67682119999995</v>
      </c>
      <c r="CF15" s="79">
        <f t="shared" si="50"/>
        <v>-5.2608822</v>
      </c>
      <c r="CG15" s="77">
        <f t="shared" si="51"/>
        <v>-0.257439</v>
      </c>
      <c r="CH15" s="79"/>
      <c r="CI15" s="78">
        <f t="shared" si="148"/>
        <v>13960.284000000001</v>
      </c>
      <c r="CJ15" s="78">
        <f t="shared" si="52"/>
        <v>605.4536748</v>
      </c>
      <c r="CK15" s="78">
        <f t="shared" si="53"/>
        <v>14565.737674800002</v>
      </c>
      <c r="CL15" s="79">
        <f t="shared" si="54"/>
        <v>195.64249379999998</v>
      </c>
      <c r="CM15" s="77">
        <f t="shared" si="55"/>
        <v>9.573681</v>
      </c>
      <c r="CN15" s="79"/>
      <c r="CO15" s="78">
        <f t="shared" si="149"/>
        <v>85850.58</v>
      </c>
      <c r="CP15" s="78">
        <f t="shared" si="56"/>
        <v>3723.316026</v>
      </c>
      <c r="CQ15" s="78">
        <f t="shared" si="57"/>
        <v>89573.896026</v>
      </c>
      <c r="CR15" s="79">
        <f t="shared" si="58"/>
        <v>1203.128931</v>
      </c>
      <c r="CS15" s="77">
        <f t="shared" si="59"/>
        <v>58.874595</v>
      </c>
      <c r="CT15" s="79"/>
      <c r="CU15" s="78">
        <f t="shared" si="150"/>
        <v>576730.554</v>
      </c>
      <c r="CV15" s="78">
        <f t="shared" si="60"/>
        <v>25012.6453938</v>
      </c>
      <c r="CW15" s="78">
        <f t="shared" si="61"/>
        <v>601743.1993938</v>
      </c>
      <c r="CX15" s="79">
        <f t="shared" si="62"/>
        <v>8082.4289703</v>
      </c>
      <c r="CY15" s="77">
        <f t="shared" si="63"/>
        <v>395.5101735</v>
      </c>
      <c r="CZ15" s="79"/>
      <c r="DA15" s="78">
        <f t="shared" si="151"/>
        <v>83209.72799999999</v>
      </c>
      <c r="DB15" s="78">
        <f t="shared" si="64"/>
        <v>3608.7830016</v>
      </c>
      <c r="DC15" s="78">
        <f t="shared" si="65"/>
        <v>86818.51100159998</v>
      </c>
      <c r="DD15" s="79">
        <f t="shared" si="66"/>
        <v>1166.1194496</v>
      </c>
      <c r="DE15" s="77">
        <f t="shared" si="67"/>
        <v>57.063552</v>
      </c>
      <c r="DF15" s="79"/>
      <c r="DG15" s="78">
        <f t="shared" si="152"/>
        <v>170021.688</v>
      </c>
      <c r="DH15" s="78">
        <f t="shared" si="68"/>
        <v>7373.7938136</v>
      </c>
      <c r="DI15" s="78">
        <f t="shared" si="69"/>
        <v>177395.4818136</v>
      </c>
      <c r="DJ15" s="79">
        <f t="shared" si="70"/>
        <v>2382.7213716</v>
      </c>
      <c r="DK15" s="77">
        <f t="shared" si="71"/>
        <v>116.597442</v>
      </c>
      <c r="DL15" s="79"/>
      <c r="DM15" s="78">
        <f t="shared" si="153"/>
        <v>27573.947999999997</v>
      </c>
      <c r="DN15" s="78">
        <f t="shared" si="72"/>
        <v>1195.8745356</v>
      </c>
      <c r="DO15" s="78">
        <f t="shared" si="73"/>
        <v>28769.822535599997</v>
      </c>
      <c r="DP15" s="79">
        <f t="shared" si="74"/>
        <v>386.4273786</v>
      </c>
      <c r="DQ15" s="77">
        <f t="shared" si="75"/>
        <v>18.909657</v>
      </c>
      <c r="DR15" s="79"/>
      <c r="DS15" s="78">
        <f t="shared" si="154"/>
        <v>141448.42799999999</v>
      </c>
      <c r="DT15" s="78">
        <f t="shared" si="76"/>
        <v>6134.579391599999</v>
      </c>
      <c r="DU15" s="78">
        <f t="shared" si="77"/>
        <v>147583.0073916</v>
      </c>
      <c r="DV15" s="79">
        <f t="shared" si="78"/>
        <v>1982.2894146</v>
      </c>
      <c r="DW15" s="77">
        <f t="shared" si="79"/>
        <v>97.002477</v>
      </c>
      <c r="DX15" s="79"/>
      <c r="DY15" s="78">
        <f t="shared" si="155"/>
        <v>1264.182</v>
      </c>
      <c r="DZ15" s="78">
        <f t="shared" si="80"/>
        <v>54.827225399999996</v>
      </c>
      <c r="EA15" s="78">
        <f t="shared" si="81"/>
        <v>1319.0092254</v>
      </c>
      <c r="EB15" s="79">
        <f t="shared" si="82"/>
        <v>17.7165249</v>
      </c>
      <c r="EC15" s="77">
        <f t="shared" si="83"/>
        <v>0.8669505000000001</v>
      </c>
      <c r="ED15" s="79"/>
      <c r="EE15" s="78">
        <f t="shared" si="156"/>
        <v>1663.776</v>
      </c>
      <c r="EF15" s="78">
        <f t="shared" si="84"/>
        <v>72.1575072</v>
      </c>
      <c r="EG15" s="78">
        <f t="shared" si="85"/>
        <v>1735.9335072000001</v>
      </c>
      <c r="EH15" s="79">
        <f t="shared" si="86"/>
        <v>23.3165232</v>
      </c>
      <c r="EI15" s="77">
        <f t="shared" si="87"/>
        <v>1.140984</v>
      </c>
      <c r="EJ15" s="79"/>
      <c r="EK15" s="78">
        <f t="shared" si="157"/>
        <v>83834.29800000001</v>
      </c>
      <c r="EL15" s="78">
        <f t="shared" si="88"/>
        <v>3635.8704306</v>
      </c>
      <c r="EM15" s="78">
        <f t="shared" si="89"/>
        <v>87470.16843060001</v>
      </c>
      <c r="EN15" s="79">
        <f t="shared" si="90"/>
        <v>1174.8723111000002</v>
      </c>
      <c r="EO15" s="77">
        <f t="shared" si="91"/>
        <v>57.4918695</v>
      </c>
      <c r="EP15" s="79"/>
      <c r="EQ15" s="78">
        <f t="shared" si="158"/>
        <v>1595.76</v>
      </c>
      <c r="ER15" s="78">
        <f t="shared" si="92"/>
        <v>69.207672</v>
      </c>
      <c r="ES15" s="78">
        <f t="shared" si="93"/>
        <v>1664.967672</v>
      </c>
      <c r="ET15" s="79">
        <f t="shared" si="94"/>
        <v>22.363332</v>
      </c>
      <c r="EU15" s="77">
        <f t="shared" si="95"/>
        <v>1.0943399999999999</v>
      </c>
      <c r="EV15" s="79"/>
      <c r="EW15" s="78">
        <f t="shared" si="159"/>
        <v>23844.186</v>
      </c>
      <c r="EX15" s="78">
        <f t="shared" si="96"/>
        <v>1034.1157842</v>
      </c>
      <c r="EY15" s="78">
        <f t="shared" si="97"/>
        <v>24878.3017842</v>
      </c>
      <c r="EZ15" s="79">
        <f t="shared" si="98"/>
        <v>334.15767270000003</v>
      </c>
      <c r="FA15" s="77">
        <f t="shared" si="99"/>
        <v>16.351861500000002</v>
      </c>
      <c r="FB15" s="79"/>
      <c r="FC15" s="78">
        <f t="shared" si="160"/>
        <v>16563.858</v>
      </c>
      <c r="FD15" s="78">
        <f t="shared" si="100"/>
        <v>718.3699626</v>
      </c>
      <c r="FE15" s="78">
        <f t="shared" si="101"/>
        <v>17282.2279626</v>
      </c>
      <c r="FF15" s="79">
        <f t="shared" si="102"/>
        <v>232.1295531</v>
      </c>
      <c r="FG15" s="77">
        <f t="shared" si="103"/>
        <v>11.3591595</v>
      </c>
      <c r="FH15" s="79"/>
      <c r="FI15" s="78">
        <f t="shared" si="161"/>
        <v>6466.098000000001</v>
      </c>
      <c r="FJ15" s="78">
        <f t="shared" si="104"/>
        <v>280.4328906</v>
      </c>
      <c r="FK15" s="78">
        <f t="shared" si="105"/>
        <v>6746.530890600001</v>
      </c>
      <c r="FL15" s="79">
        <f t="shared" si="106"/>
        <v>90.6173211</v>
      </c>
      <c r="FM15" s="77">
        <f t="shared" si="107"/>
        <v>4.4343195</v>
      </c>
      <c r="FN15" s="79"/>
      <c r="FO15" s="78">
        <f t="shared" si="162"/>
        <v>72666.594</v>
      </c>
      <c r="FP15" s="78">
        <f t="shared" si="108"/>
        <v>3151.5301818000003</v>
      </c>
      <c r="FQ15" s="78">
        <f t="shared" si="109"/>
        <v>75818.1241818</v>
      </c>
      <c r="FR15" s="79">
        <f t="shared" si="110"/>
        <v>1018.3656483000001</v>
      </c>
      <c r="FS15" s="77">
        <f t="shared" si="111"/>
        <v>49.8332835</v>
      </c>
      <c r="FT15" s="79"/>
      <c r="FU15" s="78">
        <f t="shared" si="163"/>
        <v>163775.988</v>
      </c>
      <c r="FV15" s="78">
        <f t="shared" si="112"/>
        <v>7102.9195236</v>
      </c>
      <c r="FW15" s="78">
        <f t="shared" si="113"/>
        <v>170878.9075236</v>
      </c>
      <c r="FX15" s="79">
        <f t="shared" si="114"/>
        <v>2295.1927566</v>
      </c>
      <c r="FY15" s="77">
        <f t="shared" si="115"/>
        <v>112.314267</v>
      </c>
      <c r="FZ15" s="79"/>
      <c r="GA15" s="78">
        <f t="shared" si="164"/>
        <v>20899.878</v>
      </c>
      <c r="GB15" s="78">
        <f t="shared" si="116"/>
        <v>906.4219566000002</v>
      </c>
      <c r="GC15" s="78">
        <f t="shared" si="117"/>
        <v>21806.2999566</v>
      </c>
      <c r="GD15" s="79">
        <f t="shared" si="118"/>
        <v>292.8954921</v>
      </c>
      <c r="GE15" s="77">
        <f t="shared" si="119"/>
        <v>14.3327145</v>
      </c>
      <c r="GF15" s="79"/>
      <c r="GG15" s="78">
        <f t="shared" si="165"/>
        <v>33189.192</v>
      </c>
      <c r="GH15" s="78">
        <f t="shared" si="120"/>
        <v>1439.4061224000002</v>
      </c>
      <c r="GI15" s="78">
        <f t="shared" si="121"/>
        <v>34628.598122400006</v>
      </c>
      <c r="GJ15" s="79">
        <f t="shared" si="122"/>
        <v>465.1206444</v>
      </c>
      <c r="GK15" s="77">
        <f t="shared" si="123"/>
        <v>22.760478</v>
      </c>
      <c r="GL15" s="79"/>
      <c r="GM15" s="78">
        <f t="shared" si="166"/>
        <v>153813.606</v>
      </c>
      <c r="GN15" s="78">
        <f t="shared" si="124"/>
        <v>6670.8537582</v>
      </c>
      <c r="GO15" s="78">
        <f t="shared" si="125"/>
        <v>160484.4597582</v>
      </c>
      <c r="GP15" s="79">
        <f t="shared" si="126"/>
        <v>2155.5777417</v>
      </c>
      <c r="GQ15" s="77">
        <f t="shared" si="127"/>
        <v>105.4822665</v>
      </c>
      <c r="GR15" s="79"/>
      <c r="GS15" s="78">
        <f t="shared" si="167"/>
        <v>8163.228</v>
      </c>
      <c r="GT15" s="78">
        <f t="shared" si="128"/>
        <v>354.0369516</v>
      </c>
      <c r="GU15" s="78">
        <f t="shared" si="129"/>
        <v>8517.2649516</v>
      </c>
      <c r="GV15" s="79">
        <f t="shared" si="130"/>
        <v>114.40127460000001</v>
      </c>
      <c r="GW15" s="77">
        <f t="shared" si="131"/>
        <v>5.598177000000001</v>
      </c>
      <c r="GX15" s="79"/>
      <c r="GY15" s="78">
        <f t="shared" si="168"/>
        <v>46802.85600000001</v>
      </c>
      <c r="GZ15" s="78">
        <f t="shared" si="132"/>
        <v>2029.8269832000003</v>
      </c>
      <c r="HA15" s="78">
        <f t="shared" si="133"/>
        <v>48832.68298320001</v>
      </c>
      <c r="HB15" s="79">
        <f t="shared" si="134"/>
        <v>655.9055292</v>
      </c>
      <c r="HC15" s="77">
        <f t="shared" si="135"/>
        <v>32.096454</v>
      </c>
      <c r="HD15" s="79"/>
      <c r="HE15" s="79"/>
      <c r="HF15" s="79"/>
      <c r="HG15" s="79"/>
      <c r="HH15" s="79"/>
      <c r="HI15" s="79"/>
    </row>
    <row r="16" spans="1:217" s="52" customFormat="1" ht="12.75">
      <c r="A16" s="51">
        <v>45200</v>
      </c>
      <c r="C16" s="42"/>
      <c r="D16" s="42">
        <v>120138</v>
      </c>
      <c r="E16" s="77">
        <f t="shared" si="0"/>
        <v>120138</v>
      </c>
      <c r="F16" s="77">
        <v>91653</v>
      </c>
      <c r="G16" s="77">
        <v>4485</v>
      </c>
      <c r="H16" s="79"/>
      <c r="I16" s="79"/>
      <c r="J16" s="79">
        <f t="shared" si="1"/>
        <v>65214.0179742</v>
      </c>
      <c r="K16" s="79">
        <f t="shared" si="2"/>
        <v>65214.0179742</v>
      </c>
      <c r="L16" s="79">
        <f t="shared" si="3"/>
        <v>49751.6222127</v>
      </c>
      <c r="M16" s="79">
        <f t="shared" si="3"/>
        <v>2434.5741615</v>
      </c>
      <c r="N16" s="79"/>
      <c r="O16" s="78"/>
      <c r="P16" s="78">
        <f t="shared" si="4"/>
        <v>7946.5520375999995</v>
      </c>
      <c r="Q16" s="79">
        <f t="shared" si="5"/>
        <v>7946.5520375999995</v>
      </c>
      <c r="R16" s="79">
        <f t="shared" si="6"/>
        <v>6062.4060156000005</v>
      </c>
      <c r="S16" s="77">
        <f t="shared" si="7"/>
        <v>296.661222</v>
      </c>
      <c r="T16" s="79"/>
      <c r="U16" s="78"/>
      <c r="V16" s="78">
        <f t="shared" si="8"/>
        <v>135.70788480000002</v>
      </c>
      <c r="W16" s="78">
        <f t="shared" si="9"/>
        <v>135.70788480000002</v>
      </c>
      <c r="X16" s="79">
        <f t="shared" si="10"/>
        <v>103.5312288</v>
      </c>
      <c r="Y16" s="77">
        <f t="shared" si="11"/>
        <v>5.066255999999999</v>
      </c>
      <c r="Z16" s="79"/>
      <c r="AA16" s="79"/>
      <c r="AB16" s="78">
        <f t="shared" si="12"/>
        <v>612.6317171999999</v>
      </c>
      <c r="AC16" s="78">
        <f t="shared" si="13"/>
        <v>612.6317171999999</v>
      </c>
      <c r="AD16" s="79">
        <f t="shared" si="14"/>
        <v>467.37530819999995</v>
      </c>
      <c r="AE16" s="77">
        <f t="shared" si="15"/>
        <v>22.870808999999998</v>
      </c>
      <c r="AF16" s="79"/>
      <c r="AG16" s="78"/>
      <c r="AH16" s="78">
        <f t="shared" si="16"/>
        <v>10653.8017986</v>
      </c>
      <c r="AI16" s="78">
        <f t="shared" si="17"/>
        <v>10653.8017986</v>
      </c>
      <c r="AJ16" s="79">
        <f t="shared" si="18"/>
        <v>8127.7605441</v>
      </c>
      <c r="AK16" s="77">
        <f t="shared" si="19"/>
        <v>397.7284545</v>
      </c>
      <c r="AL16" s="79"/>
      <c r="AM16" s="78"/>
      <c r="AN16" s="78">
        <f t="shared" si="20"/>
        <v>129.0522396</v>
      </c>
      <c r="AO16" s="78">
        <f t="shared" si="21"/>
        <v>129.0522396</v>
      </c>
      <c r="AP16" s="79">
        <f t="shared" si="22"/>
        <v>98.4536526</v>
      </c>
      <c r="AQ16" s="77">
        <f t="shared" si="23"/>
        <v>4.817787</v>
      </c>
      <c r="AR16" s="78"/>
      <c r="AS16" s="78"/>
      <c r="AT16" s="78">
        <f t="shared" si="24"/>
        <v>108.8330142</v>
      </c>
      <c r="AU16" s="78">
        <f t="shared" si="25"/>
        <v>108.8330142</v>
      </c>
      <c r="AV16" s="79">
        <f t="shared" si="26"/>
        <v>83.0284527</v>
      </c>
      <c r="AW16" s="77">
        <f t="shared" si="27"/>
        <v>4.0629615</v>
      </c>
      <c r="AX16" s="79"/>
      <c r="AY16" s="78"/>
      <c r="AZ16" s="78">
        <f t="shared" si="28"/>
        <v>4465.1450184000005</v>
      </c>
      <c r="BA16" s="78">
        <f t="shared" si="29"/>
        <v>4465.1450184000005</v>
      </c>
      <c r="BB16" s="79">
        <f t="shared" si="30"/>
        <v>3406.4487204</v>
      </c>
      <c r="BC16" s="77">
        <f t="shared" si="31"/>
        <v>166.693098</v>
      </c>
      <c r="BD16" s="79"/>
      <c r="BE16" s="78"/>
      <c r="BF16" s="78">
        <f t="shared" si="32"/>
        <v>9162.000197399999</v>
      </c>
      <c r="BG16" s="78">
        <f t="shared" si="33"/>
        <v>9162.000197399999</v>
      </c>
      <c r="BH16" s="79">
        <f t="shared" si="34"/>
        <v>6989.6685819</v>
      </c>
      <c r="BI16" s="77">
        <f t="shared" si="35"/>
        <v>342.03641550000003</v>
      </c>
      <c r="BJ16" s="79"/>
      <c r="BK16" s="78"/>
      <c r="BL16" s="78">
        <f t="shared" si="36"/>
        <v>105.76949519999998</v>
      </c>
      <c r="BM16" s="78">
        <f t="shared" si="37"/>
        <v>105.76949519999998</v>
      </c>
      <c r="BN16" s="79">
        <f t="shared" si="38"/>
        <v>80.6913012</v>
      </c>
      <c r="BO16" s="77">
        <f t="shared" si="39"/>
        <v>3.9485940000000004</v>
      </c>
      <c r="BP16" s="79"/>
      <c r="BQ16" s="78"/>
      <c r="BR16" s="78">
        <f t="shared" si="40"/>
        <v>71.0496132</v>
      </c>
      <c r="BS16" s="78">
        <f t="shared" si="41"/>
        <v>71.0496132</v>
      </c>
      <c r="BT16" s="79">
        <f t="shared" si="42"/>
        <v>54.203584199999995</v>
      </c>
      <c r="BU16" s="77">
        <f t="shared" si="43"/>
        <v>2.6524289999999997</v>
      </c>
      <c r="BV16" s="79"/>
      <c r="BW16" s="78"/>
      <c r="BX16" s="78">
        <f t="shared" si="44"/>
        <v>-10.5841578</v>
      </c>
      <c r="BY16" s="78">
        <f t="shared" si="45"/>
        <v>-10.5841578</v>
      </c>
      <c r="BZ16" s="79">
        <f t="shared" si="46"/>
        <v>-8.0746293</v>
      </c>
      <c r="CA16" s="77">
        <f t="shared" si="47"/>
        <v>-0.3951285</v>
      </c>
      <c r="CB16" s="78"/>
      <c r="CC16" s="78"/>
      <c r="CD16" s="78">
        <f t="shared" si="48"/>
        <v>-6.8959212</v>
      </c>
      <c r="CE16" s="78">
        <f t="shared" si="49"/>
        <v>-6.8959212</v>
      </c>
      <c r="CF16" s="79">
        <f t="shared" si="50"/>
        <v>-5.2608822</v>
      </c>
      <c r="CG16" s="77">
        <f t="shared" si="51"/>
        <v>-0.257439</v>
      </c>
      <c r="CH16" s="79"/>
      <c r="CI16" s="78"/>
      <c r="CJ16" s="78">
        <f t="shared" si="52"/>
        <v>256.4465748</v>
      </c>
      <c r="CK16" s="78">
        <f t="shared" si="53"/>
        <v>256.4465748</v>
      </c>
      <c r="CL16" s="79">
        <f t="shared" si="54"/>
        <v>195.64249379999998</v>
      </c>
      <c r="CM16" s="77">
        <f t="shared" si="55"/>
        <v>9.573681</v>
      </c>
      <c r="CN16" s="79"/>
      <c r="CO16" s="78"/>
      <c r="CP16" s="78">
        <f t="shared" si="56"/>
        <v>1577.051526</v>
      </c>
      <c r="CQ16" s="78">
        <f t="shared" si="57"/>
        <v>1577.051526</v>
      </c>
      <c r="CR16" s="79">
        <f t="shared" si="58"/>
        <v>1203.128931</v>
      </c>
      <c r="CS16" s="77">
        <f t="shared" si="59"/>
        <v>58.874595</v>
      </c>
      <c r="CT16" s="79"/>
      <c r="CU16" s="78"/>
      <c r="CV16" s="78">
        <f t="shared" si="60"/>
        <v>10594.3815438</v>
      </c>
      <c r="CW16" s="78">
        <f t="shared" si="61"/>
        <v>10594.3815438</v>
      </c>
      <c r="CX16" s="79">
        <f t="shared" si="62"/>
        <v>8082.4289703</v>
      </c>
      <c r="CY16" s="77">
        <f t="shared" si="63"/>
        <v>395.5101735</v>
      </c>
      <c r="CZ16" s="79"/>
      <c r="DA16" s="78"/>
      <c r="DB16" s="78">
        <f t="shared" si="64"/>
        <v>1528.5398015999997</v>
      </c>
      <c r="DC16" s="78">
        <f t="shared" si="65"/>
        <v>1528.5398015999997</v>
      </c>
      <c r="DD16" s="79">
        <f t="shared" si="66"/>
        <v>1166.1194496</v>
      </c>
      <c r="DE16" s="77">
        <f t="shared" si="67"/>
        <v>57.063552</v>
      </c>
      <c r="DF16" s="79"/>
      <c r="DG16" s="78"/>
      <c r="DH16" s="78">
        <f t="shared" si="68"/>
        <v>3123.2516136000004</v>
      </c>
      <c r="DI16" s="78">
        <f t="shared" si="69"/>
        <v>3123.2516136000004</v>
      </c>
      <c r="DJ16" s="79">
        <f t="shared" si="70"/>
        <v>2382.7213716</v>
      </c>
      <c r="DK16" s="77">
        <f t="shared" si="71"/>
        <v>116.597442</v>
      </c>
      <c r="DL16" s="79"/>
      <c r="DM16" s="78"/>
      <c r="DN16" s="78">
        <f t="shared" si="72"/>
        <v>506.5258356</v>
      </c>
      <c r="DO16" s="78">
        <f t="shared" si="73"/>
        <v>506.5258356</v>
      </c>
      <c r="DP16" s="79">
        <f t="shared" si="74"/>
        <v>386.4273786</v>
      </c>
      <c r="DQ16" s="77">
        <f t="shared" si="75"/>
        <v>18.909657</v>
      </c>
      <c r="DR16" s="79"/>
      <c r="DS16" s="78"/>
      <c r="DT16" s="78">
        <f t="shared" si="76"/>
        <v>2598.3686916</v>
      </c>
      <c r="DU16" s="78">
        <f t="shared" si="77"/>
        <v>2598.3686916</v>
      </c>
      <c r="DV16" s="79">
        <f t="shared" si="78"/>
        <v>1982.2894146</v>
      </c>
      <c r="DW16" s="77">
        <f t="shared" si="79"/>
        <v>97.002477</v>
      </c>
      <c r="DX16" s="79"/>
      <c r="DY16" s="78"/>
      <c r="DZ16" s="78">
        <f t="shared" si="80"/>
        <v>23.2226754</v>
      </c>
      <c r="EA16" s="78">
        <f t="shared" si="81"/>
        <v>23.2226754</v>
      </c>
      <c r="EB16" s="79">
        <f t="shared" si="82"/>
        <v>17.7165249</v>
      </c>
      <c r="EC16" s="77">
        <f t="shared" si="83"/>
        <v>0.8669505000000001</v>
      </c>
      <c r="ED16" s="79"/>
      <c r="EE16" s="78"/>
      <c r="EF16" s="78">
        <f t="shared" si="84"/>
        <v>30.5631072</v>
      </c>
      <c r="EG16" s="78">
        <f t="shared" si="85"/>
        <v>30.5631072</v>
      </c>
      <c r="EH16" s="79">
        <f t="shared" si="86"/>
        <v>23.3165232</v>
      </c>
      <c r="EI16" s="77">
        <f t="shared" si="87"/>
        <v>1.140984</v>
      </c>
      <c r="EJ16" s="79"/>
      <c r="EK16" s="78"/>
      <c r="EL16" s="78">
        <f t="shared" si="88"/>
        <v>1540.0129806</v>
      </c>
      <c r="EM16" s="78">
        <f t="shared" si="89"/>
        <v>1540.0129806</v>
      </c>
      <c r="EN16" s="79">
        <f t="shared" si="90"/>
        <v>1174.8723111000002</v>
      </c>
      <c r="EO16" s="77">
        <f t="shared" si="91"/>
        <v>57.4918695</v>
      </c>
      <c r="EP16" s="79"/>
      <c r="EQ16" s="78"/>
      <c r="ER16" s="78">
        <f t="shared" si="92"/>
        <v>29.313672</v>
      </c>
      <c r="ES16" s="78">
        <f t="shared" si="93"/>
        <v>29.313672</v>
      </c>
      <c r="ET16" s="79">
        <f t="shared" si="94"/>
        <v>22.363332</v>
      </c>
      <c r="EU16" s="77">
        <f t="shared" si="95"/>
        <v>1.0943399999999999</v>
      </c>
      <c r="EV16" s="79"/>
      <c r="EW16" s="78"/>
      <c r="EX16" s="78">
        <f t="shared" si="96"/>
        <v>438.0111342</v>
      </c>
      <c r="EY16" s="78">
        <f t="shared" si="97"/>
        <v>438.0111342</v>
      </c>
      <c r="EZ16" s="79">
        <f t="shared" si="98"/>
        <v>334.15767270000003</v>
      </c>
      <c r="FA16" s="77">
        <f t="shared" si="99"/>
        <v>16.351861500000002</v>
      </c>
      <c r="FB16" s="79"/>
      <c r="FC16" s="78"/>
      <c r="FD16" s="78">
        <f t="shared" si="100"/>
        <v>304.2735126</v>
      </c>
      <c r="FE16" s="78">
        <f t="shared" si="101"/>
        <v>304.2735126</v>
      </c>
      <c r="FF16" s="79">
        <f t="shared" si="102"/>
        <v>232.1295531</v>
      </c>
      <c r="FG16" s="77">
        <f t="shared" si="103"/>
        <v>11.3591595</v>
      </c>
      <c r="FH16" s="79"/>
      <c r="FI16" s="78"/>
      <c r="FJ16" s="78">
        <f t="shared" si="104"/>
        <v>118.7804406</v>
      </c>
      <c r="FK16" s="78">
        <f t="shared" si="105"/>
        <v>118.7804406</v>
      </c>
      <c r="FL16" s="79">
        <f t="shared" si="106"/>
        <v>90.6173211</v>
      </c>
      <c r="FM16" s="77">
        <f t="shared" si="107"/>
        <v>4.4343195</v>
      </c>
      <c r="FN16" s="79"/>
      <c r="FO16" s="78"/>
      <c r="FP16" s="78">
        <f t="shared" si="108"/>
        <v>1334.8653318</v>
      </c>
      <c r="FQ16" s="78">
        <f t="shared" si="109"/>
        <v>1334.8653318</v>
      </c>
      <c r="FR16" s="79">
        <f t="shared" si="110"/>
        <v>1018.3656483000001</v>
      </c>
      <c r="FS16" s="77">
        <f t="shared" si="111"/>
        <v>49.8332835</v>
      </c>
      <c r="FT16" s="79"/>
      <c r="FU16" s="78"/>
      <c r="FV16" s="78">
        <f t="shared" si="112"/>
        <v>3008.5198236</v>
      </c>
      <c r="FW16" s="78">
        <f t="shared" si="113"/>
        <v>3008.5198236</v>
      </c>
      <c r="FX16" s="79">
        <f t="shared" si="114"/>
        <v>2295.1927566</v>
      </c>
      <c r="FY16" s="77">
        <f t="shared" si="115"/>
        <v>112.314267</v>
      </c>
      <c r="FZ16" s="79"/>
      <c r="GA16" s="78"/>
      <c r="GB16" s="78">
        <f t="shared" si="116"/>
        <v>383.9250066000001</v>
      </c>
      <c r="GC16" s="78">
        <f t="shared" si="117"/>
        <v>383.9250066000001</v>
      </c>
      <c r="GD16" s="79">
        <f t="shared" si="118"/>
        <v>292.8954921</v>
      </c>
      <c r="GE16" s="77">
        <f t="shared" si="119"/>
        <v>14.3327145</v>
      </c>
      <c r="GF16" s="79"/>
      <c r="GG16" s="78"/>
      <c r="GH16" s="78">
        <f t="shared" si="120"/>
        <v>609.6763224000001</v>
      </c>
      <c r="GI16" s="78">
        <f t="shared" si="121"/>
        <v>609.6763224000001</v>
      </c>
      <c r="GJ16" s="79">
        <f t="shared" si="122"/>
        <v>465.1206444</v>
      </c>
      <c r="GK16" s="77">
        <f t="shared" si="123"/>
        <v>22.760478</v>
      </c>
      <c r="GL16" s="79"/>
      <c r="GM16" s="78"/>
      <c r="GN16" s="78">
        <f t="shared" si="124"/>
        <v>2825.5136082</v>
      </c>
      <c r="GO16" s="78">
        <f t="shared" si="125"/>
        <v>2825.5136082</v>
      </c>
      <c r="GP16" s="79">
        <f t="shared" si="126"/>
        <v>2155.5777417</v>
      </c>
      <c r="GQ16" s="77">
        <f t="shared" si="127"/>
        <v>105.4822665</v>
      </c>
      <c r="GR16" s="79"/>
      <c r="GS16" s="78"/>
      <c r="GT16" s="78">
        <f t="shared" si="128"/>
        <v>149.9562516</v>
      </c>
      <c r="GU16" s="78">
        <f t="shared" si="129"/>
        <v>149.9562516</v>
      </c>
      <c r="GV16" s="79">
        <f t="shared" si="130"/>
        <v>114.40127460000001</v>
      </c>
      <c r="GW16" s="77">
        <f t="shared" si="131"/>
        <v>5.598177000000001</v>
      </c>
      <c r="GX16" s="79"/>
      <c r="GY16" s="78"/>
      <c r="GZ16" s="78">
        <f t="shared" si="132"/>
        <v>859.7555832000002</v>
      </c>
      <c r="HA16" s="78">
        <f t="shared" si="133"/>
        <v>859.7555832000002</v>
      </c>
      <c r="HB16" s="79">
        <f t="shared" si="134"/>
        <v>655.9055292</v>
      </c>
      <c r="HC16" s="77">
        <f t="shared" si="135"/>
        <v>32.096454</v>
      </c>
      <c r="HD16" s="79"/>
      <c r="HE16" s="79"/>
      <c r="HF16" s="79"/>
      <c r="HG16" s="79"/>
      <c r="HH16" s="79"/>
      <c r="HI16" s="79"/>
    </row>
    <row r="17" spans="1:217" s="52" customFormat="1" ht="12.75">
      <c r="A17" s="51">
        <v>45383</v>
      </c>
      <c r="C17" s="42">
        <v>6865000</v>
      </c>
      <c r="D17" s="42">
        <v>120138</v>
      </c>
      <c r="E17" s="77">
        <f t="shared" si="0"/>
        <v>6985138</v>
      </c>
      <c r="F17" s="77">
        <v>91653</v>
      </c>
      <c r="G17" s="77">
        <v>4485</v>
      </c>
      <c r="H17" s="79"/>
      <c r="I17" s="79">
        <f>O17+U17+AA17+AG17+AM17+AS17+AY17+BE17+BK17+BQ17+BW17+CC17+CI17+CO17+CU17+DA17+DG17+DM17+DS17+DY17+EE17+EK17+EQ17+EW17+FC17+FI17+FO17+FU17+GA17+GG17+GM17+GS17+GY17</f>
        <v>3726499.8035</v>
      </c>
      <c r="J17" s="79">
        <f t="shared" si="1"/>
        <v>65214.0179742</v>
      </c>
      <c r="K17" s="79">
        <f t="shared" si="2"/>
        <v>3791713.8214742</v>
      </c>
      <c r="L17" s="79">
        <f t="shared" si="3"/>
        <v>49751.6222127</v>
      </c>
      <c r="M17" s="79">
        <f t="shared" si="3"/>
        <v>2434.5741615</v>
      </c>
      <c r="N17" s="79"/>
      <c r="O17" s="78">
        <f t="shared" si="136"/>
        <v>454086.79799999995</v>
      </c>
      <c r="P17" s="78">
        <f t="shared" si="4"/>
        <v>7946.5520375999995</v>
      </c>
      <c r="Q17" s="79">
        <f>O17+P17</f>
        <v>462033.3500376</v>
      </c>
      <c r="R17" s="79">
        <f t="shared" si="6"/>
        <v>6062.4060156000005</v>
      </c>
      <c r="S17" s="77">
        <f t="shared" si="7"/>
        <v>296.661222</v>
      </c>
      <c r="T17" s="79"/>
      <c r="U17" s="78">
        <f t="shared" si="137"/>
        <v>7754.704000000001</v>
      </c>
      <c r="V17" s="78">
        <f t="shared" si="8"/>
        <v>135.70788480000002</v>
      </c>
      <c r="W17" s="78">
        <f t="shared" si="9"/>
        <v>7890.411884800001</v>
      </c>
      <c r="X17" s="79">
        <f t="shared" si="10"/>
        <v>103.5312288</v>
      </c>
      <c r="Y17" s="77">
        <f t="shared" si="11"/>
        <v>5.066255999999999</v>
      </c>
      <c r="Z17" s="79"/>
      <c r="AA17" s="79">
        <f t="shared" si="138"/>
        <v>35007.380999999994</v>
      </c>
      <c r="AB17" s="78">
        <f t="shared" si="12"/>
        <v>612.6317171999999</v>
      </c>
      <c r="AC17" s="78">
        <f t="shared" si="13"/>
        <v>35620.01271719999</v>
      </c>
      <c r="AD17" s="79">
        <f t="shared" si="14"/>
        <v>467.37530819999995</v>
      </c>
      <c r="AE17" s="77">
        <f t="shared" si="15"/>
        <v>22.870808999999998</v>
      </c>
      <c r="AF17" s="79"/>
      <c r="AG17" s="78">
        <f t="shared" si="139"/>
        <v>608786.1405</v>
      </c>
      <c r="AH17" s="78">
        <f t="shared" si="16"/>
        <v>10653.8017986</v>
      </c>
      <c r="AI17" s="78">
        <f t="shared" si="17"/>
        <v>619439.9422986</v>
      </c>
      <c r="AJ17" s="79">
        <f t="shared" si="18"/>
        <v>8127.7605441</v>
      </c>
      <c r="AK17" s="77">
        <f t="shared" si="19"/>
        <v>397.7284545</v>
      </c>
      <c r="AL17" s="79"/>
      <c r="AM17" s="78">
        <f t="shared" si="140"/>
        <v>7374.383000000001</v>
      </c>
      <c r="AN17" s="78">
        <f t="shared" si="20"/>
        <v>129.0522396</v>
      </c>
      <c r="AO17" s="78">
        <f t="shared" si="21"/>
        <v>7503.4352396</v>
      </c>
      <c r="AP17" s="79">
        <f t="shared" si="22"/>
        <v>98.4536526</v>
      </c>
      <c r="AQ17" s="77">
        <f t="shared" si="23"/>
        <v>4.817787</v>
      </c>
      <c r="AR17" s="78"/>
      <c r="AS17" s="78">
        <f t="shared" si="141"/>
        <v>6219.0035</v>
      </c>
      <c r="AT17" s="78">
        <f t="shared" si="24"/>
        <v>108.8330142</v>
      </c>
      <c r="AU17" s="78">
        <f t="shared" si="25"/>
        <v>6327.8365142</v>
      </c>
      <c r="AV17" s="79">
        <f t="shared" si="26"/>
        <v>83.0284527</v>
      </c>
      <c r="AW17" s="77">
        <f t="shared" si="27"/>
        <v>4.0629615</v>
      </c>
      <c r="AX17" s="79"/>
      <c r="AY17" s="78">
        <f t="shared" si="142"/>
        <v>255150.08200000002</v>
      </c>
      <c r="AZ17" s="78">
        <f t="shared" si="28"/>
        <v>4465.1450184000005</v>
      </c>
      <c r="BA17" s="78">
        <f t="shared" si="29"/>
        <v>259615.22701840004</v>
      </c>
      <c r="BB17" s="79">
        <f t="shared" si="30"/>
        <v>3406.4487204</v>
      </c>
      <c r="BC17" s="77">
        <f t="shared" si="31"/>
        <v>166.693098</v>
      </c>
      <c r="BD17" s="79"/>
      <c r="BE17" s="78">
        <f t="shared" si="143"/>
        <v>523540.6895</v>
      </c>
      <c r="BF17" s="78">
        <f t="shared" si="32"/>
        <v>9162.000197399999</v>
      </c>
      <c r="BG17" s="78">
        <f t="shared" si="33"/>
        <v>532702.6896974</v>
      </c>
      <c r="BH17" s="79">
        <f t="shared" si="34"/>
        <v>6989.6685819</v>
      </c>
      <c r="BI17" s="77">
        <f t="shared" si="35"/>
        <v>342.03641550000003</v>
      </c>
      <c r="BJ17" s="79"/>
      <c r="BK17" s="78">
        <f t="shared" si="144"/>
        <v>6043.946</v>
      </c>
      <c r="BL17" s="78">
        <f t="shared" si="36"/>
        <v>105.76949519999998</v>
      </c>
      <c r="BM17" s="78">
        <f t="shared" si="37"/>
        <v>6149.7154952</v>
      </c>
      <c r="BN17" s="79">
        <f t="shared" si="38"/>
        <v>80.6913012</v>
      </c>
      <c r="BO17" s="77">
        <f t="shared" si="39"/>
        <v>3.9485940000000004</v>
      </c>
      <c r="BP17" s="79"/>
      <c r="BQ17" s="78">
        <f t="shared" si="145"/>
        <v>4059.961</v>
      </c>
      <c r="BR17" s="78">
        <f t="shared" si="40"/>
        <v>71.0496132</v>
      </c>
      <c r="BS17" s="78">
        <f t="shared" si="41"/>
        <v>4131.0106132</v>
      </c>
      <c r="BT17" s="79">
        <f t="shared" si="42"/>
        <v>54.203584199999995</v>
      </c>
      <c r="BU17" s="77">
        <f t="shared" si="43"/>
        <v>2.6524289999999997</v>
      </c>
      <c r="BV17" s="79"/>
      <c r="BW17" s="78">
        <f t="shared" si="146"/>
        <v>-604.8065</v>
      </c>
      <c r="BX17" s="78">
        <f t="shared" si="44"/>
        <v>-10.5841578</v>
      </c>
      <c r="BY17" s="78">
        <f t="shared" si="45"/>
        <v>-615.3906578</v>
      </c>
      <c r="BZ17" s="79">
        <f t="shared" si="46"/>
        <v>-8.0746293</v>
      </c>
      <c r="CA17" s="77">
        <f t="shared" si="47"/>
        <v>-0.3951285</v>
      </c>
      <c r="CB17" s="78"/>
      <c r="CC17" s="78">
        <f t="shared" si="147"/>
        <v>-394.051</v>
      </c>
      <c r="CD17" s="78">
        <f t="shared" si="48"/>
        <v>-6.8959212</v>
      </c>
      <c r="CE17" s="78">
        <f t="shared" si="49"/>
        <v>-400.94692119999996</v>
      </c>
      <c r="CF17" s="79">
        <f t="shared" si="50"/>
        <v>-5.2608822</v>
      </c>
      <c r="CG17" s="77">
        <f t="shared" si="51"/>
        <v>-0.257439</v>
      </c>
      <c r="CH17" s="79"/>
      <c r="CI17" s="78">
        <f t="shared" si="148"/>
        <v>14654.029000000002</v>
      </c>
      <c r="CJ17" s="78">
        <f t="shared" si="52"/>
        <v>256.4465748</v>
      </c>
      <c r="CK17" s="78">
        <f t="shared" si="53"/>
        <v>14910.475574800003</v>
      </c>
      <c r="CL17" s="79">
        <f t="shared" si="54"/>
        <v>195.64249379999998</v>
      </c>
      <c r="CM17" s="77">
        <f t="shared" si="55"/>
        <v>9.573681</v>
      </c>
      <c r="CN17" s="79"/>
      <c r="CO17" s="78">
        <f t="shared" si="149"/>
        <v>90116.855</v>
      </c>
      <c r="CP17" s="78">
        <f t="shared" si="56"/>
        <v>1577.051526</v>
      </c>
      <c r="CQ17" s="78">
        <f t="shared" si="57"/>
        <v>91693.90652599999</v>
      </c>
      <c r="CR17" s="79">
        <f t="shared" si="58"/>
        <v>1203.128931</v>
      </c>
      <c r="CS17" s="77">
        <f t="shared" si="59"/>
        <v>58.874595</v>
      </c>
      <c r="CT17" s="79"/>
      <c r="CU17" s="78">
        <f t="shared" si="150"/>
        <v>605390.7115</v>
      </c>
      <c r="CV17" s="78">
        <f t="shared" si="60"/>
        <v>10594.3815438</v>
      </c>
      <c r="CW17" s="78">
        <f t="shared" si="61"/>
        <v>615985.0930438</v>
      </c>
      <c r="CX17" s="79">
        <f t="shared" si="62"/>
        <v>8082.4289703</v>
      </c>
      <c r="CY17" s="77">
        <f t="shared" si="63"/>
        <v>395.5101735</v>
      </c>
      <c r="CZ17" s="79"/>
      <c r="DA17" s="78">
        <f t="shared" si="151"/>
        <v>87344.76799999998</v>
      </c>
      <c r="DB17" s="78">
        <f t="shared" si="64"/>
        <v>1528.5398015999997</v>
      </c>
      <c r="DC17" s="78">
        <f t="shared" si="65"/>
        <v>88873.30780159998</v>
      </c>
      <c r="DD17" s="79">
        <f t="shared" si="66"/>
        <v>1166.1194496</v>
      </c>
      <c r="DE17" s="77">
        <f t="shared" si="67"/>
        <v>57.063552</v>
      </c>
      <c r="DF17" s="79"/>
      <c r="DG17" s="78">
        <f t="shared" si="152"/>
        <v>178470.77800000002</v>
      </c>
      <c r="DH17" s="78">
        <f t="shared" si="68"/>
        <v>3123.2516136000004</v>
      </c>
      <c r="DI17" s="78">
        <f t="shared" si="69"/>
        <v>181594.02961360003</v>
      </c>
      <c r="DJ17" s="79">
        <f t="shared" si="70"/>
        <v>2382.7213716</v>
      </c>
      <c r="DK17" s="77">
        <f t="shared" si="71"/>
        <v>116.597442</v>
      </c>
      <c r="DL17" s="79"/>
      <c r="DM17" s="78">
        <f t="shared" si="153"/>
        <v>28944.213</v>
      </c>
      <c r="DN17" s="78">
        <f t="shared" si="72"/>
        <v>506.5258356</v>
      </c>
      <c r="DO17" s="78">
        <f t="shared" si="73"/>
        <v>29450.7388356</v>
      </c>
      <c r="DP17" s="79">
        <f t="shared" si="74"/>
        <v>386.4273786</v>
      </c>
      <c r="DQ17" s="77">
        <f t="shared" si="75"/>
        <v>18.909657</v>
      </c>
      <c r="DR17" s="79"/>
      <c r="DS17" s="78">
        <f t="shared" si="154"/>
        <v>148477.593</v>
      </c>
      <c r="DT17" s="78">
        <f t="shared" si="76"/>
        <v>2598.3686916</v>
      </c>
      <c r="DU17" s="78">
        <f t="shared" si="77"/>
        <v>151075.96169159998</v>
      </c>
      <c r="DV17" s="79">
        <f t="shared" si="78"/>
        <v>1982.2894146</v>
      </c>
      <c r="DW17" s="77">
        <f t="shared" si="79"/>
        <v>97.002477</v>
      </c>
      <c r="DX17" s="79"/>
      <c r="DY17" s="78">
        <f t="shared" si="155"/>
        <v>1327.0045</v>
      </c>
      <c r="DZ17" s="78">
        <f t="shared" si="80"/>
        <v>23.2226754</v>
      </c>
      <c r="EA17" s="78">
        <f t="shared" si="81"/>
        <v>1350.2271754</v>
      </c>
      <c r="EB17" s="79">
        <f t="shared" si="82"/>
        <v>17.7165249</v>
      </c>
      <c r="EC17" s="77">
        <f t="shared" si="83"/>
        <v>0.8669505000000001</v>
      </c>
      <c r="ED17" s="79"/>
      <c r="EE17" s="78">
        <f t="shared" si="156"/>
        <v>1746.4560000000001</v>
      </c>
      <c r="EF17" s="78">
        <f t="shared" si="84"/>
        <v>30.5631072</v>
      </c>
      <c r="EG17" s="78">
        <f t="shared" si="85"/>
        <v>1777.0191072000002</v>
      </c>
      <c r="EH17" s="79">
        <f t="shared" si="86"/>
        <v>23.3165232</v>
      </c>
      <c r="EI17" s="77">
        <f t="shared" si="87"/>
        <v>1.140984</v>
      </c>
      <c r="EJ17" s="79"/>
      <c r="EK17" s="78">
        <f t="shared" si="157"/>
        <v>88000.37550000001</v>
      </c>
      <c r="EL17" s="78">
        <f t="shared" si="88"/>
        <v>1540.0129806</v>
      </c>
      <c r="EM17" s="78">
        <f t="shared" si="89"/>
        <v>89540.38848060001</v>
      </c>
      <c r="EN17" s="79">
        <f t="shared" si="90"/>
        <v>1174.8723111000002</v>
      </c>
      <c r="EO17" s="77">
        <f t="shared" si="91"/>
        <v>57.4918695</v>
      </c>
      <c r="EP17" s="79"/>
      <c r="EQ17" s="78">
        <f t="shared" si="158"/>
        <v>1675.06</v>
      </c>
      <c r="ER17" s="78">
        <f t="shared" si="92"/>
        <v>29.313672</v>
      </c>
      <c r="ES17" s="78">
        <f t="shared" si="93"/>
        <v>1704.373672</v>
      </c>
      <c r="ET17" s="79">
        <f t="shared" si="94"/>
        <v>22.363332</v>
      </c>
      <c r="EU17" s="77">
        <f t="shared" si="95"/>
        <v>1.0943399999999999</v>
      </c>
      <c r="EV17" s="79"/>
      <c r="EW17" s="78">
        <f t="shared" si="159"/>
        <v>25029.1035</v>
      </c>
      <c r="EX17" s="78">
        <f t="shared" si="96"/>
        <v>438.0111342</v>
      </c>
      <c r="EY17" s="78">
        <f t="shared" si="97"/>
        <v>25467.1146342</v>
      </c>
      <c r="EZ17" s="79">
        <f t="shared" si="98"/>
        <v>334.15767270000003</v>
      </c>
      <c r="FA17" s="77">
        <f t="shared" si="99"/>
        <v>16.351861500000002</v>
      </c>
      <c r="FB17" s="79"/>
      <c r="FC17" s="78">
        <f t="shared" si="160"/>
        <v>17386.9855</v>
      </c>
      <c r="FD17" s="78">
        <f t="shared" si="100"/>
        <v>304.2735126</v>
      </c>
      <c r="FE17" s="78">
        <f t="shared" si="101"/>
        <v>17691.2590126</v>
      </c>
      <c r="FF17" s="79">
        <f t="shared" si="102"/>
        <v>232.1295531</v>
      </c>
      <c r="FG17" s="77">
        <f t="shared" si="103"/>
        <v>11.3591595</v>
      </c>
      <c r="FH17" s="79"/>
      <c r="FI17" s="78">
        <f t="shared" si="161"/>
        <v>6787.4255</v>
      </c>
      <c r="FJ17" s="78">
        <f t="shared" si="104"/>
        <v>118.7804406</v>
      </c>
      <c r="FK17" s="78">
        <f t="shared" si="105"/>
        <v>6906.2059406</v>
      </c>
      <c r="FL17" s="79">
        <f t="shared" si="106"/>
        <v>90.6173211</v>
      </c>
      <c r="FM17" s="77">
        <f t="shared" si="107"/>
        <v>4.4343195</v>
      </c>
      <c r="FN17" s="79"/>
      <c r="FO17" s="78">
        <f t="shared" si="162"/>
        <v>76277.70150000001</v>
      </c>
      <c r="FP17" s="78">
        <f t="shared" si="108"/>
        <v>1334.8653318</v>
      </c>
      <c r="FQ17" s="78">
        <f t="shared" si="109"/>
        <v>77612.56683180001</v>
      </c>
      <c r="FR17" s="79">
        <f t="shared" si="110"/>
        <v>1018.3656483000001</v>
      </c>
      <c r="FS17" s="77">
        <f t="shared" si="111"/>
        <v>49.8332835</v>
      </c>
      <c r="FT17" s="79"/>
      <c r="FU17" s="78">
        <f t="shared" si="163"/>
        <v>171914.703</v>
      </c>
      <c r="FV17" s="78">
        <f t="shared" si="112"/>
        <v>3008.5198236</v>
      </c>
      <c r="FW17" s="78">
        <f t="shared" si="113"/>
        <v>174923.22282360002</v>
      </c>
      <c r="FX17" s="79">
        <f t="shared" si="114"/>
        <v>2295.1927566</v>
      </c>
      <c r="FY17" s="77">
        <f t="shared" si="115"/>
        <v>112.314267</v>
      </c>
      <c r="FZ17" s="79"/>
      <c r="GA17" s="78">
        <f t="shared" si="164"/>
        <v>21938.4805</v>
      </c>
      <c r="GB17" s="78">
        <f t="shared" si="116"/>
        <v>383.9250066000001</v>
      </c>
      <c r="GC17" s="78">
        <f t="shared" si="117"/>
        <v>22322.4055066</v>
      </c>
      <c r="GD17" s="79">
        <f t="shared" si="118"/>
        <v>292.8954921</v>
      </c>
      <c r="GE17" s="77">
        <f t="shared" si="119"/>
        <v>14.3327145</v>
      </c>
      <c r="GF17" s="79"/>
      <c r="GG17" s="78">
        <f t="shared" si="165"/>
        <v>34838.502</v>
      </c>
      <c r="GH17" s="78">
        <f t="shared" si="120"/>
        <v>609.6763224000001</v>
      </c>
      <c r="GI17" s="78">
        <f t="shared" si="121"/>
        <v>35448.1783224</v>
      </c>
      <c r="GJ17" s="79">
        <f t="shared" si="122"/>
        <v>465.1206444</v>
      </c>
      <c r="GK17" s="77">
        <f t="shared" si="123"/>
        <v>22.760478</v>
      </c>
      <c r="GL17" s="79"/>
      <c r="GM17" s="78">
        <f t="shared" si="166"/>
        <v>161457.2485</v>
      </c>
      <c r="GN17" s="78">
        <f t="shared" si="124"/>
        <v>2825.5136082</v>
      </c>
      <c r="GO17" s="78">
        <f t="shared" si="125"/>
        <v>164282.7621082</v>
      </c>
      <c r="GP17" s="79">
        <f t="shared" si="126"/>
        <v>2155.5777417</v>
      </c>
      <c r="GQ17" s="77">
        <f t="shared" si="127"/>
        <v>105.4822665</v>
      </c>
      <c r="GR17" s="79"/>
      <c r="GS17" s="78">
        <f t="shared" si="167"/>
        <v>8568.893</v>
      </c>
      <c r="GT17" s="78">
        <f t="shared" si="128"/>
        <v>149.9562516</v>
      </c>
      <c r="GU17" s="78">
        <f t="shared" si="129"/>
        <v>8718.8492516</v>
      </c>
      <c r="GV17" s="79">
        <f t="shared" si="130"/>
        <v>114.40127460000001</v>
      </c>
      <c r="GW17" s="77">
        <f t="shared" si="131"/>
        <v>5.598177000000001</v>
      </c>
      <c r="GX17" s="79"/>
      <c r="GY17" s="78">
        <f t="shared" si="168"/>
        <v>49128.68600000001</v>
      </c>
      <c r="GZ17" s="78">
        <f t="shared" si="132"/>
        <v>859.7555832000002</v>
      </c>
      <c r="HA17" s="78">
        <f t="shared" si="133"/>
        <v>49988.44158320001</v>
      </c>
      <c r="HB17" s="79">
        <f t="shared" si="134"/>
        <v>655.9055292</v>
      </c>
      <c r="HC17" s="77">
        <f t="shared" si="135"/>
        <v>32.096454</v>
      </c>
      <c r="HD17" s="79"/>
      <c r="HE17" s="79"/>
      <c r="HF17" s="79"/>
      <c r="HG17" s="79"/>
      <c r="HH17" s="79"/>
      <c r="HI17" s="79"/>
    </row>
    <row r="18" spans="3:217" ht="12.75">
      <c r="C18" s="80"/>
      <c r="D18" s="80"/>
      <c r="E18" s="80"/>
      <c r="F18" s="80"/>
      <c r="G18" s="80"/>
      <c r="H18" s="78"/>
      <c r="I18" s="78"/>
      <c r="J18" s="79"/>
      <c r="K18" s="78"/>
      <c r="L18" s="78"/>
      <c r="M18" s="80"/>
      <c r="N18" s="78"/>
      <c r="O18" s="78"/>
      <c r="P18" s="78"/>
      <c r="Q18" s="78"/>
      <c r="R18" s="78"/>
      <c r="S18" s="80"/>
      <c r="T18" s="78"/>
      <c r="U18" s="78"/>
      <c r="V18" s="78"/>
      <c r="W18" s="78"/>
      <c r="X18" s="78"/>
      <c r="Y18" s="80"/>
      <c r="Z18" s="78"/>
      <c r="AA18" s="79"/>
      <c r="AB18" s="78"/>
      <c r="AC18" s="78"/>
      <c r="AD18" s="78"/>
      <c r="AE18" s="80"/>
      <c r="AF18" s="78"/>
      <c r="AG18" s="78"/>
      <c r="AH18" s="78"/>
      <c r="AI18" s="78"/>
      <c r="AJ18" s="78"/>
      <c r="AK18" s="80"/>
      <c r="AL18" s="78"/>
      <c r="AM18" s="78"/>
      <c r="AN18" s="78"/>
      <c r="AO18" s="78"/>
      <c r="AP18" s="78"/>
      <c r="AQ18" s="80"/>
      <c r="AR18" s="78"/>
      <c r="AS18" s="78"/>
      <c r="AT18" s="78"/>
      <c r="AU18" s="78"/>
      <c r="AV18" s="78"/>
      <c r="AW18" s="80"/>
      <c r="AX18" s="78"/>
      <c r="AY18" s="78"/>
      <c r="AZ18" s="78"/>
      <c r="BA18" s="78"/>
      <c r="BB18" s="78"/>
      <c r="BC18" s="80"/>
      <c r="BD18" s="78"/>
      <c r="BE18" s="78"/>
      <c r="BF18" s="78"/>
      <c r="BG18" s="78"/>
      <c r="BH18" s="78"/>
      <c r="BI18" s="80"/>
      <c r="BJ18" s="78"/>
      <c r="BK18" s="78"/>
      <c r="BL18" s="78"/>
      <c r="BM18" s="78"/>
      <c r="BN18" s="78"/>
      <c r="BO18" s="80"/>
      <c r="BP18" s="78"/>
      <c r="BQ18" s="78"/>
      <c r="BR18" s="78"/>
      <c r="BS18" s="78"/>
      <c r="BT18" s="78"/>
      <c r="BU18" s="80"/>
      <c r="BV18" s="78"/>
      <c r="BW18" s="78"/>
      <c r="BX18" s="78"/>
      <c r="BY18" s="78"/>
      <c r="BZ18" s="78"/>
      <c r="CA18" s="80"/>
      <c r="CB18" s="78"/>
      <c r="CC18" s="78"/>
      <c r="CD18" s="78"/>
      <c r="CE18" s="78"/>
      <c r="CF18" s="78"/>
      <c r="CG18" s="80"/>
      <c r="CH18" s="78"/>
      <c r="CI18" s="78"/>
      <c r="CJ18" s="78"/>
      <c r="CK18" s="78"/>
      <c r="CL18" s="78"/>
      <c r="CM18" s="80"/>
      <c r="CN18" s="78"/>
      <c r="CO18" s="78"/>
      <c r="CP18" s="78"/>
      <c r="CQ18" s="78"/>
      <c r="CR18" s="78"/>
      <c r="CS18" s="80"/>
      <c r="CT18" s="78"/>
      <c r="CU18" s="78"/>
      <c r="CV18" s="78"/>
      <c r="CW18" s="78"/>
      <c r="CX18" s="78"/>
      <c r="CY18" s="80"/>
      <c r="CZ18" s="78"/>
      <c r="DA18" s="78"/>
      <c r="DB18" s="78"/>
      <c r="DC18" s="78"/>
      <c r="DD18" s="78"/>
      <c r="DE18" s="80"/>
      <c r="DF18" s="78"/>
      <c r="DG18" s="78"/>
      <c r="DH18" s="78"/>
      <c r="DI18" s="78"/>
      <c r="DJ18" s="78"/>
      <c r="DK18" s="80"/>
      <c r="DL18" s="78"/>
      <c r="DM18" s="78"/>
      <c r="DN18" s="78"/>
      <c r="DO18" s="78"/>
      <c r="DP18" s="78"/>
      <c r="DQ18" s="80"/>
      <c r="DR18" s="78"/>
      <c r="DS18" s="78"/>
      <c r="DT18" s="78"/>
      <c r="DU18" s="78"/>
      <c r="DV18" s="78"/>
      <c r="DW18" s="80"/>
      <c r="DX18" s="78"/>
      <c r="DY18" s="78"/>
      <c r="DZ18" s="78"/>
      <c r="EA18" s="78"/>
      <c r="EB18" s="78"/>
      <c r="EC18" s="80"/>
      <c r="ED18" s="78"/>
      <c r="EE18" s="78"/>
      <c r="EF18" s="78"/>
      <c r="EG18" s="78"/>
      <c r="EH18" s="78"/>
      <c r="EI18" s="80"/>
      <c r="EJ18" s="78"/>
      <c r="EK18" s="78"/>
      <c r="EL18" s="78"/>
      <c r="EM18" s="78"/>
      <c r="EN18" s="78"/>
      <c r="EO18" s="80"/>
      <c r="EP18" s="78"/>
      <c r="EQ18" s="78"/>
      <c r="ER18" s="78"/>
      <c r="ES18" s="78"/>
      <c r="ET18" s="78"/>
      <c r="EU18" s="80"/>
      <c r="EV18" s="78"/>
      <c r="EW18" s="78"/>
      <c r="EX18" s="78"/>
      <c r="EY18" s="78"/>
      <c r="EZ18" s="78"/>
      <c r="FA18" s="80"/>
      <c r="FB18" s="78"/>
      <c r="FC18" s="78"/>
      <c r="FD18" s="78"/>
      <c r="FE18" s="78"/>
      <c r="FF18" s="78"/>
      <c r="FG18" s="80"/>
      <c r="FH18" s="78"/>
      <c r="FI18" s="78"/>
      <c r="FJ18" s="78"/>
      <c r="FK18" s="78"/>
      <c r="FL18" s="78"/>
      <c r="FM18" s="80"/>
      <c r="FN18" s="78"/>
      <c r="FO18" s="78"/>
      <c r="FP18" s="78"/>
      <c r="FQ18" s="78"/>
      <c r="FR18" s="78"/>
      <c r="FS18" s="80"/>
      <c r="FT18" s="78"/>
      <c r="FU18" s="78"/>
      <c r="FV18" s="78"/>
      <c r="FW18" s="78"/>
      <c r="FX18" s="78"/>
      <c r="FY18" s="80"/>
      <c r="FZ18" s="78"/>
      <c r="GA18" s="78"/>
      <c r="GB18" s="78"/>
      <c r="GC18" s="78"/>
      <c r="GD18" s="78"/>
      <c r="GE18" s="80"/>
      <c r="GF18" s="78"/>
      <c r="GG18" s="78"/>
      <c r="GH18" s="78"/>
      <c r="GI18" s="78"/>
      <c r="GJ18" s="78"/>
      <c r="GK18" s="80"/>
      <c r="GL18" s="78"/>
      <c r="GM18" s="78"/>
      <c r="GN18" s="78"/>
      <c r="GO18" s="78"/>
      <c r="GP18" s="78"/>
      <c r="GQ18" s="80"/>
      <c r="GR18" s="78"/>
      <c r="GS18" s="78"/>
      <c r="GT18" s="78"/>
      <c r="GU18" s="78"/>
      <c r="GV18" s="78"/>
      <c r="GW18" s="80"/>
      <c r="GX18" s="78"/>
      <c r="GY18" s="78"/>
      <c r="GZ18" s="78"/>
      <c r="HA18" s="78"/>
      <c r="HB18" s="78"/>
      <c r="HC18" s="80"/>
      <c r="HD18" s="78"/>
      <c r="HE18" s="78"/>
      <c r="HF18" s="78"/>
      <c r="HG18" s="78"/>
      <c r="HH18" s="78"/>
      <c r="HI18" s="78"/>
    </row>
    <row r="19" spans="1:217" ht="13.5" thickBot="1">
      <c r="A19" s="31" t="s">
        <v>4</v>
      </c>
      <c r="C19" s="81">
        <f>SUM(C8:C18)</f>
        <v>19640000</v>
      </c>
      <c r="D19" s="81">
        <f>SUM(D8:D18)</f>
        <v>3443580</v>
      </c>
      <c r="E19" s="81">
        <f>SUM(E8:E18)</f>
        <v>23083580</v>
      </c>
      <c r="F19" s="81">
        <f>SUM(F8:F18)</f>
        <v>916530</v>
      </c>
      <c r="G19" s="81">
        <f>SUM(G8:G18)</f>
        <v>44850</v>
      </c>
      <c r="H19" s="78"/>
      <c r="I19" s="81">
        <f>SUM(I8:I18)</f>
        <v>10661100.676</v>
      </c>
      <c r="J19" s="81">
        <f>SUM(J8:J18)</f>
        <v>1869264.4127220004</v>
      </c>
      <c r="K19" s="81">
        <f>SUM(K8:K18)</f>
        <v>12530365.088722002</v>
      </c>
      <c r="L19" s="81">
        <f>SUM(L8:L18)</f>
        <v>497516.2221270001</v>
      </c>
      <c r="M19" s="81">
        <f>SUM(M8:M18)</f>
        <v>24345.741615000003</v>
      </c>
      <c r="N19" s="78"/>
      <c r="O19" s="81">
        <f>SUM(O8:O18)</f>
        <v>1299091.728</v>
      </c>
      <c r="P19" s="81">
        <f>SUM(P8:P18)</f>
        <v>227776.28781599994</v>
      </c>
      <c r="Q19" s="81">
        <f>SUM(Q8:Q18)</f>
        <v>1526868.0158159998</v>
      </c>
      <c r="R19" s="81">
        <f>SUM(R8:R18)</f>
        <v>60624.06015599999</v>
      </c>
      <c r="S19" s="81">
        <f>SUM(S8:S18)</f>
        <v>2966.6122200000004</v>
      </c>
      <c r="T19" s="78"/>
      <c r="U19" s="81">
        <f>SUM(U8:U18)</f>
        <v>22185.344</v>
      </c>
      <c r="V19" s="81">
        <f>SUM(V8:V18)</f>
        <v>3889.8679680000005</v>
      </c>
      <c r="W19" s="81">
        <f>SUM(W8:W18)</f>
        <v>26075.211967999996</v>
      </c>
      <c r="X19" s="81">
        <f>SUM(X8:X18)</f>
        <v>1035.3122879999999</v>
      </c>
      <c r="Y19" s="81">
        <f>SUM(Y8:Y18)</f>
        <v>50.662559999999985</v>
      </c>
      <c r="Z19" s="78"/>
      <c r="AA19" s="81">
        <f>SUM(AA8:AA18)</f>
        <v>100152.21599999999</v>
      </c>
      <c r="AB19" s="81">
        <f>SUM(AB8:AB18)</f>
        <v>17560.191851999996</v>
      </c>
      <c r="AC19" s="81">
        <f>SUM(AC8:AC18)</f>
        <v>117712.40785199997</v>
      </c>
      <c r="AD19" s="81">
        <f>SUM(AD8:AD18)</f>
        <v>4673.753081999999</v>
      </c>
      <c r="AE19" s="81">
        <f>SUM(AE8:AE18)</f>
        <v>228.70809000000003</v>
      </c>
      <c r="AF19" s="78"/>
      <c r="AG19" s="81">
        <f>SUM(AG8:AG18)</f>
        <v>1741669.308</v>
      </c>
      <c r="AH19" s="81">
        <f>SUM(AH8:AH18)</f>
        <v>305375.641326</v>
      </c>
      <c r="AI19" s="81">
        <f>SUM(AI8:AI18)</f>
        <v>2047044.949326</v>
      </c>
      <c r="AJ19" s="81">
        <f>SUM(AJ8:AJ18)</f>
        <v>81277.60544099999</v>
      </c>
      <c r="AK19" s="81">
        <f>SUM(AK8:AK18)</f>
        <v>3977.2845450000004</v>
      </c>
      <c r="AL19" s="78"/>
      <c r="AM19" s="81">
        <f>SUM(AM8:AM18)</f>
        <v>21097.288</v>
      </c>
      <c r="AN19" s="81">
        <f>SUM(AN8:AN18)</f>
        <v>3699.0936360000005</v>
      </c>
      <c r="AO19" s="81">
        <f>SUM(AO8:AO18)</f>
        <v>24796.381636000002</v>
      </c>
      <c r="AP19" s="81">
        <f>SUM(AP8:AP18)</f>
        <v>984.5365259999999</v>
      </c>
      <c r="AQ19" s="81">
        <f>SUM(AQ8:AQ18)</f>
        <v>48.177870000000006</v>
      </c>
      <c r="AR19" s="78"/>
      <c r="AS19" s="81">
        <f>SUM(AS8:AS18)</f>
        <v>17791.876</v>
      </c>
      <c r="AT19" s="81">
        <f>SUM(AT8:AT18)</f>
        <v>3119.5391219999997</v>
      </c>
      <c r="AU19" s="81">
        <f>SUM(AU8:AU18)</f>
        <v>20911.415122</v>
      </c>
      <c r="AV19" s="81">
        <f>SUM(AV8:AV18)</f>
        <v>830.284527</v>
      </c>
      <c r="AW19" s="81">
        <f>SUM(AW8:AW18)</f>
        <v>40.629615</v>
      </c>
      <c r="AX19" s="78"/>
      <c r="AY19" s="81">
        <f>SUM(AY8:AY18)</f>
        <v>729955.952</v>
      </c>
      <c r="AZ19" s="81">
        <f>SUM(AZ8:AZ18)</f>
        <v>127986.84914399999</v>
      </c>
      <c r="BA19" s="81">
        <f>SUM(BA8:BA18)</f>
        <v>857942.8011440001</v>
      </c>
      <c r="BB19" s="81">
        <f>SUM(BB8:BB18)</f>
        <v>34064.487204000005</v>
      </c>
      <c r="BC19" s="81">
        <f>SUM(BC8:BC18)</f>
        <v>1666.9309799999999</v>
      </c>
      <c r="BD19" s="78"/>
      <c r="BE19" s="81">
        <f>SUM(BE8:BE18)</f>
        <v>1497791.5720000002</v>
      </c>
      <c r="BF19" s="81">
        <f>SUM(BF8:BF18)</f>
        <v>262615.3310339999</v>
      </c>
      <c r="BG19" s="81">
        <f>SUM(BG8:BG18)</f>
        <v>1760406.903034</v>
      </c>
      <c r="BH19" s="81">
        <f>SUM(BH8:BH18)</f>
        <v>69896.68581899999</v>
      </c>
      <c r="BI19" s="81">
        <f>SUM(BI8:BI18)</f>
        <v>3420.364155000001</v>
      </c>
      <c r="BJ19" s="78"/>
      <c r="BK19" s="81">
        <f>SUM(BK8:BK18)</f>
        <v>17291.056</v>
      </c>
      <c r="BL19" s="81">
        <f>SUM(BL8:BL18)</f>
        <v>3031.7278319999996</v>
      </c>
      <c r="BM19" s="81">
        <f>SUM(BM8:BM18)</f>
        <v>20322.783832</v>
      </c>
      <c r="BN19" s="81">
        <f>SUM(BN8:BN18)</f>
        <v>806.913012</v>
      </c>
      <c r="BO19" s="81">
        <f>SUM(BO8:BO18)</f>
        <v>39.48594000000001</v>
      </c>
      <c r="BP19" s="78"/>
      <c r="BQ19" s="81">
        <f>SUM(BQ8:BQ18)</f>
        <v>11615.096</v>
      </c>
      <c r="BR19" s="81">
        <f>SUM(BR8:BR18)</f>
        <v>2036.5332120000003</v>
      </c>
      <c r="BS19" s="81">
        <f>SUM(BS8:BS18)</f>
        <v>13651.629212</v>
      </c>
      <c r="BT19" s="81">
        <f>SUM(BT8:BT18)</f>
        <v>542.0358420000001</v>
      </c>
      <c r="BU19" s="81">
        <f>SUM(BU8:BU18)</f>
        <v>26.524289999999993</v>
      </c>
      <c r="BV19" s="78"/>
      <c r="BW19" s="81">
        <f>SUM(BW8:BW18)</f>
        <v>-1730.284</v>
      </c>
      <c r="BX19" s="81">
        <f>SUM(BX8:BX18)</f>
        <v>-303.379398</v>
      </c>
      <c r="BY19" s="81">
        <f>SUM(BY8:BY18)</f>
        <v>-2033.6633980000001</v>
      </c>
      <c r="BZ19" s="81">
        <f>SUM(BZ8:BZ18)</f>
        <v>-80.746293</v>
      </c>
      <c r="CA19" s="81">
        <f>SUM(CA8:CA18)</f>
        <v>-3.9512850000000004</v>
      </c>
      <c r="CB19" s="80"/>
      <c r="CC19" s="81">
        <f>SUM(CC8:CC18)</f>
        <v>-1127.336</v>
      </c>
      <c r="CD19" s="81">
        <f>SUM(CD8:CD18)</f>
        <v>-197.661492</v>
      </c>
      <c r="CE19" s="81">
        <f>SUM(CE8:CE18)</f>
        <v>-1324.997492</v>
      </c>
      <c r="CF19" s="81">
        <f>SUM(CF8:CF18)</f>
        <v>-52.608821999999996</v>
      </c>
      <c r="CG19" s="81">
        <f>SUM(CG8:CG18)</f>
        <v>-2.5743899999999993</v>
      </c>
      <c r="CH19" s="78"/>
      <c r="CI19" s="81">
        <f>SUM(CI8:CI18)</f>
        <v>41923.544</v>
      </c>
      <c r="CJ19" s="81">
        <f>SUM(CJ8:CJ18)</f>
        <v>7350.665868</v>
      </c>
      <c r="CK19" s="81">
        <f>SUM(CK8:CK18)</f>
        <v>49274.209868000005</v>
      </c>
      <c r="CL19" s="81">
        <f>SUM(CL8:CL18)</f>
        <v>1956.4249379999999</v>
      </c>
      <c r="CM19" s="81">
        <f>SUM(CM8:CM18)</f>
        <v>95.73680999999999</v>
      </c>
      <c r="CN19" s="78"/>
      <c r="CO19" s="81">
        <f>SUM(CO8:CO18)</f>
        <v>257814.27999999997</v>
      </c>
      <c r="CP19" s="81">
        <f>SUM(CP8:CP18)</f>
        <v>45203.87466000001</v>
      </c>
      <c r="CQ19" s="81">
        <f>SUM(CQ8:CQ18)</f>
        <v>303018.15466</v>
      </c>
      <c r="CR19" s="81">
        <f>SUM(CR8:CR18)</f>
        <v>12031.289309999998</v>
      </c>
      <c r="CS19" s="81">
        <f>SUM(CS8:CS18)</f>
        <v>588.74595</v>
      </c>
      <c r="CT19" s="78"/>
      <c r="CU19" s="81">
        <f>SUM(CU8:CU18)</f>
        <v>1731955.364</v>
      </c>
      <c r="CV19" s="81">
        <f>SUM(CV8:CV18)</f>
        <v>303672.446658</v>
      </c>
      <c r="CW19" s="81">
        <f>SUM(CW8:CW18)</f>
        <v>2035627.810658</v>
      </c>
      <c r="CX19" s="81">
        <f>SUM(CX8:CX18)</f>
        <v>80824.289703</v>
      </c>
      <c r="CY19" s="81">
        <f>SUM(CY8:CY18)</f>
        <v>3955.1017349999993</v>
      </c>
      <c r="CZ19" s="78"/>
      <c r="DA19" s="81">
        <f>SUM(DA8:DA18)</f>
        <v>249883.64799999996</v>
      </c>
      <c r="DB19" s="81">
        <f>SUM(DB8:DB18)</f>
        <v>43813.35705599999</v>
      </c>
      <c r="DC19" s="81">
        <f>SUM(DC8:DC18)</f>
        <v>293697.00505599997</v>
      </c>
      <c r="DD19" s="81">
        <f>SUM(DD8:DD18)</f>
        <v>11661.194496000002</v>
      </c>
      <c r="DE19" s="81">
        <f>SUM(DE8:DE18)</f>
        <v>570.63552</v>
      </c>
      <c r="DF19" s="78"/>
      <c r="DG19" s="81">
        <f>SUM(DG8:DG18)</f>
        <v>510585.00800000003</v>
      </c>
      <c r="DH19" s="81">
        <f>SUM(DH8:DH18)</f>
        <v>89523.43797600002</v>
      </c>
      <c r="DI19" s="81">
        <f>SUM(DI8:DI18)</f>
        <v>600108.445976</v>
      </c>
      <c r="DJ19" s="81">
        <f>SUM(DJ8:DJ18)</f>
        <v>23827.213716000002</v>
      </c>
      <c r="DK19" s="81">
        <f>SUM(DK8:DK18)</f>
        <v>1165.97442</v>
      </c>
      <c r="DL19" s="78"/>
      <c r="DM19" s="81">
        <f>SUM(DM8:DM18)</f>
        <v>82806.168</v>
      </c>
      <c r="DN19" s="81">
        <f>SUM(DN8:DN18)</f>
        <v>14518.821995999999</v>
      </c>
      <c r="DO19" s="81">
        <f>SUM(DO8:DO18)</f>
        <v>97324.989996</v>
      </c>
      <c r="DP19" s="81">
        <f>SUM(DP8:DP18)</f>
        <v>3864.2737859999993</v>
      </c>
      <c r="DQ19" s="81">
        <f>SUM(DQ8:DQ18)</f>
        <v>189.09657</v>
      </c>
      <c r="DR19" s="78"/>
      <c r="DS19" s="81">
        <f>SUM(DS8:DS18)</f>
        <v>424777.848</v>
      </c>
      <c r="DT19" s="81">
        <f>SUM(DT8:DT18)</f>
        <v>74478.436956</v>
      </c>
      <c r="DU19" s="81">
        <f>SUM(DU8:DU18)</f>
        <v>499256.284956</v>
      </c>
      <c r="DV19" s="81">
        <f>SUM(DV8:DV18)</f>
        <v>19822.894146000002</v>
      </c>
      <c r="DW19" s="81">
        <f>SUM(DW8:DW18)</f>
        <v>970.02477</v>
      </c>
      <c r="DX19" s="78"/>
      <c r="DY19" s="81">
        <f>SUM(DY8:DY18)</f>
        <v>3796.4120000000003</v>
      </c>
      <c r="DZ19" s="81">
        <f>SUM(DZ8:DZ18)</f>
        <v>665.6440139999997</v>
      </c>
      <c r="EA19" s="81">
        <f>SUM(EA8:EA18)</f>
        <v>4462.056014</v>
      </c>
      <c r="EB19" s="81">
        <f>SUM(EB8:EB18)</f>
        <v>177.165249</v>
      </c>
      <c r="EC19" s="81">
        <f>SUM(EC8:EC18)</f>
        <v>8.669505</v>
      </c>
      <c r="ED19" s="78"/>
      <c r="EE19" s="81">
        <f>SUM(EE8:EE18)</f>
        <v>4996.416</v>
      </c>
      <c r="EF19" s="81">
        <f>SUM(EF8:EF18)</f>
        <v>876.046752</v>
      </c>
      <c r="EG19" s="81">
        <f>SUM(EG8:EG18)</f>
        <v>5872.462752</v>
      </c>
      <c r="EH19" s="81">
        <f>SUM(EH8:EH18)</f>
        <v>233.16523200000003</v>
      </c>
      <c r="EI19" s="81">
        <f>SUM(EI8:EI18)</f>
        <v>11.409839999999997</v>
      </c>
      <c r="EJ19" s="78"/>
      <c r="EK19" s="81">
        <f>SUM(EK8:EK18)</f>
        <v>251759.26800000004</v>
      </c>
      <c r="EL19" s="81">
        <f>SUM(EL8:EL18)</f>
        <v>44142.21894599999</v>
      </c>
      <c r="EM19" s="81">
        <f>SUM(EM8:EM18)</f>
        <v>295901.486946</v>
      </c>
      <c r="EN19" s="81">
        <f>SUM(EN8:EN18)</f>
        <v>11748.723111000001</v>
      </c>
      <c r="EO19" s="81">
        <f>SUM(EO8:EO18)</f>
        <v>574.918695</v>
      </c>
      <c r="EP19" s="78"/>
      <c r="EQ19" s="81">
        <f>SUM(EQ8:EQ18)</f>
        <v>4792.16</v>
      </c>
      <c r="ER19" s="81">
        <f>SUM(ER8:ER18)</f>
        <v>840.23352</v>
      </c>
      <c r="ES19" s="81">
        <f>SUM(ES8:ES18)</f>
        <v>5632.3935200000005</v>
      </c>
      <c r="ET19" s="81">
        <f>SUM(ET8:ET18)</f>
        <v>223.63332000000003</v>
      </c>
      <c r="EU19" s="81">
        <f>SUM(EU8:EU18)</f>
        <v>10.943399999999997</v>
      </c>
      <c r="EV19" s="78"/>
      <c r="EW19" s="81">
        <f>SUM(EW8:EW18)</f>
        <v>71605.476</v>
      </c>
      <c r="EX19" s="81">
        <f>SUM(EX8:EX18)</f>
        <v>12554.948322</v>
      </c>
      <c r="EY19" s="81">
        <f>SUM(EY8:EY18)</f>
        <v>84160.424322</v>
      </c>
      <c r="EZ19" s="81">
        <f>SUM(EZ8:EZ18)</f>
        <v>3341.576727000001</v>
      </c>
      <c r="FA19" s="81">
        <f>SUM(FA8:FA18)</f>
        <v>163.51861500000004</v>
      </c>
      <c r="FB19" s="78"/>
      <c r="FC19" s="81">
        <f>SUM(FC8:FC18)</f>
        <v>49742.228</v>
      </c>
      <c r="FD19" s="81">
        <f>SUM(FD8:FD18)</f>
        <v>8721.555066</v>
      </c>
      <c r="FE19" s="81">
        <f>SUM(FE8:FE18)</f>
        <v>58463.783066</v>
      </c>
      <c r="FF19" s="81">
        <f>SUM(FF8:FF18)</f>
        <v>2321.295531</v>
      </c>
      <c r="FG19" s="81">
        <f>SUM(FG8:FG18)</f>
        <v>113.59159500000003</v>
      </c>
      <c r="FH19" s="78"/>
      <c r="FI19" s="81">
        <f>SUM(FI8:FI18)</f>
        <v>19418.068000000003</v>
      </c>
      <c r="FJ19" s="81">
        <f>SUM(FJ8:FJ18)</f>
        <v>3404.667546</v>
      </c>
      <c r="FK19" s="81">
        <f>SUM(FK8:FK18)</f>
        <v>22822.735546</v>
      </c>
      <c r="FL19" s="81">
        <f>SUM(FL8:FL18)</f>
        <v>906.1732110000002</v>
      </c>
      <c r="FM19" s="81">
        <f>SUM(FM8:FM18)</f>
        <v>44.343195</v>
      </c>
      <c r="FN19" s="78"/>
      <c r="FO19" s="81">
        <f>SUM(FO8:FO18)</f>
        <v>218222.00400000002</v>
      </c>
      <c r="FP19" s="81">
        <f>SUM(FP8:FP18)</f>
        <v>38261.961738</v>
      </c>
      <c r="FQ19" s="81">
        <f>SUM(FQ8:FQ18)</f>
        <v>256483.96573800003</v>
      </c>
      <c r="FR19" s="81">
        <f>SUM(FR8:FR18)</f>
        <v>10183.656483</v>
      </c>
      <c r="FS19" s="81">
        <f>SUM(FS8:FS18)</f>
        <v>498.332835</v>
      </c>
      <c r="FT19" s="78"/>
      <c r="FU19" s="81">
        <f>SUM(FU8:FU18)</f>
        <v>491828.80799999996</v>
      </c>
      <c r="FV19" s="81">
        <f>SUM(FV8:FV18)</f>
        <v>86234.81907599999</v>
      </c>
      <c r="FW19" s="81">
        <f>SUM(FW8:FW18)</f>
        <v>578063.6270760001</v>
      </c>
      <c r="FX19" s="81">
        <f>SUM(FX8:FX18)</f>
        <v>22951.927566000002</v>
      </c>
      <c r="FY19" s="81">
        <f>SUM(FY8:FY18)</f>
        <v>1123.14267</v>
      </c>
      <c r="FZ19" s="78"/>
      <c r="GA19" s="81">
        <f>SUM(GA8:GA18)</f>
        <v>62763.54800000001</v>
      </c>
      <c r="GB19" s="81">
        <f>SUM(GB8:GB18)</f>
        <v>11004.648606000002</v>
      </c>
      <c r="GC19" s="81">
        <f>SUM(GC8:GC18)</f>
        <v>73768.19660600001</v>
      </c>
      <c r="GD19" s="81">
        <f>SUM(GD8:GD18)</f>
        <v>2928.954921</v>
      </c>
      <c r="GE19" s="81">
        <f>SUM(GE8:GE18)</f>
        <v>143.327145</v>
      </c>
      <c r="GF19" s="78"/>
      <c r="GG19" s="81">
        <f>SUM(GG8:GG18)</f>
        <v>99669.07200000001</v>
      </c>
      <c r="GH19" s="81">
        <f>SUM(GH8:GH18)</f>
        <v>17475.479784</v>
      </c>
      <c r="GI19" s="81">
        <f>SUM(GI8:GI18)</f>
        <v>117144.55178400004</v>
      </c>
      <c r="GJ19" s="81">
        <f>SUM(GJ8:GJ18)</f>
        <v>4651.206444</v>
      </c>
      <c r="GK19" s="81">
        <f>SUM(GK8:GK18)</f>
        <v>227.60478000000003</v>
      </c>
      <c r="GL19" s="78"/>
      <c r="GM19" s="81">
        <f>SUM(GM8:GM18)</f>
        <v>461911.196</v>
      </c>
      <c r="GN19" s="81">
        <f>SUM(GN8:GN18)</f>
        <v>80989.213662</v>
      </c>
      <c r="GO19" s="81">
        <f>SUM(GO8:GO18)</f>
        <v>542900.409662</v>
      </c>
      <c r="GP19" s="81">
        <f>SUM(GP8:GP18)</f>
        <v>21555.777416999994</v>
      </c>
      <c r="GQ19" s="81">
        <f>SUM(GQ8:GQ18)</f>
        <v>1054.8226650000001</v>
      </c>
      <c r="GR19" s="78"/>
      <c r="GS19" s="81">
        <f>SUM(GS8:GS18)</f>
        <v>24514.648</v>
      </c>
      <c r="GT19" s="81">
        <f>SUM(GT8:GT18)</f>
        <v>4298.276555999999</v>
      </c>
      <c r="GU19" s="81">
        <f>SUM(GU8:GU18)</f>
        <v>28812.924556</v>
      </c>
      <c r="GV19" s="81">
        <f>SUM(GV8:GV18)</f>
        <v>1144.012746</v>
      </c>
      <c r="GW19" s="81">
        <f>SUM(GW8:GW18)</f>
        <v>55.981770000000004</v>
      </c>
      <c r="GX19" s="78"/>
      <c r="GY19" s="81">
        <f>SUM(GY8:GY18)</f>
        <v>140551.69600000003</v>
      </c>
      <c r="GZ19" s="81">
        <f>SUM(GZ8:GZ18)</f>
        <v>24643.635912</v>
      </c>
      <c r="HA19" s="81">
        <f>SUM(HA8:HA18)</f>
        <v>165195.33191200002</v>
      </c>
      <c r="HB19" s="81">
        <f>SUM(HB8:HB18)</f>
        <v>6559.055292000002</v>
      </c>
      <c r="HC19" s="81">
        <f>SUM(HC8:HC18)</f>
        <v>320.96454</v>
      </c>
      <c r="HD19" s="78"/>
      <c r="HE19" s="78"/>
      <c r="HF19" s="78"/>
      <c r="HG19" s="78"/>
      <c r="HH19" s="78"/>
      <c r="HI19" s="78"/>
    </row>
    <row r="20" ht="13.5" thickTop="1"/>
    <row r="33" spans="1:212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</row>
    <row r="34" spans="1:212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</row>
    <row r="35" spans="1:21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1:21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1:21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</sheetData>
  <sheetProtection/>
  <printOptions/>
  <pageMargins left="0.75" right="0.75" top="1" bottom="1" header="0.5" footer="0.5"/>
  <pageSetup orientation="landscape" scale="72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pane xSplit="3" ySplit="5" topLeftCell="Q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8515625" defaultRowHeight="12.75"/>
  <cols>
    <col min="1" max="1" width="7.7109375" style="0" customWidth="1"/>
    <col min="2" max="2" width="2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16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20</v>
      </c>
      <c r="H4" s="4" t="s">
        <v>25</v>
      </c>
      <c r="I4" s="4" t="s">
        <v>67</v>
      </c>
      <c r="J4" s="4" t="s">
        <v>26</v>
      </c>
      <c r="K4" s="4" t="s">
        <v>61</v>
      </c>
      <c r="L4" s="4" t="s">
        <v>27</v>
      </c>
      <c r="M4" s="4" t="s">
        <v>22</v>
      </c>
      <c r="N4" s="4" t="s">
        <v>28</v>
      </c>
      <c r="O4" s="4" t="s">
        <v>29</v>
      </c>
      <c r="P4" s="4" t="s">
        <v>30</v>
      </c>
      <c r="Q4" s="4" t="s">
        <v>31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98133530.93000004</v>
      </c>
      <c r="E5" s="9">
        <f aca="true" t="shared" si="0" ref="E5:Q5">SUM(E6:E64)</f>
        <v>35475452.61</v>
      </c>
      <c r="F5" s="9">
        <f t="shared" si="0"/>
        <v>17173868.36</v>
      </c>
      <c r="G5" s="9">
        <f t="shared" si="0"/>
        <v>11532463.45</v>
      </c>
      <c r="H5" s="9">
        <f t="shared" si="0"/>
        <v>9864290.229999999</v>
      </c>
      <c r="I5" s="9">
        <f t="shared" si="0"/>
        <v>2713564.15</v>
      </c>
      <c r="J5" s="9">
        <f t="shared" si="0"/>
        <v>2555176.51</v>
      </c>
      <c r="K5" s="9">
        <f t="shared" si="0"/>
        <v>2650659.3400000003</v>
      </c>
      <c r="L5" s="9">
        <f t="shared" si="0"/>
        <v>1281889.1800000002</v>
      </c>
      <c r="M5" s="9">
        <f t="shared" si="0"/>
        <v>1330989.5699999998</v>
      </c>
      <c r="N5" s="9">
        <f t="shared" si="0"/>
        <v>3547849.3899999997</v>
      </c>
      <c r="O5" s="9">
        <f t="shared" si="0"/>
        <v>811610.01</v>
      </c>
      <c r="P5" s="9">
        <f t="shared" si="0"/>
        <v>4563028.949999999</v>
      </c>
      <c r="Q5" s="9">
        <f t="shared" si="0"/>
        <v>4632689.18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30" t="s">
        <v>5</v>
      </c>
      <c r="B7" s="30" t="s">
        <v>145</v>
      </c>
      <c r="C7" t="s">
        <v>24</v>
      </c>
      <c r="D7" s="5">
        <f aca="true" t="shared" si="1" ref="D7:D41">SUM(E7:Q7)</f>
        <v>6491058.68</v>
      </c>
      <c r="E7" s="5">
        <f>1485671.58+5005387.1</f>
        <v>6491058.68</v>
      </c>
      <c r="R7" s="12">
        <f>D7/D5</f>
        <v>0.06614516586211658</v>
      </c>
    </row>
    <row r="8" spans="1:18" ht="12.75">
      <c r="A8" s="30" t="s">
        <v>5</v>
      </c>
      <c r="B8" s="30" t="s">
        <v>33</v>
      </c>
      <c r="C8" t="s">
        <v>146</v>
      </c>
      <c r="D8" s="5">
        <f t="shared" si="1"/>
        <v>110854.23</v>
      </c>
      <c r="E8" s="5">
        <v>110854.23</v>
      </c>
      <c r="R8" s="12">
        <f>D8/D5</f>
        <v>0.0011296264278829813</v>
      </c>
    </row>
    <row r="9" spans="1:18" ht="12.75">
      <c r="A9" s="30" t="s">
        <v>5</v>
      </c>
      <c r="B9" s="30" t="s">
        <v>44</v>
      </c>
      <c r="C9" t="s">
        <v>39</v>
      </c>
      <c r="D9" s="5">
        <f t="shared" si="1"/>
        <v>500420.92</v>
      </c>
      <c r="E9" s="5">
        <f>198740.12+301680.8</f>
        <v>500420.92</v>
      </c>
      <c r="R9" s="12">
        <f>D9/D5</f>
        <v>0.005099387694069185</v>
      </c>
    </row>
    <row r="10" spans="1:18" ht="12.75">
      <c r="A10" s="30" t="s">
        <v>5</v>
      </c>
      <c r="B10" s="30" t="s">
        <v>45</v>
      </c>
      <c r="C10" t="s">
        <v>138</v>
      </c>
      <c r="D10" s="5">
        <f t="shared" si="1"/>
        <v>8702447.63</v>
      </c>
      <c r="E10" s="5">
        <f>9468639.46-766191.83</f>
        <v>8702447.63</v>
      </c>
      <c r="R10" s="12">
        <f>D10/D5</f>
        <v>0.08867965462495764</v>
      </c>
    </row>
    <row r="11" spans="1:18" ht="12.75">
      <c r="A11" s="30" t="s">
        <v>5</v>
      </c>
      <c r="B11" s="30" t="s">
        <v>49</v>
      </c>
      <c r="C11" t="s">
        <v>50</v>
      </c>
      <c r="D11" s="5">
        <f t="shared" si="1"/>
        <v>105413.83</v>
      </c>
      <c r="E11" s="5">
        <f>105413.83</f>
        <v>105413.83</v>
      </c>
      <c r="R11" s="12">
        <f>D11/D5</f>
        <v>0.001074187680816184</v>
      </c>
    </row>
    <row r="12" spans="1:18" ht="12.75">
      <c r="A12" s="30" t="s">
        <v>5</v>
      </c>
      <c r="B12" s="30" t="s">
        <v>53</v>
      </c>
      <c r="C12" t="s">
        <v>54</v>
      </c>
      <c r="D12" s="5">
        <f t="shared" si="1"/>
        <v>88900.66</v>
      </c>
      <c r="E12" s="5">
        <f>88900.66</f>
        <v>88900.66</v>
      </c>
      <c r="R12" s="12">
        <f>D12/D5</f>
        <v>0.0009059152275221202</v>
      </c>
    </row>
    <row r="13" spans="1:18" ht="12.75">
      <c r="A13" s="30" t="s">
        <v>17</v>
      </c>
      <c r="B13" s="30" t="s">
        <v>147</v>
      </c>
      <c r="C13" t="s">
        <v>24</v>
      </c>
      <c r="D13" s="5">
        <f t="shared" si="1"/>
        <v>3647310.73</v>
      </c>
      <c r="F13" s="5">
        <f>682672.96+1879000+644139.73+335575.03+61459.82-6794.5-38367.26-69086.01+158710.96</f>
        <v>3647310.73</v>
      </c>
      <c r="R13" s="12">
        <f>D13/D5</f>
        <v>0.03716681439498672</v>
      </c>
    </row>
    <row r="14" spans="1:18" ht="12.75">
      <c r="A14" s="30" t="s">
        <v>17</v>
      </c>
      <c r="B14" s="30" t="s">
        <v>32</v>
      </c>
      <c r="C14" t="s">
        <v>18</v>
      </c>
      <c r="D14" s="5">
        <f t="shared" si="1"/>
        <v>7483886.850000001</v>
      </c>
      <c r="F14" s="5">
        <f>1141981.41+6341905.44</f>
        <v>7483886.850000001</v>
      </c>
      <c r="R14" s="12">
        <f>D14/D5</f>
        <v>0.07626228037528128</v>
      </c>
    </row>
    <row r="15" spans="1:18" ht="12.75">
      <c r="A15" s="30" t="s">
        <v>17</v>
      </c>
      <c r="B15" s="30" t="s">
        <v>38</v>
      </c>
      <c r="C15" t="s">
        <v>40</v>
      </c>
      <c r="D15" s="5">
        <f t="shared" si="1"/>
        <v>86401.02</v>
      </c>
      <c r="F15" s="5">
        <f>86401.02</f>
        <v>86401.02</v>
      </c>
      <c r="R15" s="12">
        <f>D15/D5</f>
        <v>0.000880443403810987</v>
      </c>
    </row>
    <row r="16" spans="1:18" ht="12.75">
      <c r="A16" s="30" t="s">
        <v>17</v>
      </c>
      <c r="B16" s="30" t="s">
        <v>49</v>
      </c>
      <c r="C16" t="s">
        <v>51</v>
      </c>
      <c r="D16" s="5">
        <f t="shared" si="1"/>
        <v>58036.91</v>
      </c>
      <c r="F16" s="5">
        <v>58036.91</v>
      </c>
      <c r="R16" s="12">
        <f>D16/D5</f>
        <v>0.0005914075387891475</v>
      </c>
    </row>
    <row r="17" spans="1:18" ht="12.75">
      <c r="A17" s="30" t="s">
        <v>17</v>
      </c>
      <c r="B17" s="30" t="s">
        <v>49</v>
      </c>
      <c r="C17" t="s">
        <v>52</v>
      </c>
      <c r="D17" s="5">
        <f t="shared" si="1"/>
        <v>-8644.86</v>
      </c>
      <c r="F17" s="5">
        <f>-8644.86</f>
        <v>-8644.86</v>
      </c>
      <c r="R17" s="12">
        <f>D17/D5</f>
        <v>-8.80928253378195E-05</v>
      </c>
    </row>
    <row r="18" spans="1:18" ht="12.75">
      <c r="A18" s="30" t="s">
        <v>17</v>
      </c>
      <c r="B18" s="30" t="s">
        <v>48</v>
      </c>
      <c r="C18" t="s">
        <v>43</v>
      </c>
      <c r="D18" s="5">
        <f t="shared" si="1"/>
        <v>-5633</v>
      </c>
      <c r="F18" s="5">
        <f>-5633</f>
        <v>-5633</v>
      </c>
      <c r="R18" s="12">
        <f>D18/D5</f>
        <v>-5.740137898449913E-05</v>
      </c>
    </row>
    <row r="19" spans="1:18" ht="12.75">
      <c r="A19" s="30" t="s">
        <v>20</v>
      </c>
      <c r="B19" s="30" t="s">
        <v>167</v>
      </c>
      <c r="C19" t="s">
        <v>24</v>
      </c>
      <c r="D19" s="5">
        <f t="shared" si="1"/>
        <v>209474.52000000002</v>
      </c>
      <c r="G19" s="5">
        <f>6110+188167.92+15196.6</f>
        <v>209474.52000000002</v>
      </c>
      <c r="R19" s="12">
        <f>D19/D5</f>
        <v>0.0021345865986359034</v>
      </c>
    </row>
    <row r="20" spans="1:18" ht="12.75">
      <c r="A20" s="30" t="s">
        <v>20</v>
      </c>
      <c r="B20" s="30" t="s">
        <v>32</v>
      </c>
      <c r="C20" t="s">
        <v>21</v>
      </c>
      <c r="D20" s="5">
        <f t="shared" si="1"/>
        <v>1288197.08</v>
      </c>
      <c r="G20" s="5">
        <f>996960.19+291236.89</f>
        <v>1288197.08</v>
      </c>
      <c r="R20" s="12">
        <f>D20/D5</f>
        <v>0.013126981856169919</v>
      </c>
    </row>
    <row r="21" spans="1:18" ht="12.75">
      <c r="A21" s="30" t="s">
        <v>20</v>
      </c>
      <c r="B21" s="30" t="s">
        <v>38</v>
      </c>
      <c r="C21" t="s">
        <v>41</v>
      </c>
      <c r="D21" s="5">
        <f t="shared" si="1"/>
        <v>8653913.6</v>
      </c>
      <c r="G21" s="5">
        <v>8653913.6</v>
      </c>
      <c r="R21" s="12">
        <f>D21/D5</f>
        <v>0.0881850833042271</v>
      </c>
    </row>
    <row r="22" spans="1:18" ht="12.75">
      <c r="A22" s="30" t="s">
        <v>25</v>
      </c>
      <c r="B22" s="30" t="s">
        <v>154</v>
      </c>
      <c r="C22" t="s">
        <v>24</v>
      </c>
      <c r="D22" s="5">
        <f t="shared" si="1"/>
        <v>1248573.17</v>
      </c>
      <c r="H22" s="5">
        <f>36069.64+929868.46+188018.95+94616.12</f>
        <v>1248573.17</v>
      </c>
      <c r="R22" s="12">
        <f>D22/D5</f>
        <v>0.012723206412399692</v>
      </c>
    </row>
    <row r="23" spans="1:18" ht="12.75">
      <c r="A23" s="30" t="s">
        <v>25</v>
      </c>
      <c r="B23" s="30" t="s">
        <v>33</v>
      </c>
      <c r="C23" t="s">
        <v>34</v>
      </c>
      <c r="D23" s="5">
        <f t="shared" si="1"/>
        <v>2551199.92</v>
      </c>
      <c r="H23" s="5">
        <v>2551199.92</v>
      </c>
      <c r="R23" s="12">
        <f>D23/D5</f>
        <v>0.02599722944667919</v>
      </c>
    </row>
    <row r="24" spans="1:18" ht="12.75">
      <c r="A24" s="30" t="s">
        <v>26</v>
      </c>
      <c r="B24" s="30" t="s">
        <v>42</v>
      </c>
      <c r="C24" t="s">
        <v>24</v>
      </c>
      <c r="D24" s="5">
        <f t="shared" si="1"/>
        <v>413753.82</v>
      </c>
      <c r="J24" s="5">
        <f>34158.65+245714.72+133880.45</f>
        <v>413753.82</v>
      </c>
      <c r="R24" s="12">
        <f>D24/D5</f>
        <v>0.004216232882674284</v>
      </c>
    </row>
    <row r="25" spans="1:18" ht="12.75">
      <c r="A25" s="30" t="s">
        <v>26</v>
      </c>
      <c r="B25" s="30" t="s">
        <v>33</v>
      </c>
      <c r="C25" t="s">
        <v>35</v>
      </c>
      <c r="D25" s="5">
        <f t="shared" si="1"/>
        <v>2122452.69</v>
      </c>
      <c r="J25" s="5">
        <v>2122452.69</v>
      </c>
      <c r="R25" s="12">
        <f>D25/D5</f>
        <v>0.021628210764310252</v>
      </c>
    </row>
    <row r="26" spans="1:18" ht="12.75">
      <c r="A26" s="30" t="s">
        <v>26</v>
      </c>
      <c r="B26" s="30" t="s">
        <v>53</v>
      </c>
      <c r="C26" t="s">
        <v>43</v>
      </c>
      <c r="D26" s="5">
        <f t="shared" si="1"/>
        <v>18970</v>
      </c>
      <c r="J26" s="5">
        <f>18970</f>
        <v>18970</v>
      </c>
      <c r="R26" s="12">
        <f>D26/D5</f>
        <v>0.00019330803467707236</v>
      </c>
    </row>
    <row r="27" spans="1:18" ht="12.75">
      <c r="A27" s="30" t="s">
        <v>150</v>
      </c>
      <c r="B27" s="30" t="s">
        <v>151</v>
      </c>
      <c r="C27" t="s">
        <v>43</v>
      </c>
      <c r="D27" s="5">
        <f t="shared" si="1"/>
        <v>24970</v>
      </c>
      <c r="K27" s="5">
        <f>9970+15000</f>
        <v>24970</v>
      </c>
      <c r="R27" s="12">
        <f>D27/D5</f>
        <v>0.0002544492159138902</v>
      </c>
    </row>
    <row r="28" spans="1:18" ht="12.75">
      <c r="A28" s="30" t="s">
        <v>27</v>
      </c>
      <c r="B28" s="30" t="s">
        <v>155</v>
      </c>
      <c r="C28" t="s">
        <v>24</v>
      </c>
      <c r="D28" s="5">
        <f t="shared" si="1"/>
        <v>1257941.6800000002</v>
      </c>
      <c r="L28" s="5">
        <f>90000+359860.57+487000+67741.82+253339.29</f>
        <v>1257941.6800000002</v>
      </c>
      <c r="R28" s="12">
        <f>D28/D5</f>
        <v>0.012818673373704518</v>
      </c>
    </row>
    <row r="29" spans="1:18" ht="12.75">
      <c r="A29" s="30" t="s">
        <v>27</v>
      </c>
      <c r="B29" s="30" t="s">
        <v>38</v>
      </c>
      <c r="C29" t="s">
        <v>43</v>
      </c>
      <c r="D29" s="5">
        <f t="shared" si="1"/>
        <v>23947.5</v>
      </c>
      <c r="L29" s="5">
        <f>23947.5</f>
        <v>23947.5</v>
      </c>
      <c r="R29" s="12">
        <f>D29/D5</f>
        <v>0.00024402973961144914</v>
      </c>
    </row>
    <row r="30" spans="1:18" ht="12.75">
      <c r="A30" s="30" t="s">
        <v>22</v>
      </c>
      <c r="B30" s="30" t="s">
        <v>32</v>
      </c>
      <c r="C30" t="s">
        <v>24</v>
      </c>
      <c r="D30" s="5">
        <f t="shared" si="1"/>
        <v>357780.19</v>
      </c>
      <c r="M30" s="5">
        <f>242768.2+115011.99</f>
        <v>357780.19</v>
      </c>
      <c r="R30" s="12">
        <f>D30/D5</f>
        <v>0.003645850573288853</v>
      </c>
    </row>
    <row r="31" spans="1:18" ht="12.75">
      <c r="A31" s="30" t="s">
        <v>22</v>
      </c>
      <c r="B31" s="30" t="s">
        <v>19</v>
      </c>
      <c r="C31" t="s">
        <v>23</v>
      </c>
      <c r="D31" s="5">
        <f t="shared" si="1"/>
        <v>248545</v>
      </c>
      <c r="M31" s="5">
        <v>248545</v>
      </c>
      <c r="R31" s="12">
        <f>D31/D5</f>
        <v>0.0025327224817508144</v>
      </c>
    </row>
    <row r="32" spans="1:18" ht="12.75">
      <c r="A32" s="30" t="s">
        <v>22</v>
      </c>
      <c r="B32" s="30" t="s">
        <v>32</v>
      </c>
      <c r="C32" t="s">
        <v>37</v>
      </c>
      <c r="D32" s="5">
        <f t="shared" si="1"/>
        <v>97021.54</v>
      </c>
      <c r="M32" s="5">
        <f>45603.09+51418.45</f>
        <v>97021.54</v>
      </c>
      <c r="R32" s="12">
        <f>D32/D5</f>
        <v>0.0009886685935025282</v>
      </c>
    </row>
    <row r="33" spans="1:18" ht="12.75">
      <c r="A33" s="30" t="s">
        <v>28</v>
      </c>
      <c r="B33" s="30" t="s">
        <v>47</v>
      </c>
      <c r="C33" t="s">
        <v>24</v>
      </c>
      <c r="D33" s="5">
        <f t="shared" si="1"/>
        <v>1090369.3299999998</v>
      </c>
      <c r="N33" s="5">
        <f>190253.12+369334.97+251602.82+279178.42</f>
        <v>1090369.3299999998</v>
      </c>
      <c r="R33" s="12">
        <f>D33/D5</f>
        <v>0.011111078136766268</v>
      </c>
    </row>
    <row r="34" spans="1:18" ht="12.75">
      <c r="A34" s="30" t="s">
        <v>28</v>
      </c>
      <c r="B34" s="30" t="s">
        <v>33</v>
      </c>
      <c r="C34" t="s">
        <v>36</v>
      </c>
      <c r="D34" s="5">
        <f t="shared" si="1"/>
        <v>2457480.06</v>
      </c>
      <c r="N34" s="5">
        <v>2457480.06</v>
      </c>
      <c r="R34" s="12">
        <f>D34/D5</f>
        <v>0.025042205622387657</v>
      </c>
    </row>
    <row r="35" spans="1:18" ht="12.75">
      <c r="A35" s="30" t="s">
        <v>29</v>
      </c>
      <c r="B35" s="30" t="s">
        <v>145</v>
      </c>
      <c r="C35" t="s">
        <v>24</v>
      </c>
      <c r="D35" s="5">
        <f t="shared" si="1"/>
        <v>313603.51</v>
      </c>
      <c r="O35" s="5">
        <f>65575.07+248028.44</f>
        <v>313603.51</v>
      </c>
      <c r="R35" s="12">
        <f>D35/D5</f>
        <v>0.0031956815069020352</v>
      </c>
    </row>
    <row r="36" spans="1:18" ht="12.75">
      <c r="A36" s="30" t="s">
        <v>29</v>
      </c>
      <c r="B36" s="30" t="s">
        <v>149</v>
      </c>
      <c r="C36" t="s">
        <v>43</v>
      </c>
      <c r="D36" s="5">
        <f t="shared" si="1"/>
        <v>498006.5</v>
      </c>
      <c r="O36" s="5">
        <f>51451.5+246555+200000</f>
        <v>498006.5</v>
      </c>
      <c r="R36" s="12">
        <f>D36/D5</f>
        <v>0.005074784278935552</v>
      </c>
    </row>
    <row r="37" spans="1:18" ht="12.75">
      <c r="A37" s="30" t="s">
        <v>30</v>
      </c>
      <c r="B37" s="30" t="s">
        <v>148</v>
      </c>
      <c r="C37" t="s">
        <v>24</v>
      </c>
      <c r="D37" s="5">
        <f t="shared" si="1"/>
        <v>2307993.5599999996</v>
      </c>
      <c r="P37" s="5">
        <f>12007.36+391267.59+483716.2+1000424.28+179960.19+12017.93+34578+194022.01</f>
        <v>2307993.5599999996</v>
      </c>
      <c r="R37" s="12">
        <f>D37/D5</f>
        <v>0.02351890875756139</v>
      </c>
    </row>
    <row r="38" spans="1:18" ht="12.75">
      <c r="A38" s="30" t="s">
        <v>30</v>
      </c>
      <c r="B38" s="30" t="s">
        <v>45</v>
      </c>
      <c r="C38" t="s">
        <v>46</v>
      </c>
      <c r="D38" s="5">
        <f t="shared" si="1"/>
        <v>122494.35</v>
      </c>
      <c r="P38" s="5">
        <v>122494.35</v>
      </c>
      <c r="R38" s="12">
        <f>D38/D5</f>
        <v>0.0012482415423060327</v>
      </c>
    </row>
    <row r="39" spans="1:19" ht="12.75">
      <c r="A39" s="30" t="s">
        <v>31</v>
      </c>
      <c r="B39" s="30" t="s">
        <v>55</v>
      </c>
      <c r="C39" t="s">
        <v>24</v>
      </c>
      <c r="D39" s="5">
        <f t="shared" si="1"/>
        <v>702285.01</v>
      </c>
      <c r="Q39" s="5">
        <f>65782.4+367000+16314.08+11993.9+76763.05+164431.58</f>
        <v>702285.01</v>
      </c>
      <c r="R39" s="12">
        <f>D39/D5</f>
        <v>0.007156422512718403</v>
      </c>
      <c r="S39" s="12"/>
    </row>
    <row r="40" spans="1:18" ht="12.75">
      <c r="A40" s="30" t="s">
        <v>5</v>
      </c>
      <c r="B40" s="30" t="s">
        <v>152</v>
      </c>
      <c r="C40" t="s">
        <v>63</v>
      </c>
      <c r="D40" s="5">
        <f t="shared" si="1"/>
        <v>8019866.98</v>
      </c>
      <c r="E40" s="5">
        <f>478502.95+7541364.03</f>
        <v>8019866.98</v>
      </c>
      <c r="R40" s="12">
        <f>D40/D5</f>
        <v>0.08172402341989181</v>
      </c>
    </row>
    <row r="41" spans="1:18" ht="12.75">
      <c r="A41" s="30" t="s">
        <v>5</v>
      </c>
      <c r="B41" s="30" t="s">
        <v>62</v>
      </c>
      <c r="C41" t="s">
        <v>64</v>
      </c>
      <c r="D41" s="5">
        <f t="shared" si="1"/>
        <v>5845283.67</v>
      </c>
      <c r="E41" s="5">
        <v>5845283.67</v>
      </c>
      <c r="R41" s="12">
        <f>D41/D5</f>
        <v>0.05956459137468027</v>
      </c>
    </row>
    <row r="42" spans="1:18" ht="12.75">
      <c r="A42" s="30" t="s">
        <v>5</v>
      </c>
      <c r="B42" s="30" t="s">
        <v>70</v>
      </c>
      <c r="C42" t="s">
        <v>71</v>
      </c>
      <c r="D42" s="5">
        <f aca="true" t="shared" si="2" ref="D42:D63">SUM(E42:Q42)</f>
        <v>3099098.32</v>
      </c>
      <c r="E42" s="5">
        <v>3099098.32</v>
      </c>
      <c r="R42" s="12">
        <f>D42/D5</f>
        <v>0.03158042200897294</v>
      </c>
    </row>
    <row r="43" spans="1:18" ht="12.75">
      <c r="A43" s="30" t="s">
        <v>5</v>
      </c>
      <c r="B43" s="30" t="s">
        <v>13</v>
      </c>
      <c r="C43" t="s">
        <v>15</v>
      </c>
      <c r="D43" s="5">
        <f t="shared" si="2"/>
        <v>2253928.3</v>
      </c>
      <c r="E43" s="5">
        <f>2253928.3</f>
        <v>2253928.3</v>
      </c>
      <c r="R43" s="12">
        <f>D43/D5</f>
        <v>0.022967973114182114</v>
      </c>
    </row>
    <row r="44" spans="1:18" ht="12.75">
      <c r="A44" s="30" t="s">
        <v>5</v>
      </c>
      <c r="B44" s="30" t="s">
        <v>13</v>
      </c>
      <c r="C44" t="s">
        <v>81</v>
      </c>
      <c r="D44" s="5">
        <f t="shared" si="2"/>
        <v>258179.39</v>
      </c>
      <c r="E44" s="5">
        <f>258179.39</f>
        <v>258179.39</v>
      </c>
      <c r="R44" s="12">
        <f>D44/D5</f>
        <v>0.0026308988126001786</v>
      </c>
    </row>
    <row r="45" spans="1:18" ht="12.75">
      <c r="A45" s="30" t="s">
        <v>17</v>
      </c>
      <c r="B45" s="30" t="s">
        <v>62</v>
      </c>
      <c r="C45" t="s">
        <v>139</v>
      </c>
      <c r="D45" s="5">
        <f t="shared" si="2"/>
        <v>4084600.87</v>
      </c>
      <c r="F45" s="5">
        <v>4084600.87</v>
      </c>
      <c r="R45" s="12">
        <f>D45/D5</f>
        <v>0.041622887012122294</v>
      </c>
    </row>
    <row r="46" spans="1:18" ht="12.75">
      <c r="A46" s="30" t="s">
        <v>17</v>
      </c>
      <c r="B46" s="30" t="s">
        <v>62</v>
      </c>
      <c r="C46" t="s">
        <v>65</v>
      </c>
      <c r="D46" s="5">
        <f t="shared" si="2"/>
        <v>442785.36</v>
      </c>
      <c r="F46" s="5">
        <v>442785.36</v>
      </c>
      <c r="R46" s="12">
        <f>D46/D5</f>
        <v>0.004512069990794938</v>
      </c>
    </row>
    <row r="47" spans="1:18" ht="12.75">
      <c r="A47" s="30" t="s">
        <v>17</v>
      </c>
      <c r="B47" s="30" t="s">
        <v>70</v>
      </c>
      <c r="C47" t="s">
        <v>72</v>
      </c>
      <c r="D47" s="5">
        <f t="shared" si="2"/>
        <v>1385124.48</v>
      </c>
      <c r="F47" s="5">
        <f>1385124.48</f>
        <v>1385124.48</v>
      </c>
      <c r="R47" s="12">
        <f>D47/D5</f>
        <v>0.014114691144538841</v>
      </c>
    </row>
    <row r="48" spans="1:18" ht="12.75">
      <c r="A48" s="30" t="s">
        <v>20</v>
      </c>
      <c r="B48" s="30" t="s">
        <v>70</v>
      </c>
      <c r="C48" t="s">
        <v>73</v>
      </c>
      <c r="D48" s="5">
        <f t="shared" si="2"/>
        <v>702428.94</v>
      </c>
      <c r="G48" s="5">
        <v>702428.94</v>
      </c>
      <c r="R48" s="12">
        <f>D48/D5</f>
        <v>0.007157889187754305</v>
      </c>
    </row>
    <row r="49" spans="1:18" ht="12.75">
      <c r="A49" s="30" t="s">
        <v>20</v>
      </c>
      <c r="B49" s="30" t="s">
        <v>13</v>
      </c>
      <c r="C49" t="s">
        <v>82</v>
      </c>
      <c r="D49" s="5">
        <f t="shared" si="2"/>
        <v>136415.17</v>
      </c>
      <c r="G49" s="5">
        <f>136415.17</f>
        <v>136415.17</v>
      </c>
      <c r="R49" s="12">
        <f>D49/D5</f>
        <v>0.0013900974387368859</v>
      </c>
    </row>
    <row r="50" spans="1:18" ht="12.75">
      <c r="A50" s="30" t="s">
        <v>20</v>
      </c>
      <c r="B50" s="30" t="s">
        <v>83</v>
      </c>
      <c r="C50" t="s">
        <v>84</v>
      </c>
      <c r="D50" s="5">
        <f t="shared" si="2"/>
        <v>542034.14</v>
      </c>
      <c r="G50" s="5">
        <v>542034.14</v>
      </c>
      <c r="R50" s="12">
        <f>D50/D5</f>
        <v>0.005523434598380448</v>
      </c>
    </row>
    <row r="51" spans="1:18" ht="12.75">
      <c r="A51" s="30" t="s">
        <v>25</v>
      </c>
      <c r="B51" s="30" t="s">
        <v>56</v>
      </c>
      <c r="C51" t="s">
        <v>57</v>
      </c>
      <c r="D51" s="5">
        <f t="shared" si="2"/>
        <v>1321981.34</v>
      </c>
      <c r="H51" s="5">
        <v>1321981.34</v>
      </c>
      <c r="R51" s="12">
        <f>D51/D5</f>
        <v>0.013471250116771883</v>
      </c>
    </row>
    <row r="52" spans="1:18" ht="12.75">
      <c r="A52" s="30" t="s">
        <v>25</v>
      </c>
      <c r="B52" s="30" t="s">
        <v>153</v>
      </c>
      <c r="C52" t="s">
        <v>58</v>
      </c>
      <c r="D52" s="5">
        <f t="shared" si="2"/>
        <v>2958966.16</v>
      </c>
      <c r="H52" s="5">
        <f>527766+2000000+431200.16</f>
        <v>2958966.16</v>
      </c>
      <c r="R52" s="12">
        <f>D52/D5</f>
        <v>0.030152447710361817</v>
      </c>
    </row>
    <row r="53" spans="1:18" ht="12.75">
      <c r="A53" s="30" t="s">
        <v>25</v>
      </c>
      <c r="B53" s="30" t="s">
        <v>56</v>
      </c>
      <c r="C53" t="s">
        <v>59</v>
      </c>
      <c r="D53" s="5">
        <f t="shared" si="2"/>
        <v>447676.29</v>
      </c>
      <c r="H53" s="5">
        <v>447676.29</v>
      </c>
      <c r="R53" s="12">
        <f>D53/D5</f>
        <v>0.004561909530386036</v>
      </c>
    </row>
    <row r="54" spans="1:18" ht="12.75">
      <c r="A54" s="30" t="s">
        <v>25</v>
      </c>
      <c r="B54" s="30" t="s">
        <v>62</v>
      </c>
      <c r="C54" t="s">
        <v>66</v>
      </c>
      <c r="D54" s="5">
        <f t="shared" si="2"/>
        <v>1286321.35</v>
      </c>
      <c r="H54" s="5">
        <v>1286321.35</v>
      </c>
      <c r="R54" s="12">
        <f>D54/D5</f>
        <v>0.013107867798189697</v>
      </c>
    </row>
    <row r="55" spans="1:18" ht="12.75">
      <c r="A55" s="30" t="s">
        <v>25</v>
      </c>
      <c r="B55" s="30" t="s">
        <v>78</v>
      </c>
      <c r="C55" t="s">
        <v>79</v>
      </c>
      <c r="D55" s="5">
        <f t="shared" si="2"/>
        <v>49572</v>
      </c>
      <c r="H55" s="5">
        <f>49572</f>
        <v>49572</v>
      </c>
      <c r="R55" s="12">
        <f>D55/D5</f>
        <v>0.0005051484393785889</v>
      </c>
    </row>
    <row r="56" spans="1:18" ht="12.75">
      <c r="A56" s="30" t="s">
        <v>67</v>
      </c>
      <c r="B56" s="30" t="s">
        <v>62</v>
      </c>
      <c r="C56" t="s">
        <v>68</v>
      </c>
      <c r="D56" s="5">
        <f t="shared" si="2"/>
        <v>2713564.15</v>
      </c>
      <c r="I56" s="5">
        <v>2713564.15</v>
      </c>
      <c r="R56" s="12">
        <f>D56/D5</f>
        <v>0.027651752915480252</v>
      </c>
    </row>
    <row r="57" spans="1:18" ht="12.75">
      <c r="A57" s="30" t="s">
        <v>61</v>
      </c>
      <c r="B57" s="30" t="s">
        <v>56</v>
      </c>
      <c r="C57" t="s">
        <v>143</v>
      </c>
      <c r="D57" s="5">
        <f t="shared" si="2"/>
        <v>427217.64</v>
      </c>
      <c r="K57" s="5">
        <v>427217.64</v>
      </c>
      <c r="R57" s="12">
        <f>D57/D5</f>
        <v>0.004353431859134266</v>
      </c>
    </row>
    <row r="58" spans="1:18" ht="12.75">
      <c r="A58" s="30" t="s">
        <v>61</v>
      </c>
      <c r="B58" s="30" t="s">
        <v>62</v>
      </c>
      <c r="C58" t="s">
        <v>69</v>
      </c>
      <c r="D58" s="5">
        <f t="shared" si="2"/>
        <v>2198471.7</v>
      </c>
      <c r="K58" s="5">
        <f>2198471.7</f>
        <v>2198471.7</v>
      </c>
      <c r="R58" s="12">
        <f>D58/D5</f>
        <v>0.022402859442285834</v>
      </c>
    </row>
    <row r="59" spans="1:18" ht="12.75">
      <c r="A59" s="30" t="s">
        <v>22</v>
      </c>
      <c r="B59" s="30" t="s">
        <v>70</v>
      </c>
      <c r="C59" t="s">
        <v>74</v>
      </c>
      <c r="D59" s="5">
        <f t="shared" si="2"/>
        <v>627642.84</v>
      </c>
      <c r="M59" s="5">
        <f>627642.84</f>
        <v>627642.84</v>
      </c>
      <c r="R59" s="12">
        <f>D59/D5</f>
        <v>0.006395804105405175</v>
      </c>
    </row>
    <row r="60" spans="1:18" ht="12.75">
      <c r="A60" s="30" t="s">
        <v>30</v>
      </c>
      <c r="B60" s="30" t="s">
        <v>70</v>
      </c>
      <c r="C60" t="s">
        <v>75</v>
      </c>
      <c r="D60" s="5">
        <f t="shared" si="2"/>
        <v>6300</v>
      </c>
      <c r="P60" s="5">
        <f>6300</f>
        <v>6300</v>
      </c>
      <c r="R60" s="12">
        <f>D60/D5</f>
        <v>6.419824029865872E-05</v>
      </c>
    </row>
    <row r="61" spans="1:18" ht="12.75">
      <c r="A61" s="30" t="s">
        <v>30</v>
      </c>
      <c r="B61" s="30" t="s">
        <v>70</v>
      </c>
      <c r="C61" t="s">
        <v>76</v>
      </c>
      <c r="D61" s="5">
        <f t="shared" si="2"/>
        <v>11695</v>
      </c>
      <c r="P61" s="5">
        <v>11695</v>
      </c>
      <c r="R61" s="12">
        <f>D61/D5</f>
        <v>0.00011917435242743074</v>
      </c>
    </row>
    <row r="62" spans="1:18" ht="12.75">
      <c r="A62" s="30" t="s">
        <v>30</v>
      </c>
      <c r="B62" s="30" t="s">
        <v>78</v>
      </c>
      <c r="C62" t="s">
        <v>80</v>
      </c>
      <c r="D62" s="5">
        <f t="shared" si="2"/>
        <v>2114546.04</v>
      </c>
      <c r="P62" s="5">
        <v>2114546.04</v>
      </c>
      <c r="R62" s="12">
        <f>D62/D5</f>
        <v>0.021547640444205905</v>
      </c>
    </row>
    <row r="63" spans="1:18" ht="12.75">
      <c r="A63" s="30" t="s">
        <v>31</v>
      </c>
      <c r="B63" s="30" t="s">
        <v>77</v>
      </c>
      <c r="C63" t="s">
        <v>60</v>
      </c>
      <c r="D63" s="5">
        <f t="shared" si="2"/>
        <v>3930404.17</v>
      </c>
      <c r="Q63" s="5">
        <f>3215497.1+714907.07</f>
        <v>3930404.17</v>
      </c>
      <c r="R63" s="12">
        <f>D63/D5</f>
        <v>0.04005159228198576</v>
      </c>
    </row>
    <row r="64" spans="5:18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7"/>
    </row>
    <row r="65" spans="2:18" s="12" customFormat="1" ht="13.5" thickBot="1">
      <c r="B65" s="55"/>
      <c r="C65" s="13" t="s">
        <v>8</v>
      </c>
      <c r="D65" s="60">
        <f>SUM(E65:Q65)</f>
        <v>0.9999999999999996</v>
      </c>
      <c r="E65" s="14">
        <f>E5/D5</f>
        <v>0.361501846247692</v>
      </c>
      <c r="F65" s="14">
        <f>F5/D5</f>
        <v>0.1750050996560019</v>
      </c>
      <c r="G65" s="14">
        <f>G5/D5</f>
        <v>0.11751807298390456</v>
      </c>
      <c r="H65" s="14">
        <f>H5/D5</f>
        <v>0.10051905945416688</v>
      </c>
      <c r="I65" s="14">
        <f>I5/D5</f>
        <v>0.027651752915480252</v>
      </c>
      <c r="J65" s="14">
        <f>J5/D5</f>
        <v>0.026037751681661607</v>
      </c>
      <c r="K65" s="14">
        <f>K5/D5</f>
        <v>0.02701074051733399</v>
      </c>
      <c r="L65" s="14">
        <f>L5/D5</f>
        <v>0.013062703113315966</v>
      </c>
      <c r="M65" s="14">
        <f>M5/D5</f>
        <v>0.013563045753947369</v>
      </c>
      <c r="N65" s="14">
        <f>N5/D5</f>
        <v>0.03615328375915392</v>
      </c>
      <c r="O65" s="14">
        <f>O5/D5</f>
        <v>0.008270465785837589</v>
      </c>
      <c r="P65" s="14">
        <f>P5/D5</f>
        <v>0.04649816333679942</v>
      </c>
      <c r="Q65" s="14">
        <f>Q5/D5</f>
        <v>0.047208014794704156</v>
      </c>
      <c r="R65" s="14">
        <f>SUM(R6:R64)</f>
        <v>0.9999999999999998</v>
      </c>
    </row>
    <row r="66" spans="1:18" s="12" customFormat="1" ht="13.5" thickTop="1">
      <c r="A66" s="34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2" customFormat="1" ht="12.75">
      <c r="A67" s="6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ht="12.75">
      <c r="A68" s="35"/>
    </row>
    <row r="69" spans="1:18" s="52" customFormat="1" ht="12.75">
      <c r="A69" s="34"/>
      <c r="B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</row>
    <row r="70" spans="1:18" s="52" customFormat="1" ht="12.75">
      <c r="A70" s="6"/>
      <c r="B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</row>
    <row r="71" spans="3:5" ht="12.75">
      <c r="C71" s="66" t="s">
        <v>140</v>
      </c>
      <c r="D71" s="50">
        <v>95000000</v>
      </c>
      <c r="E71" s="28"/>
    </row>
    <row r="72" spans="3:4" ht="12.75">
      <c r="C72" s="11" t="s">
        <v>141</v>
      </c>
      <c r="D72" s="59">
        <v>6099408.5</v>
      </c>
    </row>
    <row r="73" spans="3:5" ht="13.5" thickBot="1">
      <c r="C73" s="8" t="s">
        <v>4</v>
      </c>
      <c r="D73" s="49">
        <f>SUM(D71:D72)</f>
        <v>101099408.5</v>
      </c>
      <c r="E73" s="68">
        <f>D5/D73</f>
        <v>0.9706637495312352</v>
      </c>
    </row>
    <row r="74" spans="3:5" ht="13.5" thickTop="1">
      <c r="C74" s="6"/>
      <c r="D74" s="16"/>
      <c r="E74" s="29"/>
    </row>
    <row r="75" spans="3:4" ht="12.75">
      <c r="C75" s="11" t="s">
        <v>156</v>
      </c>
      <c r="D75" s="33">
        <v>650958.73</v>
      </c>
    </row>
    <row r="76" spans="3:4" ht="12.75">
      <c r="C76" s="11" t="s">
        <v>157</v>
      </c>
      <c r="D76" s="33">
        <f>98899722.76-766191.83</f>
        <v>98133530.93</v>
      </c>
    </row>
    <row r="77" spans="3:4" ht="12.75">
      <c r="C77" s="11" t="s">
        <v>158</v>
      </c>
      <c r="D77" s="33">
        <v>2432645</v>
      </c>
    </row>
    <row r="78" spans="3:5" ht="13.5" thickBot="1">
      <c r="C78" s="11"/>
      <c r="D78" s="69">
        <f>SUM(D75:D77)</f>
        <v>101217134.66000001</v>
      </c>
      <c r="E78" s="5">
        <f>D78-D73</f>
        <v>117726.16000001132</v>
      </c>
    </row>
    <row r="79" spans="3:4" ht="13.5" thickTop="1">
      <c r="C79" s="11"/>
      <c r="D79" s="33"/>
    </row>
    <row r="80" spans="3:4" ht="12.75">
      <c r="C80" s="11" t="s">
        <v>161</v>
      </c>
      <c r="D80" s="33">
        <f>D73-D78</f>
        <v>-117726.16000001132</v>
      </c>
    </row>
    <row r="81" spans="3:4" ht="12.75">
      <c r="C81" s="11" t="s">
        <v>162</v>
      </c>
      <c r="D81" s="33">
        <f>4888176.59-4958309.81</f>
        <v>-70133.21999999974</v>
      </c>
    </row>
    <row r="82" spans="3:4" ht="12.75">
      <c r="C82" s="11" t="s">
        <v>163</v>
      </c>
      <c r="D82" s="33">
        <f>9964642.42-10000000</f>
        <v>-35357.580000000075</v>
      </c>
    </row>
    <row r="83" spans="3:4" ht="12.75">
      <c r="C83" s="11" t="s">
        <v>159</v>
      </c>
      <c r="D83" s="33">
        <v>295196.15</v>
      </c>
    </row>
    <row r="84" spans="3:4" ht="12.75">
      <c r="C84" s="11" t="s">
        <v>160</v>
      </c>
      <c r="D84" s="33">
        <v>51146.55</v>
      </c>
    </row>
    <row r="85" spans="3:4" ht="13.5" thickBot="1">
      <c r="C85" s="11"/>
      <c r="D85" s="69">
        <f>SUM(D80:D84)</f>
        <v>123125.73999998889</v>
      </c>
    </row>
    <row r="86" ht="13.5" thickTop="1">
      <c r="D86" s="12"/>
    </row>
    <row r="87" ht="12.75">
      <c r="D87" s="12"/>
    </row>
  </sheetData>
  <sheetProtection/>
  <printOptions/>
  <pageMargins left="0.5" right="0" top="0.5" bottom="0.5" header="0.5" footer="0.25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2019-01-28T20:58:36Z</cp:lastPrinted>
  <dcterms:created xsi:type="dcterms:W3CDTF">1998-02-23T20:58:01Z</dcterms:created>
  <dcterms:modified xsi:type="dcterms:W3CDTF">2020-01-13T14:54:37Z</dcterms:modified>
  <cp:category/>
  <cp:version/>
  <cp:contentType/>
  <cp:contentStatus/>
</cp:coreProperties>
</file>