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52" activeTab="0"/>
  </bookViews>
  <sheets>
    <sheet name="2010C" sheetId="1" r:id="rId1"/>
    <sheet name="2010C Academic" sheetId="2" r:id="rId2"/>
    <sheet name="2011B" sheetId="3" r:id="rId3"/>
    <sheet name="2011B Academic" sheetId="4" r:id="rId4"/>
    <sheet name="UMBI adjustment" sheetId="5" r:id="rId5"/>
  </sheets>
  <definedNames>
    <definedName name="_xlnm.Print_Titles" localSheetId="0">'2010C'!$A:$A</definedName>
    <definedName name="_xlnm.Print_Titles" localSheetId="1">'2010C Academic'!$A:$A</definedName>
    <definedName name="_xlnm.Print_Titles" localSheetId="2">'2011B'!$A:$A</definedName>
    <definedName name="_xlnm.Print_Titles" localSheetId="3">'2011B Academic'!$A:$A</definedName>
  </definedNames>
  <calcPr fullCalcOnLoad="1"/>
</workbook>
</file>

<file path=xl/sharedStrings.xml><?xml version="1.0" encoding="utf-8"?>
<sst xmlns="http://schemas.openxmlformats.org/spreadsheetml/2006/main" count="894" uniqueCount="67">
  <si>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</si>
  <si>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</si>
  <si>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</si>
  <si>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</si>
  <si>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</si>
  <si>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</si>
  <si>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</si>
  <si>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</si>
  <si>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</si>
  <si>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</si>
  <si>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</si>
  <si>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</si>
  <si>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</si>
  <si>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</si>
  <si>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</si>
  <si>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</si>
  <si>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</si>
  <si>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</si>
  <si>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</si>
  <si>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</si>
  <si>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</si>
  <si>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</si>
  <si>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</si>
  <si>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</si>
  <si>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</si>
  <si>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</si>
  <si>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</si>
  <si>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</si>
  <si>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</si>
  <si>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</si>
  <si>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</si>
  <si>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</si>
  <si>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</si>
  <si>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</si>
  <si>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</si>
  <si>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</si>
  <si>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</si>
  <si>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</si>
  <si>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</si>
  <si>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</si>
  <si>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</si>
  <si>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</si>
  <si>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</si>
  <si>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</si>
  <si>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</si>
  <si>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</si>
  <si>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</si>
  <si>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</si>
  <si>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</si>
  <si>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</si>
  <si>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</si>
  <si>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</si>
  <si>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</si>
  <si>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</si>
  <si>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</si>
  <si>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</si>
  <si>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</si>
  <si>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 xml:space="preserve"> UMCP Transfer from UMBI (Academic)</t>
  </si>
  <si>
    <t>2004 Series A Bond Funded Projects After 2010C</t>
  </si>
  <si>
    <t>Revised 2004A Debt After 2010C</t>
  </si>
  <si>
    <t>2004A Refinanced on 2010C</t>
  </si>
  <si>
    <t xml:space="preserve">   1992 Series C Bonds Refinanced on 2010C</t>
  </si>
  <si>
    <t>Loss on Refunding</t>
  </si>
  <si>
    <t>(Gain) on Refunding</t>
  </si>
  <si>
    <t>2004 Series A Bond Funded Projects After 2011B</t>
  </si>
  <si>
    <t>Revised 2004A Debt After 2011B</t>
  </si>
  <si>
    <t>2004A Refinanced on 2011B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</si>
</sst>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59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3" customWidth="1"/>
    <col min="9" max="12" width="13.7109375" style="13" customWidth="1"/>
    <col min="13" max="13" width="16.421875" style="13" customWidth="1"/>
    <col min="14" max="14" width="3.7109375" style="13" customWidth="1"/>
    <col min="15" max="18" width="13.7109375" style="13" customWidth="1"/>
    <col min="19" max="19" width="16.7109375" style="13" customWidth="1"/>
    <col min="20" max="20" width="3.7109375" style="13" customWidth="1"/>
    <col min="21" max="24" width="13.7109375" style="13" customWidth="1"/>
    <col min="25" max="25" width="15.7109375" style="13" customWidth="1"/>
    <col min="26" max="26" width="3.7109375" style="13" customWidth="1"/>
    <col min="27" max="30" width="13.7109375" style="0" customWidth="1"/>
    <col min="31" max="31" width="16.28125" style="0" customWidth="1"/>
    <col min="32" max="32" width="3.7109375" style="13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.75">
      <c r="A1" s="22"/>
      <c r="B1" s="10"/>
      <c r="C1" s="21"/>
      <c r="D1" s="23"/>
      <c r="I1" s="23" t="s">
        <v>6</v>
      </c>
      <c r="O1" s="23"/>
      <c r="AA1" s="23" t="s">
        <v>6</v>
      </c>
      <c r="AG1" s="23"/>
      <c r="AS1" s="23" t="s">
        <v>6</v>
      </c>
      <c r="AY1" s="23"/>
      <c r="BK1" s="23" t="s">
        <v>6</v>
      </c>
      <c r="BQ1" s="23"/>
      <c r="CC1" s="23" t="s">
        <v>6</v>
      </c>
      <c r="CI1" s="23"/>
      <c r="CU1" s="23" t="s">
        <v>6</v>
      </c>
      <c r="DA1" s="23"/>
      <c r="DM1" s="23" t="s">
        <v>6</v>
      </c>
      <c r="DS1" s="23"/>
      <c r="ED1" s="23" t="s">
        <v>6</v>
      </c>
    </row>
    <row r="2" spans="1:134" ht="12.75">
      <c r="A2" s="22"/>
      <c r="B2" s="10"/>
      <c r="C2" s="21"/>
      <c r="D2" s="23"/>
      <c r="I2" s="23" t="s">
        <v>5</v>
      </c>
      <c r="O2" s="23"/>
      <c r="AA2" s="23" t="s">
        <v>5</v>
      </c>
      <c r="AG2" s="23"/>
      <c r="AS2" s="23" t="s">
        <v>5</v>
      </c>
      <c r="AY2" s="23"/>
      <c r="BK2" s="23" t="s">
        <v>5</v>
      </c>
      <c r="BQ2" s="23"/>
      <c r="CC2" s="23" t="s">
        <v>5</v>
      </c>
      <c r="CI2" s="23"/>
      <c r="CU2" s="23" t="s">
        <v>5</v>
      </c>
      <c r="DA2" s="23"/>
      <c r="DM2" s="23" t="s">
        <v>5</v>
      </c>
      <c r="DS2" s="23"/>
      <c r="ED2" s="23" t="s">
        <v>5</v>
      </c>
    </row>
    <row r="3" spans="1:134" ht="12.75">
      <c r="A3" s="22"/>
      <c r="B3" s="10"/>
      <c r="C3" s="21"/>
      <c r="D3" s="21"/>
      <c r="I3" s="23" t="s">
        <v>58</v>
      </c>
      <c r="O3" s="23"/>
      <c r="AA3" s="23" t="str">
        <f>I3</f>
        <v>2004 Series A Bond Funded Projects After 2010C</v>
      </c>
      <c r="AB3" s="1"/>
      <c r="AG3" s="23"/>
      <c r="AS3" s="23" t="str">
        <f>AA3</f>
        <v>2004 Series A Bond Funded Projects After 2010C</v>
      </c>
      <c r="AY3" s="23"/>
      <c r="BK3" s="23" t="str">
        <f>AS3</f>
        <v>2004 Series A Bond Funded Projects After 2010C</v>
      </c>
      <c r="BQ3" s="23"/>
      <c r="CC3" s="23" t="str">
        <f>BK3</f>
        <v>2004 Series A Bond Funded Projects After 2010C</v>
      </c>
      <c r="CI3" s="23"/>
      <c r="CU3" s="23" t="str">
        <f>CC3</f>
        <v>2004 Series A Bond Funded Projects After 2010C</v>
      </c>
      <c r="DA3" s="23"/>
      <c r="DM3" s="23" t="str">
        <f>CU3</f>
        <v>2004 Series A Bond Funded Projects After 2010C</v>
      </c>
      <c r="DS3" s="23"/>
      <c r="ED3" s="23" t="str">
        <f>DM3</f>
        <v>2004 Series A Bond Funded Projects After 2010C</v>
      </c>
    </row>
    <row r="4" spans="1:4" ht="12.75">
      <c r="A4" s="22"/>
      <c r="B4" s="10"/>
      <c r="C4" s="21"/>
      <c r="D4" s="23"/>
    </row>
    <row r="5" spans="1:132" ht="12.75">
      <c r="A5" s="4" t="s">
        <v>1</v>
      </c>
      <c r="C5" s="41" t="s">
        <v>59</v>
      </c>
      <c r="D5" s="42"/>
      <c r="E5" s="43"/>
      <c r="F5" s="19"/>
      <c r="G5" s="19"/>
      <c r="I5" s="47" t="s">
        <v>61</v>
      </c>
      <c r="J5" s="16"/>
      <c r="K5" s="17"/>
      <c r="L5" s="19"/>
      <c r="M5" s="19"/>
      <c r="O5" s="15" t="s">
        <v>30</v>
      </c>
      <c r="P5" s="16"/>
      <c r="Q5" s="17"/>
      <c r="R5" s="19"/>
      <c r="S5" s="19"/>
      <c r="U5" s="15" t="s">
        <v>31</v>
      </c>
      <c r="V5" s="16"/>
      <c r="W5" s="17"/>
      <c r="X5" s="19"/>
      <c r="Y5" s="19"/>
      <c r="AA5" s="15" t="s">
        <v>37</v>
      </c>
      <c r="AB5" s="16"/>
      <c r="AC5" s="17"/>
      <c r="AD5" s="19"/>
      <c r="AE5" s="19"/>
      <c r="AG5" s="5" t="s">
        <v>19</v>
      </c>
      <c r="AH5" s="6"/>
      <c r="AI5" s="7"/>
      <c r="AJ5" s="19"/>
      <c r="AK5" s="19"/>
      <c r="AM5" s="5" t="s">
        <v>29</v>
      </c>
      <c r="AN5" s="6"/>
      <c r="AO5" s="7"/>
      <c r="AP5" s="19"/>
      <c r="AQ5" s="19"/>
      <c r="AS5" s="5" t="s">
        <v>20</v>
      </c>
      <c r="AT5" s="6"/>
      <c r="AU5" s="7"/>
      <c r="AV5" s="19"/>
      <c r="AW5" s="19"/>
      <c r="AY5" s="5" t="s">
        <v>21</v>
      </c>
      <c r="AZ5" s="6"/>
      <c r="BA5" s="7"/>
      <c r="BB5" s="19"/>
      <c r="BC5" s="19"/>
      <c r="BE5" s="5" t="s">
        <v>22</v>
      </c>
      <c r="BF5" s="6"/>
      <c r="BG5" s="7"/>
      <c r="BH5" s="19"/>
      <c r="BI5" s="19"/>
      <c r="BK5" s="5" t="s">
        <v>23</v>
      </c>
      <c r="BL5" s="6"/>
      <c r="BM5" s="7"/>
      <c r="BN5" s="19"/>
      <c r="BO5" s="19"/>
      <c r="BQ5" s="5" t="s">
        <v>48</v>
      </c>
      <c r="BR5" s="6"/>
      <c r="BS5" s="7"/>
      <c r="BT5" s="19"/>
      <c r="BU5" s="19"/>
      <c r="BW5" s="5" t="s">
        <v>24</v>
      </c>
      <c r="BX5" s="6"/>
      <c r="BY5" s="7"/>
      <c r="BZ5" s="19"/>
      <c r="CA5" s="19"/>
      <c r="CC5" s="5" t="s">
        <v>49</v>
      </c>
      <c r="CD5" s="6"/>
      <c r="CE5" s="7"/>
      <c r="CF5" s="19"/>
      <c r="CG5" s="19"/>
      <c r="CI5" s="5" t="s">
        <v>25</v>
      </c>
      <c r="CJ5" s="6"/>
      <c r="CK5" s="7"/>
      <c r="CL5" s="19"/>
      <c r="CM5" s="19"/>
      <c r="CO5" s="32" t="s">
        <v>27</v>
      </c>
      <c r="CP5" s="6"/>
      <c r="CQ5" s="7"/>
      <c r="CR5" s="19"/>
      <c r="CS5" s="19"/>
      <c r="CU5" s="5" t="s">
        <v>50</v>
      </c>
      <c r="CV5" s="6"/>
      <c r="CW5" s="7"/>
      <c r="CX5" s="19"/>
      <c r="CY5" s="19"/>
      <c r="DA5" s="5" t="s">
        <v>51</v>
      </c>
      <c r="DB5" s="6"/>
      <c r="DC5" s="7"/>
      <c r="DD5" s="19"/>
      <c r="DE5" s="19"/>
      <c r="DG5" s="5" t="s">
        <v>52</v>
      </c>
      <c r="DH5" s="6"/>
      <c r="DI5" s="7"/>
      <c r="DJ5" s="19"/>
      <c r="DK5" s="19"/>
      <c r="DM5" s="5" t="s">
        <v>53</v>
      </c>
      <c r="DN5" s="6"/>
      <c r="DO5" s="7"/>
      <c r="DP5" s="19"/>
      <c r="DQ5" s="19"/>
      <c r="DS5" s="5" t="s">
        <v>54</v>
      </c>
      <c r="DT5" s="6"/>
      <c r="DU5" s="7"/>
      <c r="DV5" s="19"/>
      <c r="DW5" s="19"/>
      <c r="DY5" s="32" t="s">
        <v>7</v>
      </c>
      <c r="DZ5" s="6"/>
      <c r="EA5" s="7"/>
      <c r="EB5" s="19"/>
    </row>
    <row r="6" spans="1:132" s="1" customFormat="1" ht="12.75">
      <c r="A6" s="24" t="s">
        <v>2</v>
      </c>
      <c r="C6" s="46" t="s">
        <v>60</v>
      </c>
      <c r="D6" s="44"/>
      <c r="E6" s="45"/>
      <c r="F6" s="19" t="s">
        <v>55</v>
      </c>
      <c r="G6" s="19" t="s">
        <v>55</v>
      </c>
      <c r="H6" s="13"/>
      <c r="I6" s="18"/>
      <c r="J6" s="16"/>
      <c r="K6" s="17"/>
      <c r="L6" s="19" t="s">
        <v>55</v>
      </c>
      <c r="M6" s="19" t="s">
        <v>55</v>
      </c>
      <c r="N6" s="13"/>
      <c r="O6" s="18"/>
      <c r="P6" s="33"/>
      <c r="Q6" s="17"/>
      <c r="R6" s="19" t="s">
        <v>55</v>
      </c>
      <c r="S6" s="19" t="s">
        <v>55</v>
      </c>
      <c r="T6" s="13"/>
      <c r="U6" s="18"/>
      <c r="V6" s="37">
        <v>0.6798012</v>
      </c>
      <c r="W6" s="17"/>
      <c r="X6" s="19" t="s">
        <v>55</v>
      </c>
      <c r="Y6" s="19" t="s">
        <v>55</v>
      </c>
      <c r="Z6" s="13"/>
      <c r="AA6" s="18"/>
      <c r="AB6" s="31">
        <f>AH6+AN6+AT6+AZ6+BF6+BL6+BR6+BX6+CD6+CJ6+CP6+CV6+DB6+DH6+DN6+DT6+DZ6</f>
        <v>0.3201988</v>
      </c>
      <c r="AC6" s="17"/>
      <c r="AD6" s="19" t="s">
        <v>55</v>
      </c>
      <c r="AE6" s="19" t="s">
        <v>55</v>
      </c>
      <c r="AF6" s="13"/>
      <c r="AG6" s="25"/>
      <c r="AH6" s="12">
        <v>0.0028849</v>
      </c>
      <c r="AI6" s="26"/>
      <c r="AJ6" s="19" t="s">
        <v>55</v>
      </c>
      <c r="AK6" s="19" t="s">
        <v>55</v>
      </c>
      <c r="AM6" s="25"/>
      <c r="AN6" s="12">
        <v>0.0121511</v>
      </c>
      <c r="AO6" s="26"/>
      <c r="AP6" s="19" t="s">
        <v>55</v>
      </c>
      <c r="AQ6" s="19" t="s">
        <v>55</v>
      </c>
      <c r="AS6" s="25"/>
      <c r="AT6" s="12">
        <v>0.0051763</v>
      </c>
      <c r="AU6" s="26"/>
      <c r="AV6" s="19" t="s">
        <v>55</v>
      </c>
      <c r="AW6" s="19" t="s">
        <v>55</v>
      </c>
      <c r="AY6" s="25"/>
      <c r="AZ6" s="12">
        <v>0.001659</v>
      </c>
      <c r="BA6" s="26"/>
      <c r="BB6" s="19" t="s">
        <v>55</v>
      </c>
      <c r="BC6" s="19" t="s">
        <v>55</v>
      </c>
      <c r="BE6" s="25"/>
      <c r="BF6" s="12">
        <v>0.0005119</v>
      </c>
      <c r="BG6" s="26"/>
      <c r="BH6" s="19" t="s">
        <v>55</v>
      </c>
      <c r="BI6" s="19" t="s">
        <v>55</v>
      </c>
      <c r="BK6" s="25"/>
      <c r="BL6" s="12">
        <v>0.0109472</v>
      </c>
      <c r="BM6" s="26"/>
      <c r="BN6" s="19" t="s">
        <v>55</v>
      </c>
      <c r="BO6" s="19" t="s">
        <v>55</v>
      </c>
      <c r="BQ6" s="25"/>
      <c r="BR6" s="12">
        <v>0.0001911</v>
      </c>
      <c r="BS6" s="26"/>
      <c r="BT6" s="19" t="s">
        <v>55</v>
      </c>
      <c r="BU6" s="19" t="s">
        <v>55</v>
      </c>
      <c r="BW6" s="25"/>
      <c r="BX6" s="12">
        <v>0.0424642</v>
      </c>
      <c r="BY6" s="26"/>
      <c r="BZ6" s="19" t="s">
        <v>55</v>
      </c>
      <c r="CA6" s="19" t="s">
        <v>55</v>
      </c>
      <c r="CC6" s="25"/>
      <c r="CD6" s="12">
        <v>0.0015092</v>
      </c>
      <c r="CE6" s="26"/>
      <c r="CF6" s="19" t="s">
        <v>55</v>
      </c>
      <c r="CG6" s="19" t="s">
        <v>55</v>
      </c>
      <c r="CI6" s="25"/>
      <c r="CJ6" s="12">
        <v>0.0450865</v>
      </c>
      <c r="CK6" s="26"/>
      <c r="CL6" s="19" t="s">
        <v>55</v>
      </c>
      <c r="CM6" s="19" t="s">
        <v>55</v>
      </c>
      <c r="CO6" s="25"/>
      <c r="CP6" s="12">
        <v>0.0134749</v>
      </c>
      <c r="CQ6" s="26"/>
      <c r="CR6" s="19" t="s">
        <v>55</v>
      </c>
      <c r="CS6" s="19" t="s">
        <v>55</v>
      </c>
      <c r="CU6" s="25"/>
      <c r="CV6" s="12">
        <v>0.0011948</v>
      </c>
      <c r="CW6" s="26"/>
      <c r="CX6" s="19" t="s">
        <v>55</v>
      </c>
      <c r="CY6" s="19" t="s">
        <v>55</v>
      </c>
      <c r="DA6" s="25"/>
      <c r="DB6" s="12">
        <v>0.0003698</v>
      </c>
      <c r="DC6" s="26"/>
      <c r="DD6" s="19" t="s">
        <v>55</v>
      </c>
      <c r="DE6" s="19" t="s">
        <v>55</v>
      </c>
      <c r="DG6" s="25"/>
      <c r="DH6" s="12">
        <v>0.0013432</v>
      </c>
      <c r="DI6" s="26"/>
      <c r="DJ6" s="19" t="s">
        <v>55</v>
      </c>
      <c r="DK6" s="19" t="s">
        <v>55</v>
      </c>
      <c r="DM6" s="25"/>
      <c r="DN6" s="12">
        <v>0.0026052</v>
      </c>
      <c r="DO6" s="26"/>
      <c r="DP6" s="19" t="s">
        <v>55</v>
      </c>
      <c r="DQ6" s="19" t="s">
        <v>55</v>
      </c>
      <c r="DS6" s="25"/>
      <c r="DT6" s="12">
        <v>0.1786295</v>
      </c>
      <c r="DU6" s="26"/>
      <c r="DV6" s="19" t="s">
        <v>55</v>
      </c>
      <c r="DW6" s="19" t="s">
        <v>55</v>
      </c>
      <c r="DY6" s="25"/>
      <c r="DZ6" s="12"/>
      <c r="EA6" s="26"/>
      <c r="EB6" s="19" t="s">
        <v>55</v>
      </c>
    </row>
    <row r="7" spans="1:132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63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  <c r="DQ7" s="48" t="s">
        <v>62</v>
      </c>
      <c r="DS7" s="9" t="s">
        <v>3</v>
      </c>
      <c r="DT7" s="9" t="s">
        <v>4</v>
      </c>
      <c r="DU7" s="9" t="s">
        <v>0</v>
      </c>
      <c r="DV7" s="19" t="s">
        <v>56</v>
      </c>
      <c r="DW7" s="48" t="s">
        <v>62</v>
      </c>
      <c r="DY7" s="9" t="s">
        <v>3</v>
      </c>
      <c r="DZ7" s="9" t="s">
        <v>4</v>
      </c>
      <c r="EA7" s="9" t="s">
        <v>0</v>
      </c>
      <c r="EB7" s="19" t="s">
        <v>56</v>
      </c>
    </row>
    <row r="8" spans="1:132" s="30" customFormat="1" ht="12.75">
      <c r="A8" s="29">
        <v>43739</v>
      </c>
      <c r="C8" s="20"/>
      <c r="D8" s="20">
        <v>162875</v>
      </c>
      <c r="E8" s="14">
        <f aca="true" t="shared" si="0" ref="E8:E15">C8+D8</f>
        <v>162875</v>
      </c>
      <c r="F8" s="14">
        <v>72963</v>
      </c>
      <c r="G8" s="14">
        <v>117945</v>
      </c>
      <c r="H8" s="28"/>
      <c r="I8" s="20"/>
      <c r="J8" s="20">
        <v>4006</v>
      </c>
      <c r="K8" s="14">
        <f aca="true" t="shared" si="1" ref="K8:K15">I8+J8</f>
        <v>4006</v>
      </c>
      <c r="L8" s="14">
        <v>2189</v>
      </c>
      <c r="M8" s="14">
        <v>-675</v>
      </c>
      <c r="N8" s="28"/>
      <c r="O8" s="14"/>
      <c r="P8" s="14">
        <f aca="true" t="shared" si="2" ref="P8:P15">D8-J8</f>
        <v>158869</v>
      </c>
      <c r="Q8" s="14">
        <f aca="true" t="shared" si="3" ref="Q8:Q15">O8+P8</f>
        <v>158869</v>
      </c>
      <c r="R8" s="14">
        <f aca="true" t="shared" si="4" ref="R8:R15">F8-L8</f>
        <v>70774</v>
      </c>
      <c r="S8" s="14">
        <f aca="true" t="shared" si="5" ref="S8:S15">G8-M8</f>
        <v>118620</v>
      </c>
      <c r="T8" s="28"/>
      <c r="U8" s="28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Academic'!DS8+'2010C Academic'!DY8+'2010C Academic'!EE8+'2010C Academic'!EK8+'2010C Academic'!EQ8+'2010C Academic'!EW8+'2010C Academic'!FC8+'2010C Academic'!FI8+'2010C Academic'!FO8</f>
        <v>0</v>
      </c>
      <c r="V8" s="28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Academic'!DT8+'2010C Academic'!DZ8+'2010C Academic'!EF8+'2010C Academic'!EL8+'2010C Academic'!ER8+'2010C Academic'!EX8+'2010C Academic'!FD8+'2010C Academic'!FJ8+'2010C Academic'!FP8</f>
        <v>107999.3368428</v>
      </c>
      <c r="W8" s="28">
        <f aca="true" t="shared" si="6" ref="W8:W17">U8+V8</f>
        <v>107999.3368428</v>
      </c>
      <c r="X8" s="28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Academic'!DV8+'2010C Academic'!EB8+'2010C Academic'!EH8+'2010C Academic'!EN8+'2010C Academic'!ET8+'2010C Academic'!EZ8+'2010C Academic'!FF8+'2010C Academic'!FL8+'2010C Academic'!FR8</f>
        <v>48111.96703279999</v>
      </c>
      <c r="Y8" s="28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Academic'!DW8+'2010C Academic'!EC8+'2010C Academic'!EI8+'2010C Academic'!EO8+'2010C Academic'!EU8+'2010C Academic'!FA8+'2010C Academic'!FG8+'2010C Academic'!FM8+'2010C Academic'!FS8</f>
        <v>80637.543864</v>
      </c>
      <c r="Z8" s="28"/>
      <c r="AA8" s="13"/>
      <c r="AB8" s="20">
        <f aca="true" t="shared" si="7" ref="AB8:AB17">AH8+AN8+AT8+AZ8+BF8+BL8+BR8+BX8+CD8+CJ8+CP8+CV8+DB8+DH8+DN8+DT8+DZ8</f>
        <v>50869.6631572</v>
      </c>
      <c r="AC8" s="13">
        <f aca="true" t="shared" si="8" ref="AC8:AC17">AA8+AB8</f>
        <v>50869.6631572</v>
      </c>
      <c r="AD8" s="13">
        <f aca="true" t="shared" si="9" ref="AD8:AD17">AJ8+AP8+AV8+BB8+BH8+BN8+BT8+BZ8+CF8+CL8+CR8+CX8+DD8+DJ8+DP8+DV8+EB8</f>
        <v>22661.749871199998</v>
      </c>
      <c r="AE8" s="20">
        <f aca="true" t="shared" si="10" ref="AE8:AE17">AK8+AQ8+AW8+BC8+BI8+BO8+BU8+CA8+CG8+CM8+CS8+CY8+DE8+DK8+DQ8+DW8+EC8</f>
        <v>37981.981656</v>
      </c>
      <c r="AF8" s="28"/>
      <c r="AG8" s="28"/>
      <c r="AH8" s="20">
        <f aca="true" t="shared" si="11" ref="AH8:AH17">P8*0.28849/100</f>
        <v>458.32117810000005</v>
      </c>
      <c r="AI8" s="28">
        <f aca="true" t="shared" si="12" ref="AI8:AI17">AG8+AH8</f>
        <v>458.32117810000005</v>
      </c>
      <c r="AJ8" s="28">
        <f aca="true" t="shared" si="13" ref="AJ8:AJ17">AH$6*$R8</f>
        <v>204.1759126</v>
      </c>
      <c r="AK8" s="28">
        <f aca="true" t="shared" si="14" ref="AK8:AK17">AH$6*$S8</f>
        <v>342.206838</v>
      </c>
      <c r="AM8" s="28"/>
      <c r="AN8" s="28">
        <f aca="true" t="shared" si="15" ref="AN8:AN17">P8*1.21511/100</f>
        <v>1930.4331058999999</v>
      </c>
      <c r="AO8" s="13">
        <f aca="true" t="shared" si="16" ref="AO8:AO17">AM8+AN8</f>
        <v>1930.4331058999999</v>
      </c>
      <c r="AP8" s="28">
        <f aca="true" t="shared" si="17" ref="AP8:AP17">AN$6*$R8</f>
        <v>859.9819514</v>
      </c>
      <c r="AQ8" s="28">
        <f aca="true" t="shared" si="18" ref="AQ8:AQ17">AN$6*$S8</f>
        <v>1441.363482</v>
      </c>
      <c r="AS8" s="28"/>
      <c r="AT8" s="28">
        <f aca="true" t="shared" si="19" ref="AT8:AT17">P8*0.51763/100</f>
        <v>822.3536047</v>
      </c>
      <c r="AU8" s="13">
        <f aca="true" t="shared" si="20" ref="AU8:AU17">AS8+AT8</f>
        <v>822.3536047</v>
      </c>
      <c r="AV8" s="28">
        <f aca="true" t="shared" si="21" ref="AV8:AV17">AT$6*$R8</f>
        <v>366.3474562</v>
      </c>
      <c r="AW8" s="28">
        <f aca="true" t="shared" si="22" ref="AW8:AW17">AT$6*$S8</f>
        <v>614.012706</v>
      </c>
      <c r="AY8" s="38"/>
      <c r="AZ8" s="38">
        <f aca="true" t="shared" si="23" ref="AZ8:AZ17">P8*0.1659/100</f>
        <v>263.563671</v>
      </c>
      <c r="BA8" s="3">
        <f aca="true" t="shared" si="24" ref="BA8:BA17">AY8+AZ8</f>
        <v>263.563671</v>
      </c>
      <c r="BB8" s="28">
        <f aca="true" t="shared" si="25" ref="BB8:BB17">AZ$6*$R8</f>
        <v>117.414066</v>
      </c>
      <c r="BC8" s="28">
        <f aca="true" t="shared" si="26" ref="BC8:BC17">AZ$6*$S8</f>
        <v>196.79058</v>
      </c>
      <c r="BD8" s="28"/>
      <c r="BE8" s="28"/>
      <c r="BF8" s="28">
        <f aca="true" t="shared" si="27" ref="BF8:BF17">P8*0.05119/100</f>
        <v>81.32504109999999</v>
      </c>
      <c r="BG8" s="13">
        <f aca="true" t="shared" si="28" ref="BG8:BG17">BE8+BF8</f>
        <v>81.32504109999999</v>
      </c>
      <c r="BH8" s="28">
        <f aca="true" t="shared" si="29" ref="BH8:BH17">BF$6*$R8</f>
        <v>36.2292106</v>
      </c>
      <c r="BI8" s="28">
        <f aca="true" t="shared" si="30" ref="BI8:BI17">BF$6*$S8</f>
        <v>60.721578</v>
      </c>
      <c r="BJ8" s="28"/>
      <c r="BK8" s="28"/>
      <c r="BL8" s="28">
        <f aca="true" t="shared" si="31" ref="BL8:BL17">P8*1.09472/100</f>
        <v>1739.1707168</v>
      </c>
      <c r="BM8" s="13">
        <f aca="true" t="shared" si="32" ref="BM8:BM17">BK8+BL8</f>
        <v>1739.1707168</v>
      </c>
      <c r="BN8" s="28">
        <f aca="true" t="shared" si="33" ref="BN8:BN17">BL$6*$R8</f>
        <v>774.7771328</v>
      </c>
      <c r="BO8" s="28">
        <f aca="true" t="shared" si="34" ref="BO8:BO17">BL$6*$S8</f>
        <v>1298.5568640000001</v>
      </c>
      <c r="BP8" s="28"/>
      <c r="BQ8" s="28"/>
      <c r="BR8" s="28">
        <f aca="true" t="shared" si="35" ref="BR8:BR17">P8*0.01911/100</f>
        <v>30.3598659</v>
      </c>
      <c r="BS8" s="13">
        <f aca="true" t="shared" si="36" ref="BS8:BS17">BQ8+BR8</f>
        <v>30.3598659</v>
      </c>
      <c r="BT8" s="28">
        <f aca="true" t="shared" si="37" ref="BT8:BT17">BR$6*$R8</f>
        <v>13.5249114</v>
      </c>
      <c r="BU8" s="28">
        <f aca="true" t="shared" si="38" ref="BU8:BU17">BR$6*$S8</f>
        <v>22.668282</v>
      </c>
      <c r="BV8" s="28"/>
      <c r="BW8" s="28"/>
      <c r="BX8" s="28">
        <f aca="true" t="shared" si="39" ref="BX8:BX17">P8*4.24642/100</f>
        <v>6746.2449897999995</v>
      </c>
      <c r="BY8" s="13">
        <f aca="true" t="shared" si="40" ref="BY8:BY17">BW8+BX8</f>
        <v>6746.2449897999995</v>
      </c>
      <c r="BZ8" s="28">
        <f aca="true" t="shared" si="41" ref="BZ8:BZ17">BX$6*$R8</f>
        <v>3005.3612908</v>
      </c>
      <c r="CA8" s="28">
        <f aca="true" t="shared" si="42" ref="CA8:CA17">BX$6*$S8</f>
        <v>5037.103404</v>
      </c>
      <c r="CB8" s="28"/>
      <c r="CC8" s="28"/>
      <c r="CD8" s="28">
        <f aca="true" t="shared" si="43" ref="CD8:CD17">P8*0.15092/100</f>
        <v>239.7650948</v>
      </c>
      <c r="CE8" s="13">
        <f aca="true" t="shared" si="44" ref="CE8:CE17">CC8+CD8</f>
        <v>239.7650948</v>
      </c>
      <c r="CF8" s="28">
        <f aca="true" t="shared" si="45" ref="CF8:CF17">CD$6*$R8</f>
        <v>106.8121208</v>
      </c>
      <c r="CG8" s="28">
        <f aca="true" t="shared" si="46" ref="CG8:CG17">CD$6*$S8</f>
        <v>179.02130400000001</v>
      </c>
      <c r="CH8" s="28"/>
      <c r="CI8" s="28"/>
      <c r="CJ8" s="28">
        <f aca="true" t="shared" si="47" ref="CJ8:CJ17">P8*4.50865/100</f>
        <v>7162.8471685</v>
      </c>
      <c r="CK8" s="13">
        <f aca="true" t="shared" si="48" ref="CK8:CK17">CI8+CJ8</f>
        <v>7162.8471685</v>
      </c>
      <c r="CL8" s="28">
        <f aca="true" t="shared" si="49" ref="CL8:CL17">CJ$6*$R8</f>
        <v>3190.951951</v>
      </c>
      <c r="CM8" s="28">
        <f aca="true" t="shared" si="50" ref="CM8:CM17">CJ$6*$S8</f>
        <v>5348.16063</v>
      </c>
      <c r="CN8" s="28"/>
      <c r="CO8" s="28"/>
      <c r="CP8" s="28">
        <f aca="true" t="shared" si="51" ref="CP8:CP17">P8*1.34749/100</f>
        <v>2140.7438881</v>
      </c>
      <c r="CQ8" s="13">
        <f aca="true" t="shared" si="52" ref="CQ8:CQ17">CO8+CP8</f>
        <v>2140.7438881</v>
      </c>
      <c r="CR8" s="28">
        <f aca="true" t="shared" si="53" ref="CR8:CR17">CP$6*$R8</f>
        <v>953.6725726</v>
      </c>
      <c r="CS8" s="28">
        <f aca="true" t="shared" si="54" ref="CS8:CS17">CP$6*$S8</f>
        <v>1598.392638</v>
      </c>
      <c r="CT8" s="28"/>
      <c r="CU8" s="28"/>
      <c r="CV8" s="28">
        <f aca="true" t="shared" si="55" ref="CV8:CV17">P8*0.11948/100</f>
        <v>189.81668120000003</v>
      </c>
      <c r="CW8" s="13">
        <f aca="true" t="shared" si="56" ref="CW8:CW17">CU8+CV8</f>
        <v>189.81668120000003</v>
      </c>
      <c r="CX8" s="28">
        <f aca="true" t="shared" si="57" ref="CX8:CX17">CV$6*$R8</f>
        <v>84.5607752</v>
      </c>
      <c r="CY8" s="28">
        <f aca="true" t="shared" si="58" ref="CY8:CY17">CV$6*$S8</f>
        <v>141.727176</v>
      </c>
      <c r="CZ8" s="28"/>
      <c r="DA8" s="28"/>
      <c r="DB8" s="28">
        <f aca="true" t="shared" si="59" ref="DB8:DB17">P8*0.03698/100</f>
        <v>58.7497562</v>
      </c>
      <c r="DC8" s="13">
        <f aca="true" t="shared" si="60" ref="DC8:DC17">DA8+DB8</f>
        <v>58.7497562</v>
      </c>
      <c r="DD8" s="28">
        <f aca="true" t="shared" si="61" ref="DD8:DD17">DB$6*$R8</f>
        <v>26.1722252</v>
      </c>
      <c r="DE8" s="28">
        <f aca="true" t="shared" si="62" ref="DE8:DE17">DB$6*$S8</f>
        <v>43.865676</v>
      </c>
      <c r="DF8" s="28"/>
      <c r="DG8" s="28"/>
      <c r="DH8" s="28">
        <f aca="true" t="shared" si="63" ref="DH8:DH17">P8*0.13432/100</f>
        <v>213.3928408</v>
      </c>
      <c r="DI8" s="13">
        <f aca="true" t="shared" si="64" ref="DI8:DI17">DG8+DH8</f>
        <v>213.3928408</v>
      </c>
      <c r="DJ8" s="28">
        <f aca="true" t="shared" si="65" ref="DJ8:DJ17">DH$6*$R8</f>
        <v>95.0636368</v>
      </c>
      <c r="DK8" s="28">
        <f aca="true" t="shared" si="66" ref="DK8:DK17">DH$6*$S8</f>
        <v>159.33038399999998</v>
      </c>
      <c r="DL8" s="28"/>
      <c r="DM8" s="28"/>
      <c r="DN8" s="28">
        <f aca="true" t="shared" si="67" ref="DN8:DN17">P8*0.26052/100</f>
        <v>413.8855188</v>
      </c>
      <c r="DO8" s="13">
        <f aca="true" t="shared" si="68" ref="DO8:DO17">DM8+DN8</f>
        <v>413.8855188</v>
      </c>
      <c r="DP8" s="28">
        <f aca="true" t="shared" si="69" ref="DP8:DP17">DN$6*$R8</f>
        <v>184.3804248</v>
      </c>
      <c r="DQ8" s="28">
        <f aca="true" t="shared" si="70" ref="DQ8:DQ17">DN$6*$S8</f>
        <v>309.028824</v>
      </c>
      <c r="DR8" s="28"/>
      <c r="DS8" s="28"/>
      <c r="DT8" s="28">
        <f aca="true" t="shared" si="71" ref="DT8:DT17">P8*17.86295/100</f>
        <v>28378.6900355</v>
      </c>
      <c r="DU8" s="13">
        <f aca="true" t="shared" si="72" ref="DU8:DU17">DS8+DT8</f>
        <v>28378.6900355</v>
      </c>
      <c r="DV8" s="28">
        <f aca="true" t="shared" si="73" ref="DV8:DV17">DT$6*$R8</f>
        <v>12642.324233</v>
      </c>
      <c r="DW8" s="28">
        <f aca="true" t="shared" si="74" ref="DW8:DW17">DT$6*$S8</f>
        <v>21189.03129</v>
      </c>
      <c r="DX8" s="28"/>
      <c r="DY8" s="13"/>
      <c r="DZ8" s="13"/>
      <c r="EA8" s="13">
        <f aca="true" t="shared" si="75" ref="EA8:EA17">DY8+DZ8</f>
        <v>0</v>
      </c>
      <c r="EB8" s="13"/>
    </row>
    <row r="9" spans="1:132" s="30" customFormat="1" ht="12.75">
      <c r="A9" s="29">
        <v>43922</v>
      </c>
      <c r="C9" s="20">
        <v>2355000</v>
      </c>
      <c r="D9" s="20">
        <v>162875</v>
      </c>
      <c r="E9" s="14">
        <f t="shared" si="0"/>
        <v>2517875</v>
      </c>
      <c r="F9" s="14">
        <v>72963</v>
      </c>
      <c r="G9" s="14">
        <v>117945</v>
      </c>
      <c r="H9" s="28"/>
      <c r="I9" s="20">
        <v>65000</v>
      </c>
      <c r="J9" s="20">
        <v>4006</v>
      </c>
      <c r="K9" s="14">
        <f t="shared" si="1"/>
        <v>69006</v>
      </c>
      <c r="L9" s="14">
        <v>2189</v>
      </c>
      <c r="M9" s="14">
        <v>-675</v>
      </c>
      <c r="N9" s="28"/>
      <c r="O9" s="14">
        <f aca="true" t="shared" si="76" ref="O9:O15">C9-I9</f>
        <v>2290000</v>
      </c>
      <c r="P9" s="14">
        <f t="shared" si="2"/>
        <v>158869</v>
      </c>
      <c r="Q9" s="14">
        <f t="shared" si="3"/>
        <v>2448869</v>
      </c>
      <c r="R9" s="14">
        <f t="shared" si="4"/>
        <v>70774</v>
      </c>
      <c r="S9" s="14">
        <f t="shared" si="5"/>
        <v>118620</v>
      </c>
      <c r="T9" s="28"/>
      <c r="U9" s="28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Academic'!DS9+'2010C Academic'!DY9+'2010C Academic'!EE9+'2010C Academic'!EK9+'2010C Academic'!EQ9+'2010C Academic'!EW9+'2010C Academic'!FC9+'2010C Academic'!FI9+'2010C Academic'!FO9</f>
        <v>1556744.7480000004</v>
      </c>
      <c r="V9" s="28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Academic'!DT9+'2010C Academic'!DZ9+'2010C Academic'!EF9+'2010C Academic'!EL9+'2010C Academic'!ER9+'2010C Academic'!EX9+'2010C Academic'!FD9+'2010C Academic'!FJ9+'2010C Academic'!FP9</f>
        <v>107999.3368428</v>
      </c>
      <c r="W9" s="28">
        <f t="shared" si="6"/>
        <v>1664744.0848428004</v>
      </c>
      <c r="X9" s="28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Academic'!DV9+'2010C Academic'!EB9+'2010C Academic'!EH9+'2010C Academic'!EN9+'2010C Academic'!ET9+'2010C Academic'!EZ9+'2010C Academic'!FF9+'2010C Academic'!FL9+'2010C Academic'!FR9</f>
        <v>48111.96703279999</v>
      </c>
      <c r="Y9" s="28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Academic'!DW9+'2010C Academic'!EC9+'2010C Academic'!EI9+'2010C Academic'!EO9+'2010C Academic'!EU9+'2010C Academic'!FA9+'2010C Academic'!FG9+'2010C Academic'!FM9+'2010C Academic'!FS9</f>
        <v>80637.543864</v>
      </c>
      <c r="Z9" s="28"/>
      <c r="AA9" s="13">
        <f>AG9+AM9+AS9+AY9+BE9+BK9+BQ9+BW9+CC9+CI9+CO9+CU9+DA9+DG9+DM9+DS9+DY9</f>
        <v>733255.252</v>
      </c>
      <c r="AB9" s="20">
        <f t="shared" si="7"/>
        <v>50869.6631572</v>
      </c>
      <c r="AC9" s="13">
        <f t="shared" si="8"/>
        <v>784124.9151572</v>
      </c>
      <c r="AD9" s="13">
        <f t="shared" si="9"/>
        <v>22661.749871199998</v>
      </c>
      <c r="AE9" s="20">
        <f t="shared" si="10"/>
        <v>37981.981656</v>
      </c>
      <c r="AF9" s="28"/>
      <c r="AG9" s="28">
        <f aca="true" t="shared" si="77" ref="AG9:AG17">O9*0.28849/100</f>
        <v>6606.421000000001</v>
      </c>
      <c r="AH9" s="20">
        <f t="shared" si="11"/>
        <v>458.32117810000005</v>
      </c>
      <c r="AI9" s="28">
        <f t="shared" si="12"/>
        <v>7064.742178100001</v>
      </c>
      <c r="AJ9" s="28">
        <f t="shared" si="13"/>
        <v>204.1759126</v>
      </c>
      <c r="AK9" s="28">
        <f t="shared" si="14"/>
        <v>342.206838</v>
      </c>
      <c r="AM9" s="28">
        <f aca="true" t="shared" si="78" ref="AM9:AM17">O9*1.21511/100</f>
        <v>27826.019</v>
      </c>
      <c r="AN9" s="28">
        <f t="shared" si="15"/>
        <v>1930.4331058999999</v>
      </c>
      <c r="AO9" s="13">
        <f t="shared" si="16"/>
        <v>29756.4521059</v>
      </c>
      <c r="AP9" s="28">
        <f t="shared" si="17"/>
        <v>859.9819514</v>
      </c>
      <c r="AQ9" s="28">
        <f t="shared" si="18"/>
        <v>1441.363482</v>
      </c>
      <c r="AS9" s="28">
        <f aca="true" t="shared" si="79" ref="AS9:AS17">O9*0.51763/100</f>
        <v>11853.727000000003</v>
      </c>
      <c r="AT9" s="28">
        <f t="shared" si="19"/>
        <v>822.3536047</v>
      </c>
      <c r="AU9" s="13">
        <f t="shared" si="20"/>
        <v>12676.080604700002</v>
      </c>
      <c r="AV9" s="28">
        <f t="shared" si="21"/>
        <v>366.3474562</v>
      </c>
      <c r="AW9" s="28">
        <f t="shared" si="22"/>
        <v>614.012706</v>
      </c>
      <c r="AY9" s="38">
        <f aca="true" t="shared" si="80" ref="AY9:AY17">O9*0.1659/100</f>
        <v>3799.11</v>
      </c>
      <c r="AZ9" s="38">
        <f t="shared" si="23"/>
        <v>263.563671</v>
      </c>
      <c r="BA9" s="3">
        <f t="shared" si="24"/>
        <v>4062.673671</v>
      </c>
      <c r="BB9" s="28">
        <f t="shared" si="25"/>
        <v>117.414066</v>
      </c>
      <c r="BC9" s="28">
        <f t="shared" si="26"/>
        <v>196.79058</v>
      </c>
      <c r="BD9" s="28"/>
      <c r="BE9" s="28">
        <f aca="true" t="shared" si="81" ref="BE9:BE17">O9*0.05119/100</f>
        <v>1172.251</v>
      </c>
      <c r="BF9" s="28">
        <f t="shared" si="27"/>
        <v>81.32504109999999</v>
      </c>
      <c r="BG9" s="13">
        <f t="shared" si="28"/>
        <v>1253.5760410999999</v>
      </c>
      <c r="BH9" s="28">
        <f t="shared" si="29"/>
        <v>36.2292106</v>
      </c>
      <c r="BI9" s="28">
        <f t="shared" si="30"/>
        <v>60.721578</v>
      </c>
      <c r="BJ9" s="28"/>
      <c r="BK9" s="28">
        <f aca="true" t="shared" si="82" ref="BK9:BK17">O9*1.09472/100</f>
        <v>25069.088</v>
      </c>
      <c r="BL9" s="28">
        <f t="shared" si="31"/>
        <v>1739.1707168</v>
      </c>
      <c r="BM9" s="13">
        <f t="shared" si="32"/>
        <v>26808.2587168</v>
      </c>
      <c r="BN9" s="28">
        <f t="shared" si="33"/>
        <v>774.7771328</v>
      </c>
      <c r="BO9" s="28">
        <f t="shared" si="34"/>
        <v>1298.5568640000001</v>
      </c>
      <c r="BP9" s="28"/>
      <c r="BQ9" s="28">
        <f aca="true" t="shared" si="83" ref="BQ9:BQ17">O9*0.01911/100</f>
        <v>437.6189999999999</v>
      </c>
      <c r="BR9" s="28">
        <f t="shared" si="35"/>
        <v>30.3598659</v>
      </c>
      <c r="BS9" s="13">
        <f t="shared" si="36"/>
        <v>467.9788658999999</v>
      </c>
      <c r="BT9" s="28">
        <f t="shared" si="37"/>
        <v>13.5249114</v>
      </c>
      <c r="BU9" s="28">
        <f t="shared" si="38"/>
        <v>22.668282</v>
      </c>
      <c r="BV9" s="28"/>
      <c r="BW9" s="28">
        <f aca="true" t="shared" si="84" ref="BW9:BW17">O9*4.24642/100</f>
        <v>97243.01799999998</v>
      </c>
      <c r="BX9" s="28">
        <f t="shared" si="39"/>
        <v>6746.2449897999995</v>
      </c>
      <c r="BY9" s="13">
        <f t="shared" si="40"/>
        <v>103989.26298979999</v>
      </c>
      <c r="BZ9" s="28">
        <f t="shared" si="41"/>
        <v>3005.3612908</v>
      </c>
      <c r="CA9" s="28">
        <f t="shared" si="42"/>
        <v>5037.103404</v>
      </c>
      <c r="CB9" s="28"/>
      <c r="CC9" s="28">
        <f aca="true" t="shared" si="85" ref="CC9:CC17">O9*0.15092/100</f>
        <v>3456.0679999999998</v>
      </c>
      <c r="CD9" s="28">
        <f t="shared" si="43"/>
        <v>239.7650948</v>
      </c>
      <c r="CE9" s="13">
        <f t="shared" si="44"/>
        <v>3695.8330948</v>
      </c>
      <c r="CF9" s="28">
        <f t="shared" si="45"/>
        <v>106.8121208</v>
      </c>
      <c r="CG9" s="28">
        <f t="shared" si="46"/>
        <v>179.02130400000001</v>
      </c>
      <c r="CH9" s="28"/>
      <c r="CI9" s="28">
        <f aca="true" t="shared" si="86" ref="CI9:CI17">O9*4.50865/100</f>
        <v>103248.085</v>
      </c>
      <c r="CJ9" s="28">
        <f t="shared" si="47"/>
        <v>7162.8471685</v>
      </c>
      <c r="CK9" s="13">
        <f t="shared" si="48"/>
        <v>110410.9321685</v>
      </c>
      <c r="CL9" s="28">
        <f t="shared" si="49"/>
        <v>3190.951951</v>
      </c>
      <c r="CM9" s="28">
        <f t="shared" si="50"/>
        <v>5348.16063</v>
      </c>
      <c r="CN9" s="28"/>
      <c r="CO9" s="28">
        <f aca="true" t="shared" si="87" ref="CO9:CO17">O9*1.34749/100</f>
        <v>30857.521</v>
      </c>
      <c r="CP9" s="28">
        <f t="shared" si="51"/>
        <v>2140.7438881</v>
      </c>
      <c r="CQ9" s="13">
        <f t="shared" si="52"/>
        <v>32998.2648881</v>
      </c>
      <c r="CR9" s="28">
        <f t="shared" si="53"/>
        <v>953.6725726</v>
      </c>
      <c r="CS9" s="28">
        <f t="shared" si="54"/>
        <v>1598.392638</v>
      </c>
      <c r="CT9" s="28"/>
      <c r="CU9" s="28">
        <f aca="true" t="shared" si="88" ref="CU9:CU17">O9*0.11948/100</f>
        <v>2736.092</v>
      </c>
      <c r="CV9" s="28">
        <f t="shared" si="55"/>
        <v>189.81668120000003</v>
      </c>
      <c r="CW9" s="13">
        <f t="shared" si="56"/>
        <v>2925.9086812</v>
      </c>
      <c r="CX9" s="28">
        <f t="shared" si="57"/>
        <v>84.5607752</v>
      </c>
      <c r="CY9" s="28">
        <f t="shared" si="58"/>
        <v>141.727176</v>
      </c>
      <c r="CZ9" s="28"/>
      <c r="DA9" s="28">
        <f aca="true" t="shared" si="89" ref="DA9:DA17">O9*0.03698/100</f>
        <v>846.842</v>
      </c>
      <c r="DB9" s="28">
        <f t="shared" si="59"/>
        <v>58.7497562</v>
      </c>
      <c r="DC9" s="13">
        <f t="shared" si="60"/>
        <v>905.5917562</v>
      </c>
      <c r="DD9" s="28">
        <f t="shared" si="61"/>
        <v>26.1722252</v>
      </c>
      <c r="DE9" s="28">
        <f t="shared" si="62"/>
        <v>43.865676</v>
      </c>
      <c r="DF9" s="28"/>
      <c r="DG9" s="28">
        <f aca="true" t="shared" si="90" ref="DG9:DG17">O9*0.13432/100</f>
        <v>3075.928</v>
      </c>
      <c r="DH9" s="28">
        <f t="shared" si="63"/>
        <v>213.3928408</v>
      </c>
      <c r="DI9" s="13">
        <f t="shared" si="64"/>
        <v>3289.3208408</v>
      </c>
      <c r="DJ9" s="28">
        <f t="shared" si="65"/>
        <v>95.0636368</v>
      </c>
      <c r="DK9" s="28">
        <f t="shared" si="66"/>
        <v>159.33038399999998</v>
      </c>
      <c r="DL9" s="28"/>
      <c r="DM9" s="28">
        <f aca="true" t="shared" si="91" ref="DM9:DM17">O9*0.26052/100</f>
        <v>5965.907999999999</v>
      </c>
      <c r="DN9" s="28">
        <f t="shared" si="67"/>
        <v>413.8855188</v>
      </c>
      <c r="DO9" s="13">
        <f t="shared" si="68"/>
        <v>6379.793518799999</v>
      </c>
      <c r="DP9" s="28">
        <f t="shared" si="69"/>
        <v>184.3804248</v>
      </c>
      <c r="DQ9" s="28">
        <f t="shared" si="70"/>
        <v>309.028824</v>
      </c>
      <c r="DR9" s="28"/>
      <c r="DS9" s="28">
        <f aca="true" t="shared" si="92" ref="DS9:DS17">O9*17.86295/100</f>
        <v>409061.555</v>
      </c>
      <c r="DT9" s="28">
        <f t="shared" si="71"/>
        <v>28378.6900355</v>
      </c>
      <c r="DU9" s="13">
        <f t="shared" si="72"/>
        <v>437440.2450355</v>
      </c>
      <c r="DV9" s="28">
        <f t="shared" si="73"/>
        <v>12642.324233</v>
      </c>
      <c r="DW9" s="28">
        <f t="shared" si="74"/>
        <v>21189.03129</v>
      </c>
      <c r="DX9" s="28"/>
      <c r="DY9" s="13"/>
      <c r="DZ9" s="13"/>
      <c r="EA9" s="13">
        <f t="shared" si="75"/>
        <v>0</v>
      </c>
      <c r="EB9" s="13"/>
    </row>
    <row r="10" spans="1:132" s="30" customFormat="1" ht="12.75">
      <c r="A10" s="29">
        <v>44105</v>
      </c>
      <c r="C10" s="20"/>
      <c r="D10" s="20">
        <v>115775</v>
      </c>
      <c r="E10" s="14">
        <f t="shared" si="0"/>
        <v>115775</v>
      </c>
      <c r="F10" s="14">
        <v>72963</v>
      </c>
      <c r="G10" s="14">
        <v>117945</v>
      </c>
      <c r="H10" s="28"/>
      <c r="I10" s="20"/>
      <c r="J10" s="20">
        <v>2706</v>
      </c>
      <c r="K10" s="14">
        <f t="shared" si="1"/>
        <v>2706</v>
      </c>
      <c r="L10" s="14">
        <v>2189</v>
      </c>
      <c r="M10" s="14">
        <v>-675</v>
      </c>
      <c r="N10" s="28"/>
      <c r="O10" s="14"/>
      <c r="P10" s="14">
        <f t="shared" si="2"/>
        <v>113069</v>
      </c>
      <c r="Q10" s="14">
        <f t="shared" si="3"/>
        <v>113069</v>
      </c>
      <c r="R10" s="14">
        <f t="shared" si="4"/>
        <v>70774</v>
      </c>
      <c r="S10" s="14">
        <f t="shared" si="5"/>
        <v>118620</v>
      </c>
      <c r="T10" s="28"/>
      <c r="U10" s="28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Academic'!DS10+'2010C Academic'!DY10+'2010C Academic'!EE10+'2010C Academic'!EK10+'2010C Academic'!EQ10+'2010C Academic'!EW10+'2010C Academic'!FC10+'2010C Academic'!FI10+'2010C Academic'!FO10</f>
        <v>0</v>
      </c>
      <c r="V10" s="28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Academic'!DT10+'2010C Academic'!DZ10+'2010C Academic'!EF10+'2010C Academic'!EL10+'2010C Academic'!ER10+'2010C Academic'!EX10+'2010C Academic'!FD10+'2010C Academic'!FJ10+'2010C Academic'!FP10</f>
        <v>76864.44188280002</v>
      </c>
      <c r="W10" s="28">
        <f t="shared" si="6"/>
        <v>76864.44188280002</v>
      </c>
      <c r="X10" s="28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Academic'!DV10+'2010C Academic'!EB10+'2010C Academic'!EH10+'2010C Academic'!EN10+'2010C Academic'!ET10+'2010C Academic'!EZ10+'2010C Academic'!FF10+'2010C Academic'!FL10+'2010C Academic'!FR10</f>
        <v>48111.96703279999</v>
      </c>
      <c r="Y10" s="28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Academic'!DW10+'2010C Academic'!EC10+'2010C Academic'!EI10+'2010C Academic'!EO10+'2010C Academic'!EU10+'2010C Academic'!FA10+'2010C Academic'!FG10+'2010C Academic'!FM10+'2010C Academic'!FS10</f>
        <v>80637.543864</v>
      </c>
      <c r="Z10" s="28"/>
      <c r="AA10" s="13"/>
      <c r="AB10" s="20">
        <f t="shared" si="7"/>
        <v>36204.5581172</v>
      </c>
      <c r="AC10" s="13">
        <f t="shared" si="8"/>
        <v>36204.5581172</v>
      </c>
      <c r="AD10" s="13">
        <f t="shared" si="9"/>
        <v>22661.749871199998</v>
      </c>
      <c r="AE10" s="20">
        <f t="shared" si="10"/>
        <v>37981.981656</v>
      </c>
      <c r="AF10" s="28"/>
      <c r="AG10" s="28"/>
      <c r="AH10" s="20">
        <f t="shared" si="11"/>
        <v>326.19275810000005</v>
      </c>
      <c r="AI10" s="28">
        <f t="shared" si="12"/>
        <v>326.19275810000005</v>
      </c>
      <c r="AJ10" s="28">
        <f t="shared" si="13"/>
        <v>204.1759126</v>
      </c>
      <c r="AK10" s="28">
        <f t="shared" si="14"/>
        <v>342.206838</v>
      </c>
      <c r="AM10" s="28"/>
      <c r="AN10" s="28">
        <f t="shared" si="15"/>
        <v>1373.9127258999997</v>
      </c>
      <c r="AO10" s="13">
        <f t="shared" si="16"/>
        <v>1373.9127258999997</v>
      </c>
      <c r="AP10" s="28">
        <f t="shared" si="17"/>
        <v>859.9819514</v>
      </c>
      <c r="AQ10" s="28">
        <f t="shared" si="18"/>
        <v>1441.363482</v>
      </c>
      <c r="AS10" s="28"/>
      <c r="AT10" s="28">
        <f t="shared" si="19"/>
        <v>585.2790647</v>
      </c>
      <c r="AU10" s="13">
        <f t="shared" si="20"/>
        <v>585.2790647</v>
      </c>
      <c r="AV10" s="28">
        <f t="shared" si="21"/>
        <v>366.3474562</v>
      </c>
      <c r="AW10" s="28">
        <f t="shared" si="22"/>
        <v>614.012706</v>
      </c>
      <c r="AY10" s="38"/>
      <c r="AZ10" s="38">
        <f t="shared" si="23"/>
        <v>187.581471</v>
      </c>
      <c r="BA10" s="3">
        <f t="shared" si="24"/>
        <v>187.581471</v>
      </c>
      <c r="BB10" s="28">
        <f t="shared" si="25"/>
        <v>117.414066</v>
      </c>
      <c r="BC10" s="28">
        <f t="shared" si="26"/>
        <v>196.79058</v>
      </c>
      <c r="BD10" s="28"/>
      <c r="BE10" s="28"/>
      <c r="BF10" s="28">
        <f t="shared" si="27"/>
        <v>57.8800211</v>
      </c>
      <c r="BG10" s="13">
        <f t="shared" si="28"/>
        <v>57.8800211</v>
      </c>
      <c r="BH10" s="28">
        <f t="shared" si="29"/>
        <v>36.2292106</v>
      </c>
      <c r="BI10" s="28">
        <f t="shared" si="30"/>
        <v>60.721578</v>
      </c>
      <c r="BJ10" s="28"/>
      <c r="BK10" s="28"/>
      <c r="BL10" s="28">
        <f t="shared" si="31"/>
        <v>1237.7889567999998</v>
      </c>
      <c r="BM10" s="13">
        <f t="shared" si="32"/>
        <v>1237.7889567999998</v>
      </c>
      <c r="BN10" s="28">
        <f t="shared" si="33"/>
        <v>774.7771328</v>
      </c>
      <c r="BO10" s="28">
        <f t="shared" si="34"/>
        <v>1298.5568640000001</v>
      </c>
      <c r="BP10" s="28"/>
      <c r="BQ10" s="28"/>
      <c r="BR10" s="28">
        <f t="shared" si="35"/>
        <v>21.607485899999997</v>
      </c>
      <c r="BS10" s="13">
        <f t="shared" si="36"/>
        <v>21.607485899999997</v>
      </c>
      <c r="BT10" s="28">
        <f t="shared" si="37"/>
        <v>13.5249114</v>
      </c>
      <c r="BU10" s="28">
        <f t="shared" si="38"/>
        <v>22.668282</v>
      </c>
      <c r="BV10" s="28"/>
      <c r="BW10" s="28"/>
      <c r="BX10" s="28">
        <f t="shared" si="39"/>
        <v>4801.3846298</v>
      </c>
      <c r="BY10" s="13">
        <f t="shared" si="40"/>
        <v>4801.3846298</v>
      </c>
      <c r="BZ10" s="28">
        <f t="shared" si="41"/>
        <v>3005.3612908</v>
      </c>
      <c r="CA10" s="28">
        <f t="shared" si="42"/>
        <v>5037.103404</v>
      </c>
      <c r="CB10" s="28"/>
      <c r="CC10" s="28"/>
      <c r="CD10" s="28">
        <f t="shared" si="43"/>
        <v>170.64373479999998</v>
      </c>
      <c r="CE10" s="13">
        <f t="shared" si="44"/>
        <v>170.64373479999998</v>
      </c>
      <c r="CF10" s="28">
        <f t="shared" si="45"/>
        <v>106.8121208</v>
      </c>
      <c r="CG10" s="28">
        <f t="shared" si="46"/>
        <v>179.02130400000001</v>
      </c>
      <c r="CH10" s="28"/>
      <c r="CI10" s="28"/>
      <c r="CJ10" s="28">
        <f t="shared" si="47"/>
        <v>5097.885468500001</v>
      </c>
      <c r="CK10" s="13">
        <f t="shared" si="48"/>
        <v>5097.885468500001</v>
      </c>
      <c r="CL10" s="28">
        <f t="shared" si="49"/>
        <v>3190.951951</v>
      </c>
      <c r="CM10" s="28">
        <f t="shared" si="50"/>
        <v>5348.16063</v>
      </c>
      <c r="CN10" s="28"/>
      <c r="CO10" s="28"/>
      <c r="CP10" s="28">
        <f t="shared" si="51"/>
        <v>1523.5934681</v>
      </c>
      <c r="CQ10" s="13">
        <f t="shared" si="52"/>
        <v>1523.5934681</v>
      </c>
      <c r="CR10" s="28">
        <f t="shared" si="53"/>
        <v>953.6725726</v>
      </c>
      <c r="CS10" s="28">
        <f t="shared" si="54"/>
        <v>1598.392638</v>
      </c>
      <c r="CT10" s="28"/>
      <c r="CU10" s="28"/>
      <c r="CV10" s="28">
        <f t="shared" si="55"/>
        <v>135.09484120000002</v>
      </c>
      <c r="CW10" s="13">
        <f t="shared" si="56"/>
        <v>135.09484120000002</v>
      </c>
      <c r="CX10" s="28">
        <f t="shared" si="57"/>
        <v>84.5607752</v>
      </c>
      <c r="CY10" s="28">
        <f t="shared" si="58"/>
        <v>141.727176</v>
      </c>
      <c r="CZ10" s="28"/>
      <c r="DA10" s="28"/>
      <c r="DB10" s="28">
        <f t="shared" si="59"/>
        <v>41.8129162</v>
      </c>
      <c r="DC10" s="13">
        <f t="shared" si="60"/>
        <v>41.8129162</v>
      </c>
      <c r="DD10" s="28">
        <f t="shared" si="61"/>
        <v>26.1722252</v>
      </c>
      <c r="DE10" s="28">
        <f t="shared" si="62"/>
        <v>43.865676</v>
      </c>
      <c r="DF10" s="28"/>
      <c r="DG10" s="28"/>
      <c r="DH10" s="28">
        <f t="shared" si="63"/>
        <v>151.8742808</v>
      </c>
      <c r="DI10" s="13">
        <f t="shared" si="64"/>
        <v>151.8742808</v>
      </c>
      <c r="DJ10" s="28">
        <f t="shared" si="65"/>
        <v>95.0636368</v>
      </c>
      <c r="DK10" s="28">
        <f t="shared" si="66"/>
        <v>159.33038399999998</v>
      </c>
      <c r="DL10" s="28"/>
      <c r="DM10" s="28"/>
      <c r="DN10" s="28">
        <f t="shared" si="67"/>
        <v>294.56735879999997</v>
      </c>
      <c r="DO10" s="13">
        <f t="shared" si="68"/>
        <v>294.56735879999997</v>
      </c>
      <c r="DP10" s="28">
        <f t="shared" si="69"/>
        <v>184.3804248</v>
      </c>
      <c r="DQ10" s="28">
        <f t="shared" si="70"/>
        <v>309.028824</v>
      </c>
      <c r="DR10" s="28"/>
      <c r="DS10" s="28"/>
      <c r="DT10" s="28">
        <f t="shared" si="71"/>
        <v>20197.458935500003</v>
      </c>
      <c r="DU10" s="13">
        <f t="shared" si="72"/>
        <v>20197.458935500003</v>
      </c>
      <c r="DV10" s="28">
        <f t="shared" si="73"/>
        <v>12642.324233</v>
      </c>
      <c r="DW10" s="28">
        <f t="shared" si="74"/>
        <v>21189.03129</v>
      </c>
      <c r="DX10" s="28"/>
      <c r="DY10" s="13"/>
      <c r="DZ10" s="13"/>
      <c r="EA10" s="13">
        <f t="shared" si="75"/>
        <v>0</v>
      </c>
      <c r="EB10" s="13"/>
    </row>
    <row r="11" spans="1:132" s="30" customFormat="1" ht="12.75">
      <c r="A11" s="29">
        <v>44287</v>
      </c>
      <c r="C11" s="20">
        <v>2440000</v>
      </c>
      <c r="D11" s="20">
        <v>115775</v>
      </c>
      <c r="E11" s="14">
        <f t="shared" si="0"/>
        <v>2555775</v>
      </c>
      <c r="F11" s="14">
        <v>72963</v>
      </c>
      <c r="G11" s="14">
        <v>117945</v>
      </c>
      <c r="H11" s="28"/>
      <c r="I11" s="20">
        <v>60000</v>
      </c>
      <c r="J11" s="20">
        <v>2706</v>
      </c>
      <c r="K11" s="14">
        <f t="shared" si="1"/>
        <v>62706</v>
      </c>
      <c r="L11" s="14">
        <v>2189</v>
      </c>
      <c r="M11" s="14">
        <v>-675</v>
      </c>
      <c r="N11" s="28"/>
      <c r="O11" s="14">
        <f t="shared" si="76"/>
        <v>2380000</v>
      </c>
      <c r="P11" s="14">
        <f t="shared" si="2"/>
        <v>113069</v>
      </c>
      <c r="Q11" s="14">
        <f t="shared" si="3"/>
        <v>2493069</v>
      </c>
      <c r="R11" s="14">
        <f t="shared" si="4"/>
        <v>70774</v>
      </c>
      <c r="S11" s="14">
        <f t="shared" si="5"/>
        <v>118620</v>
      </c>
      <c r="T11" s="28"/>
      <c r="U11" s="28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Academic'!DS11+'2010C Academic'!DY11+'2010C Academic'!EE11+'2010C Academic'!EK11+'2010C Academic'!EQ11+'2010C Academic'!EW11+'2010C Academic'!FC11+'2010C Academic'!FI11+'2010C Academic'!FO11</f>
        <v>1617926.8559999997</v>
      </c>
      <c r="V11" s="28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Academic'!DT11+'2010C Academic'!DZ11+'2010C Academic'!EF11+'2010C Academic'!EL11+'2010C Academic'!ER11+'2010C Academic'!EX11+'2010C Academic'!FD11+'2010C Academic'!FJ11+'2010C Academic'!FP11</f>
        <v>76864.44188280002</v>
      </c>
      <c r="W11" s="28">
        <f t="shared" si="6"/>
        <v>1694791.2978827998</v>
      </c>
      <c r="X11" s="28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Academic'!DV11+'2010C Academic'!EB11+'2010C Academic'!EH11+'2010C Academic'!EN11+'2010C Academic'!ET11+'2010C Academic'!EZ11+'2010C Academic'!FF11+'2010C Academic'!FL11+'2010C Academic'!FR11</f>
        <v>48111.96703279999</v>
      </c>
      <c r="Y11" s="28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Academic'!DW11+'2010C Academic'!EC11+'2010C Academic'!EI11+'2010C Academic'!EO11+'2010C Academic'!EU11+'2010C Academic'!FA11+'2010C Academic'!FG11+'2010C Academic'!FM11+'2010C Academic'!FS11</f>
        <v>80637.543864</v>
      </c>
      <c r="Z11" s="28"/>
      <c r="AA11" s="13">
        <f>AG11+AM11+AS11+AY11+BE11+BK11+BQ11+BW11+CC11+CI11+CO11+CU11+DA11+DG11+DM11+DS11+DY11</f>
        <v>762073.1440000001</v>
      </c>
      <c r="AB11" s="20">
        <f t="shared" si="7"/>
        <v>36204.5581172</v>
      </c>
      <c r="AC11" s="13">
        <f t="shared" si="8"/>
        <v>798277.7021172001</v>
      </c>
      <c r="AD11" s="13">
        <f t="shared" si="9"/>
        <v>22661.749871199998</v>
      </c>
      <c r="AE11" s="20">
        <f t="shared" si="10"/>
        <v>37981.981656</v>
      </c>
      <c r="AF11" s="28"/>
      <c r="AG11" s="28">
        <f t="shared" si="77"/>
        <v>6866.062000000001</v>
      </c>
      <c r="AH11" s="20">
        <f t="shared" si="11"/>
        <v>326.19275810000005</v>
      </c>
      <c r="AI11" s="28">
        <f t="shared" si="12"/>
        <v>7192.254758100001</v>
      </c>
      <c r="AJ11" s="28">
        <f t="shared" si="13"/>
        <v>204.1759126</v>
      </c>
      <c r="AK11" s="28">
        <f t="shared" si="14"/>
        <v>342.206838</v>
      </c>
      <c r="AM11" s="28">
        <f t="shared" si="78"/>
        <v>28919.618</v>
      </c>
      <c r="AN11" s="28">
        <f t="shared" si="15"/>
        <v>1373.9127258999997</v>
      </c>
      <c r="AO11" s="13">
        <f t="shared" si="16"/>
        <v>30293.530725899996</v>
      </c>
      <c r="AP11" s="28">
        <f t="shared" si="17"/>
        <v>859.9819514</v>
      </c>
      <c r="AQ11" s="28">
        <f t="shared" si="18"/>
        <v>1441.363482</v>
      </c>
      <c r="AS11" s="28">
        <f t="shared" si="79"/>
        <v>12319.594000000001</v>
      </c>
      <c r="AT11" s="28">
        <f t="shared" si="19"/>
        <v>585.2790647</v>
      </c>
      <c r="AU11" s="13">
        <f t="shared" si="20"/>
        <v>12904.873064700001</v>
      </c>
      <c r="AV11" s="28">
        <f t="shared" si="21"/>
        <v>366.3474562</v>
      </c>
      <c r="AW11" s="28">
        <f t="shared" si="22"/>
        <v>614.012706</v>
      </c>
      <c r="AY11" s="38">
        <f t="shared" si="80"/>
        <v>3948.42</v>
      </c>
      <c r="AZ11" s="38">
        <f t="shared" si="23"/>
        <v>187.581471</v>
      </c>
      <c r="BA11" s="3">
        <f t="shared" si="24"/>
        <v>4136.0014710000005</v>
      </c>
      <c r="BB11" s="28">
        <f t="shared" si="25"/>
        <v>117.414066</v>
      </c>
      <c r="BC11" s="28">
        <f t="shared" si="26"/>
        <v>196.79058</v>
      </c>
      <c r="BD11" s="28"/>
      <c r="BE11" s="28">
        <f t="shared" si="81"/>
        <v>1218.322</v>
      </c>
      <c r="BF11" s="28">
        <f t="shared" si="27"/>
        <v>57.8800211</v>
      </c>
      <c r="BG11" s="13">
        <f t="shared" si="28"/>
        <v>1276.2020211</v>
      </c>
      <c r="BH11" s="28">
        <f t="shared" si="29"/>
        <v>36.2292106</v>
      </c>
      <c r="BI11" s="28">
        <f t="shared" si="30"/>
        <v>60.721578</v>
      </c>
      <c r="BJ11" s="28"/>
      <c r="BK11" s="28">
        <f t="shared" si="82"/>
        <v>26054.335999999996</v>
      </c>
      <c r="BL11" s="28">
        <f t="shared" si="31"/>
        <v>1237.7889567999998</v>
      </c>
      <c r="BM11" s="13">
        <f t="shared" si="32"/>
        <v>27292.124956799995</v>
      </c>
      <c r="BN11" s="28">
        <f t="shared" si="33"/>
        <v>774.7771328</v>
      </c>
      <c r="BO11" s="28">
        <f t="shared" si="34"/>
        <v>1298.5568640000001</v>
      </c>
      <c r="BP11" s="28"/>
      <c r="BQ11" s="28">
        <f t="shared" si="83"/>
        <v>454.818</v>
      </c>
      <c r="BR11" s="28">
        <f t="shared" si="35"/>
        <v>21.607485899999997</v>
      </c>
      <c r="BS11" s="13">
        <f t="shared" si="36"/>
        <v>476.42548589999996</v>
      </c>
      <c r="BT11" s="28">
        <f t="shared" si="37"/>
        <v>13.5249114</v>
      </c>
      <c r="BU11" s="28">
        <f t="shared" si="38"/>
        <v>22.668282</v>
      </c>
      <c r="BV11" s="28"/>
      <c r="BW11" s="28">
        <f t="shared" si="84"/>
        <v>101064.796</v>
      </c>
      <c r="BX11" s="28">
        <f t="shared" si="39"/>
        <v>4801.3846298</v>
      </c>
      <c r="BY11" s="13">
        <f t="shared" si="40"/>
        <v>105866.1806298</v>
      </c>
      <c r="BZ11" s="28">
        <f t="shared" si="41"/>
        <v>3005.3612908</v>
      </c>
      <c r="CA11" s="28">
        <f t="shared" si="42"/>
        <v>5037.103404</v>
      </c>
      <c r="CB11" s="28"/>
      <c r="CC11" s="28">
        <f t="shared" si="85"/>
        <v>3591.8959999999997</v>
      </c>
      <c r="CD11" s="28">
        <f t="shared" si="43"/>
        <v>170.64373479999998</v>
      </c>
      <c r="CE11" s="13">
        <f t="shared" si="44"/>
        <v>3762.5397347999997</v>
      </c>
      <c r="CF11" s="28">
        <f t="shared" si="45"/>
        <v>106.8121208</v>
      </c>
      <c r="CG11" s="28">
        <f t="shared" si="46"/>
        <v>179.02130400000001</v>
      </c>
      <c r="CH11" s="28"/>
      <c r="CI11" s="28">
        <f t="shared" si="86"/>
        <v>107305.87</v>
      </c>
      <c r="CJ11" s="28">
        <f t="shared" si="47"/>
        <v>5097.885468500001</v>
      </c>
      <c r="CK11" s="13">
        <f t="shared" si="48"/>
        <v>112403.75546849999</v>
      </c>
      <c r="CL11" s="28">
        <f t="shared" si="49"/>
        <v>3190.951951</v>
      </c>
      <c r="CM11" s="28">
        <f t="shared" si="50"/>
        <v>5348.16063</v>
      </c>
      <c r="CN11" s="28"/>
      <c r="CO11" s="28">
        <f t="shared" si="87"/>
        <v>32070.262000000002</v>
      </c>
      <c r="CP11" s="28">
        <f t="shared" si="51"/>
        <v>1523.5934681</v>
      </c>
      <c r="CQ11" s="13">
        <f t="shared" si="52"/>
        <v>33593.8554681</v>
      </c>
      <c r="CR11" s="28">
        <f t="shared" si="53"/>
        <v>953.6725726</v>
      </c>
      <c r="CS11" s="28">
        <f t="shared" si="54"/>
        <v>1598.392638</v>
      </c>
      <c r="CT11" s="28"/>
      <c r="CU11" s="28">
        <f t="shared" si="88"/>
        <v>2843.6240000000003</v>
      </c>
      <c r="CV11" s="28">
        <f t="shared" si="55"/>
        <v>135.09484120000002</v>
      </c>
      <c r="CW11" s="13">
        <f t="shared" si="56"/>
        <v>2978.7188412000005</v>
      </c>
      <c r="CX11" s="28">
        <f t="shared" si="57"/>
        <v>84.5607752</v>
      </c>
      <c r="CY11" s="28">
        <f t="shared" si="58"/>
        <v>141.727176</v>
      </c>
      <c r="CZ11" s="28"/>
      <c r="DA11" s="28">
        <f t="shared" si="89"/>
        <v>880.1239999999999</v>
      </c>
      <c r="DB11" s="28">
        <f t="shared" si="59"/>
        <v>41.8129162</v>
      </c>
      <c r="DC11" s="13">
        <f t="shared" si="60"/>
        <v>921.9369161999999</v>
      </c>
      <c r="DD11" s="28">
        <f t="shared" si="61"/>
        <v>26.1722252</v>
      </c>
      <c r="DE11" s="28">
        <f t="shared" si="62"/>
        <v>43.865676</v>
      </c>
      <c r="DF11" s="28"/>
      <c r="DG11" s="28">
        <f t="shared" si="90"/>
        <v>3196.816</v>
      </c>
      <c r="DH11" s="28">
        <f t="shared" si="63"/>
        <v>151.8742808</v>
      </c>
      <c r="DI11" s="13">
        <f t="shared" si="64"/>
        <v>3348.6902808</v>
      </c>
      <c r="DJ11" s="28">
        <f t="shared" si="65"/>
        <v>95.0636368</v>
      </c>
      <c r="DK11" s="28">
        <f t="shared" si="66"/>
        <v>159.33038399999998</v>
      </c>
      <c r="DL11" s="28"/>
      <c r="DM11" s="28">
        <f t="shared" si="91"/>
        <v>6200.376</v>
      </c>
      <c r="DN11" s="28">
        <f t="shared" si="67"/>
        <v>294.56735879999997</v>
      </c>
      <c r="DO11" s="13">
        <f t="shared" si="68"/>
        <v>6494.9433588</v>
      </c>
      <c r="DP11" s="28">
        <f t="shared" si="69"/>
        <v>184.3804248</v>
      </c>
      <c r="DQ11" s="28">
        <f t="shared" si="70"/>
        <v>309.028824</v>
      </c>
      <c r="DR11" s="28"/>
      <c r="DS11" s="28">
        <f t="shared" si="92"/>
        <v>425138.21</v>
      </c>
      <c r="DT11" s="28">
        <f t="shared" si="71"/>
        <v>20197.458935500003</v>
      </c>
      <c r="DU11" s="13">
        <f t="shared" si="72"/>
        <v>445335.6689355</v>
      </c>
      <c r="DV11" s="28">
        <f t="shared" si="73"/>
        <v>12642.324233</v>
      </c>
      <c r="DW11" s="28">
        <f t="shared" si="74"/>
        <v>21189.03129</v>
      </c>
      <c r="DX11" s="28"/>
      <c r="DY11" s="13"/>
      <c r="DZ11" s="13"/>
      <c r="EA11" s="13">
        <f t="shared" si="75"/>
        <v>0</v>
      </c>
      <c r="EB11" s="13"/>
    </row>
    <row r="12" spans="1:132" s="30" customFormat="1" ht="12.75">
      <c r="A12" s="29">
        <v>44470</v>
      </c>
      <c r="C12" s="20"/>
      <c r="D12" s="20">
        <v>66975</v>
      </c>
      <c r="E12" s="14">
        <f t="shared" si="0"/>
        <v>66975</v>
      </c>
      <c r="F12" s="14">
        <v>72963</v>
      </c>
      <c r="G12" s="14">
        <v>117945</v>
      </c>
      <c r="H12" s="28"/>
      <c r="I12" s="20"/>
      <c r="J12" s="20">
        <v>1506</v>
      </c>
      <c r="K12" s="14">
        <f t="shared" si="1"/>
        <v>1506</v>
      </c>
      <c r="L12" s="14">
        <v>2189</v>
      </c>
      <c r="M12" s="14">
        <v>-675</v>
      </c>
      <c r="N12" s="28"/>
      <c r="O12" s="14"/>
      <c r="P12" s="14">
        <f t="shared" si="2"/>
        <v>65469</v>
      </c>
      <c r="Q12" s="14">
        <f t="shared" si="3"/>
        <v>65469</v>
      </c>
      <c r="R12" s="14">
        <f t="shared" si="4"/>
        <v>70774</v>
      </c>
      <c r="S12" s="14">
        <f t="shared" si="5"/>
        <v>118620</v>
      </c>
      <c r="T12" s="28"/>
      <c r="U12" s="28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Academic'!DS12+'2010C Academic'!DY12+'2010C Academic'!EE12+'2010C Academic'!EK12+'2010C Academic'!EQ12+'2010C Academic'!EW12+'2010C Academic'!FC12+'2010C Academic'!FI12+'2010C Academic'!FO12</f>
        <v>0</v>
      </c>
      <c r="V12" s="28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Academic'!DT12+'2010C Academic'!DZ12+'2010C Academic'!EF12+'2010C Academic'!EL12+'2010C Academic'!ER12+'2010C Academic'!EX12+'2010C Academic'!FD12+'2010C Academic'!FJ12+'2010C Academic'!FP12</f>
        <v>44505.904762800004</v>
      </c>
      <c r="W12" s="28">
        <f t="shared" si="6"/>
        <v>44505.904762800004</v>
      </c>
      <c r="X12" s="28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Academic'!DV12+'2010C Academic'!EB12+'2010C Academic'!EH12+'2010C Academic'!EN12+'2010C Academic'!ET12+'2010C Academic'!EZ12+'2010C Academic'!FF12+'2010C Academic'!FL12+'2010C Academic'!FR12</f>
        <v>48111.96703279999</v>
      </c>
      <c r="Y12" s="28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Academic'!DW12+'2010C Academic'!EC12+'2010C Academic'!EI12+'2010C Academic'!EO12+'2010C Academic'!EU12+'2010C Academic'!FA12+'2010C Academic'!FG12+'2010C Academic'!FM12+'2010C Academic'!FS12</f>
        <v>80637.543864</v>
      </c>
      <c r="Z12" s="28"/>
      <c r="AA12" s="13"/>
      <c r="AB12" s="20">
        <f t="shared" si="7"/>
        <v>20963.095237199996</v>
      </c>
      <c r="AC12" s="13">
        <f t="shared" si="8"/>
        <v>20963.095237199996</v>
      </c>
      <c r="AD12" s="13">
        <f t="shared" si="9"/>
        <v>22661.749871199998</v>
      </c>
      <c r="AE12" s="20">
        <f t="shared" si="10"/>
        <v>37981.981656</v>
      </c>
      <c r="AF12" s="28"/>
      <c r="AG12" s="28"/>
      <c r="AH12" s="20">
        <f t="shared" si="11"/>
        <v>188.87151810000003</v>
      </c>
      <c r="AI12" s="28">
        <f t="shared" si="12"/>
        <v>188.87151810000003</v>
      </c>
      <c r="AJ12" s="28">
        <f t="shared" si="13"/>
        <v>204.1759126</v>
      </c>
      <c r="AK12" s="28">
        <f t="shared" si="14"/>
        <v>342.206838</v>
      </c>
      <c r="AM12" s="28"/>
      <c r="AN12" s="28">
        <f t="shared" si="15"/>
        <v>795.5203658999999</v>
      </c>
      <c r="AO12" s="13">
        <f t="shared" si="16"/>
        <v>795.5203658999999</v>
      </c>
      <c r="AP12" s="28">
        <f t="shared" si="17"/>
        <v>859.9819514</v>
      </c>
      <c r="AQ12" s="28">
        <f t="shared" si="18"/>
        <v>1441.363482</v>
      </c>
      <c r="AS12" s="28"/>
      <c r="AT12" s="28">
        <f t="shared" si="19"/>
        <v>338.8871847</v>
      </c>
      <c r="AU12" s="13">
        <f t="shared" si="20"/>
        <v>338.8871847</v>
      </c>
      <c r="AV12" s="28">
        <f t="shared" si="21"/>
        <v>366.3474562</v>
      </c>
      <c r="AW12" s="28">
        <f t="shared" si="22"/>
        <v>614.012706</v>
      </c>
      <c r="AY12" s="38"/>
      <c r="AZ12" s="38">
        <f t="shared" si="23"/>
        <v>108.613071</v>
      </c>
      <c r="BA12" s="3">
        <f t="shared" si="24"/>
        <v>108.613071</v>
      </c>
      <c r="BB12" s="28">
        <f t="shared" si="25"/>
        <v>117.414066</v>
      </c>
      <c r="BC12" s="28">
        <f t="shared" si="26"/>
        <v>196.79058</v>
      </c>
      <c r="BD12" s="28"/>
      <c r="BE12" s="28"/>
      <c r="BF12" s="28">
        <f t="shared" si="27"/>
        <v>33.5135811</v>
      </c>
      <c r="BG12" s="13">
        <f t="shared" si="28"/>
        <v>33.5135811</v>
      </c>
      <c r="BH12" s="28">
        <f t="shared" si="29"/>
        <v>36.2292106</v>
      </c>
      <c r="BI12" s="28">
        <f t="shared" si="30"/>
        <v>60.721578</v>
      </c>
      <c r="BJ12" s="28"/>
      <c r="BK12" s="28"/>
      <c r="BL12" s="28">
        <f t="shared" si="31"/>
        <v>716.7022367999999</v>
      </c>
      <c r="BM12" s="13">
        <f t="shared" si="32"/>
        <v>716.7022367999999</v>
      </c>
      <c r="BN12" s="28">
        <f t="shared" si="33"/>
        <v>774.7771328</v>
      </c>
      <c r="BO12" s="28">
        <f t="shared" si="34"/>
        <v>1298.5568640000001</v>
      </c>
      <c r="BP12" s="28"/>
      <c r="BQ12" s="28"/>
      <c r="BR12" s="28">
        <f t="shared" si="35"/>
        <v>12.5111259</v>
      </c>
      <c r="BS12" s="13">
        <f t="shared" si="36"/>
        <v>12.5111259</v>
      </c>
      <c r="BT12" s="28">
        <f t="shared" si="37"/>
        <v>13.5249114</v>
      </c>
      <c r="BU12" s="28">
        <f t="shared" si="38"/>
        <v>22.668282</v>
      </c>
      <c r="BV12" s="28"/>
      <c r="BW12" s="28"/>
      <c r="BX12" s="28">
        <f t="shared" si="39"/>
        <v>2780.0887097999994</v>
      </c>
      <c r="BY12" s="13">
        <f t="shared" si="40"/>
        <v>2780.0887097999994</v>
      </c>
      <c r="BZ12" s="28">
        <f t="shared" si="41"/>
        <v>3005.3612908</v>
      </c>
      <c r="CA12" s="28">
        <f t="shared" si="42"/>
        <v>5037.103404</v>
      </c>
      <c r="CB12" s="28"/>
      <c r="CC12" s="28"/>
      <c r="CD12" s="28">
        <f t="shared" si="43"/>
        <v>98.80581480000001</v>
      </c>
      <c r="CE12" s="13">
        <f t="shared" si="44"/>
        <v>98.80581480000001</v>
      </c>
      <c r="CF12" s="28">
        <f t="shared" si="45"/>
        <v>106.8121208</v>
      </c>
      <c r="CG12" s="28">
        <f t="shared" si="46"/>
        <v>179.02130400000001</v>
      </c>
      <c r="CH12" s="28"/>
      <c r="CI12" s="28"/>
      <c r="CJ12" s="28">
        <f t="shared" si="47"/>
        <v>2951.7680685</v>
      </c>
      <c r="CK12" s="13">
        <f t="shared" si="48"/>
        <v>2951.7680685</v>
      </c>
      <c r="CL12" s="28">
        <f t="shared" si="49"/>
        <v>3190.951951</v>
      </c>
      <c r="CM12" s="28">
        <f t="shared" si="50"/>
        <v>5348.16063</v>
      </c>
      <c r="CN12" s="28"/>
      <c r="CO12" s="28"/>
      <c r="CP12" s="28">
        <f t="shared" si="51"/>
        <v>882.1882281</v>
      </c>
      <c r="CQ12" s="13">
        <f t="shared" si="52"/>
        <v>882.1882281</v>
      </c>
      <c r="CR12" s="28">
        <f t="shared" si="53"/>
        <v>953.6725726</v>
      </c>
      <c r="CS12" s="28">
        <f t="shared" si="54"/>
        <v>1598.392638</v>
      </c>
      <c r="CT12" s="28"/>
      <c r="CU12" s="28"/>
      <c r="CV12" s="28">
        <f t="shared" si="55"/>
        <v>78.22236120000001</v>
      </c>
      <c r="CW12" s="13">
        <f t="shared" si="56"/>
        <v>78.22236120000001</v>
      </c>
      <c r="CX12" s="28">
        <f t="shared" si="57"/>
        <v>84.5607752</v>
      </c>
      <c r="CY12" s="28">
        <f t="shared" si="58"/>
        <v>141.727176</v>
      </c>
      <c r="CZ12" s="28"/>
      <c r="DA12" s="28"/>
      <c r="DB12" s="28">
        <f t="shared" si="59"/>
        <v>24.2104362</v>
      </c>
      <c r="DC12" s="13">
        <f t="shared" si="60"/>
        <v>24.2104362</v>
      </c>
      <c r="DD12" s="28">
        <f t="shared" si="61"/>
        <v>26.1722252</v>
      </c>
      <c r="DE12" s="28">
        <f t="shared" si="62"/>
        <v>43.865676</v>
      </c>
      <c r="DF12" s="28"/>
      <c r="DG12" s="28"/>
      <c r="DH12" s="28">
        <f t="shared" si="63"/>
        <v>87.9379608</v>
      </c>
      <c r="DI12" s="13">
        <f t="shared" si="64"/>
        <v>87.9379608</v>
      </c>
      <c r="DJ12" s="28">
        <f t="shared" si="65"/>
        <v>95.0636368</v>
      </c>
      <c r="DK12" s="28">
        <f t="shared" si="66"/>
        <v>159.33038399999998</v>
      </c>
      <c r="DL12" s="28"/>
      <c r="DM12" s="28"/>
      <c r="DN12" s="28">
        <f t="shared" si="67"/>
        <v>170.5598388</v>
      </c>
      <c r="DO12" s="13">
        <f t="shared" si="68"/>
        <v>170.5598388</v>
      </c>
      <c r="DP12" s="28">
        <f t="shared" si="69"/>
        <v>184.3804248</v>
      </c>
      <c r="DQ12" s="28">
        <f t="shared" si="70"/>
        <v>309.028824</v>
      </c>
      <c r="DR12" s="28"/>
      <c r="DS12" s="28"/>
      <c r="DT12" s="28">
        <f t="shared" si="71"/>
        <v>11694.6947355</v>
      </c>
      <c r="DU12" s="13">
        <f t="shared" si="72"/>
        <v>11694.6947355</v>
      </c>
      <c r="DV12" s="28">
        <f t="shared" si="73"/>
        <v>12642.324233</v>
      </c>
      <c r="DW12" s="28">
        <f t="shared" si="74"/>
        <v>21189.03129</v>
      </c>
      <c r="DX12" s="28"/>
      <c r="DY12" s="13"/>
      <c r="DZ12" s="13"/>
      <c r="EA12" s="13">
        <f t="shared" si="75"/>
        <v>0</v>
      </c>
      <c r="EB12" s="13"/>
    </row>
    <row r="13" spans="1:132" s="30" customFormat="1" ht="12.75">
      <c r="A13" s="29">
        <v>44652</v>
      </c>
      <c r="C13" s="20">
        <v>2520000</v>
      </c>
      <c r="D13" s="20">
        <v>66975</v>
      </c>
      <c r="E13" s="14">
        <f t="shared" si="0"/>
        <v>2586975</v>
      </c>
      <c r="F13" s="14">
        <v>72963</v>
      </c>
      <c r="G13" s="14">
        <v>117945</v>
      </c>
      <c r="H13" s="28"/>
      <c r="I13" s="20">
        <v>60000</v>
      </c>
      <c r="J13" s="20">
        <v>1506</v>
      </c>
      <c r="K13" s="14">
        <f t="shared" si="1"/>
        <v>61506</v>
      </c>
      <c r="L13" s="14">
        <v>2189</v>
      </c>
      <c r="M13" s="14">
        <v>-675</v>
      </c>
      <c r="N13" s="28"/>
      <c r="O13" s="14">
        <f t="shared" si="76"/>
        <v>2460000</v>
      </c>
      <c r="P13" s="14">
        <f t="shared" si="2"/>
        <v>65469</v>
      </c>
      <c r="Q13" s="14">
        <f t="shared" si="3"/>
        <v>2525469</v>
      </c>
      <c r="R13" s="14">
        <f t="shared" si="4"/>
        <v>70774</v>
      </c>
      <c r="S13" s="14">
        <f t="shared" si="5"/>
        <v>118620</v>
      </c>
      <c r="T13" s="28"/>
      <c r="U13" s="28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Academic'!DS13+'2010C Academic'!DY13+'2010C Academic'!EE13+'2010C Academic'!EK13+'2010C Academic'!EQ13+'2010C Academic'!EW13+'2010C Academic'!FC13+'2010C Academic'!FI13+'2010C Academic'!FO13</f>
        <v>1672310.952</v>
      </c>
      <c r="V13" s="28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Academic'!DT13+'2010C Academic'!DZ13+'2010C Academic'!EF13+'2010C Academic'!EL13+'2010C Academic'!ER13+'2010C Academic'!EX13+'2010C Academic'!FD13+'2010C Academic'!FJ13+'2010C Academic'!FP13</f>
        <v>44505.904762800004</v>
      </c>
      <c r="W13" s="28">
        <f t="shared" si="6"/>
        <v>1716816.8567628001</v>
      </c>
      <c r="X13" s="28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Academic'!DV13+'2010C Academic'!EB13+'2010C Academic'!EH13+'2010C Academic'!EN13+'2010C Academic'!ET13+'2010C Academic'!EZ13+'2010C Academic'!FF13+'2010C Academic'!FL13+'2010C Academic'!FR13</f>
        <v>48111.96703279999</v>
      </c>
      <c r="Y13" s="28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Academic'!DW13+'2010C Academic'!EC13+'2010C Academic'!EI13+'2010C Academic'!EO13+'2010C Academic'!EU13+'2010C Academic'!FA13+'2010C Academic'!FG13+'2010C Academic'!FM13+'2010C Academic'!FS13</f>
        <v>80637.543864</v>
      </c>
      <c r="Z13" s="28"/>
      <c r="AA13" s="13">
        <f>AG13+AM13+AS13+AY13+BE13+BK13+BQ13+BW13+CC13+CI13+CO13+CU13+DA13+DG13+DM13+DS13+DY13</f>
        <v>787689.048</v>
      </c>
      <c r="AB13" s="20">
        <f t="shared" si="7"/>
        <v>20963.095237199996</v>
      </c>
      <c r="AC13" s="13">
        <f t="shared" si="8"/>
        <v>808652.1432372</v>
      </c>
      <c r="AD13" s="13">
        <f t="shared" si="9"/>
        <v>22661.749871199998</v>
      </c>
      <c r="AE13" s="20">
        <f t="shared" si="10"/>
        <v>37981.981656</v>
      </c>
      <c r="AF13" s="28"/>
      <c r="AG13" s="28">
        <f t="shared" si="77"/>
        <v>7096.854</v>
      </c>
      <c r="AH13" s="20">
        <f t="shared" si="11"/>
        <v>188.87151810000003</v>
      </c>
      <c r="AI13" s="28">
        <f t="shared" si="12"/>
        <v>7285.7255181</v>
      </c>
      <c r="AJ13" s="28">
        <f t="shared" si="13"/>
        <v>204.1759126</v>
      </c>
      <c r="AK13" s="28">
        <f t="shared" si="14"/>
        <v>342.206838</v>
      </c>
      <c r="AM13" s="28">
        <f t="shared" si="78"/>
        <v>29891.705999999995</v>
      </c>
      <c r="AN13" s="28">
        <f t="shared" si="15"/>
        <v>795.5203658999999</v>
      </c>
      <c r="AO13" s="13">
        <f t="shared" si="16"/>
        <v>30687.226365899995</v>
      </c>
      <c r="AP13" s="28">
        <f t="shared" si="17"/>
        <v>859.9819514</v>
      </c>
      <c r="AQ13" s="28">
        <f t="shared" si="18"/>
        <v>1441.363482</v>
      </c>
      <c r="AS13" s="28">
        <f t="shared" si="79"/>
        <v>12733.698</v>
      </c>
      <c r="AT13" s="28">
        <f t="shared" si="19"/>
        <v>338.8871847</v>
      </c>
      <c r="AU13" s="13">
        <f t="shared" si="20"/>
        <v>13072.5851847</v>
      </c>
      <c r="AV13" s="28">
        <f t="shared" si="21"/>
        <v>366.3474562</v>
      </c>
      <c r="AW13" s="28">
        <f t="shared" si="22"/>
        <v>614.012706</v>
      </c>
      <c r="AY13" s="38">
        <f t="shared" si="80"/>
        <v>4081.14</v>
      </c>
      <c r="AZ13" s="38">
        <f t="shared" si="23"/>
        <v>108.613071</v>
      </c>
      <c r="BA13" s="3">
        <f t="shared" si="24"/>
        <v>4189.753071</v>
      </c>
      <c r="BB13" s="28">
        <f t="shared" si="25"/>
        <v>117.414066</v>
      </c>
      <c r="BC13" s="28">
        <f t="shared" si="26"/>
        <v>196.79058</v>
      </c>
      <c r="BD13" s="28"/>
      <c r="BE13" s="28">
        <f t="shared" si="81"/>
        <v>1259.274</v>
      </c>
      <c r="BF13" s="28">
        <f t="shared" si="27"/>
        <v>33.5135811</v>
      </c>
      <c r="BG13" s="13">
        <f t="shared" si="28"/>
        <v>1292.7875811</v>
      </c>
      <c r="BH13" s="28">
        <f t="shared" si="29"/>
        <v>36.2292106</v>
      </c>
      <c r="BI13" s="28">
        <f t="shared" si="30"/>
        <v>60.721578</v>
      </c>
      <c r="BJ13" s="28"/>
      <c r="BK13" s="28">
        <f t="shared" si="82"/>
        <v>26930.111999999997</v>
      </c>
      <c r="BL13" s="28">
        <f t="shared" si="31"/>
        <v>716.7022367999999</v>
      </c>
      <c r="BM13" s="13">
        <f t="shared" si="32"/>
        <v>27646.814236799997</v>
      </c>
      <c r="BN13" s="28">
        <f t="shared" si="33"/>
        <v>774.7771328</v>
      </c>
      <c r="BO13" s="28">
        <f t="shared" si="34"/>
        <v>1298.5568640000001</v>
      </c>
      <c r="BP13" s="28"/>
      <c r="BQ13" s="28">
        <f t="shared" si="83"/>
        <v>470.106</v>
      </c>
      <c r="BR13" s="28">
        <f t="shared" si="35"/>
        <v>12.5111259</v>
      </c>
      <c r="BS13" s="13">
        <f t="shared" si="36"/>
        <v>482.6171259</v>
      </c>
      <c r="BT13" s="28">
        <f t="shared" si="37"/>
        <v>13.5249114</v>
      </c>
      <c r="BU13" s="28">
        <f t="shared" si="38"/>
        <v>22.668282</v>
      </c>
      <c r="BV13" s="28"/>
      <c r="BW13" s="28">
        <f t="shared" si="84"/>
        <v>104461.93199999999</v>
      </c>
      <c r="BX13" s="28">
        <f t="shared" si="39"/>
        <v>2780.0887097999994</v>
      </c>
      <c r="BY13" s="13">
        <f t="shared" si="40"/>
        <v>107242.02070979998</v>
      </c>
      <c r="BZ13" s="28">
        <f t="shared" si="41"/>
        <v>3005.3612908</v>
      </c>
      <c r="CA13" s="28">
        <f t="shared" si="42"/>
        <v>5037.103404</v>
      </c>
      <c r="CB13" s="28"/>
      <c r="CC13" s="28">
        <f t="shared" si="85"/>
        <v>3712.632</v>
      </c>
      <c r="CD13" s="28">
        <f t="shared" si="43"/>
        <v>98.80581480000001</v>
      </c>
      <c r="CE13" s="13">
        <f t="shared" si="44"/>
        <v>3811.4378148</v>
      </c>
      <c r="CF13" s="28">
        <f t="shared" si="45"/>
        <v>106.8121208</v>
      </c>
      <c r="CG13" s="28">
        <f t="shared" si="46"/>
        <v>179.02130400000001</v>
      </c>
      <c r="CH13" s="28"/>
      <c r="CI13" s="28">
        <f t="shared" si="86"/>
        <v>110912.79</v>
      </c>
      <c r="CJ13" s="28">
        <f t="shared" si="47"/>
        <v>2951.7680685</v>
      </c>
      <c r="CK13" s="13">
        <f t="shared" si="48"/>
        <v>113864.55806849999</v>
      </c>
      <c r="CL13" s="28">
        <f t="shared" si="49"/>
        <v>3190.951951</v>
      </c>
      <c r="CM13" s="28">
        <f t="shared" si="50"/>
        <v>5348.16063</v>
      </c>
      <c r="CN13" s="28"/>
      <c r="CO13" s="28">
        <f t="shared" si="87"/>
        <v>33148.254</v>
      </c>
      <c r="CP13" s="28">
        <f t="shared" si="51"/>
        <v>882.1882281</v>
      </c>
      <c r="CQ13" s="13">
        <f t="shared" si="52"/>
        <v>34030.4422281</v>
      </c>
      <c r="CR13" s="28">
        <f t="shared" si="53"/>
        <v>953.6725726</v>
      </c>
      <c r="CS13" s="28">
        <f t="shared" si="54"/>
        <v>1598.392638</v>
      </c>
      <c r="CT13" s="28"/>
      <c r="CU13" s="28">
        <f t="shared" si="88"/>
        <v>2939.208</v>
      </c>
      <c r="CV13" s="28">
        <f t="shared" si="55"/>
        <v>78.22236120000001</v>
      </c>
      <c r="CW13" s="13">
        <f t="shared" si="56"/>
        <v>3017.4303612</v>
      </c>
      <c r="CX13" s="28">
        <f t="shared" si="57"/>
        <v>84.5607752</v>
      </c>
      <c r="CY13" s="28">
        <f t="shared" si="58"/>
        <v>141.727176</v>
      </c>
      <c r="CZ13" s="28"/>
      <c r="DA13" s="28">
        <f t="shared" si="89"/>
        <v>909.7080000000001</v>
      </c>
      <c r="DB13" s="28">
        <f t="shared" si="59"/>
        <v>24.2104362</v>
      </c>
      <c r="DC13" s="13">
        <f t="shared" si="60"/>
        <v>933.9184362000001</v>
      </c>
      <c r="DD13" s="28">
        <f t="shared" si="61"/>
        <v>26.1722252</v>
      </c>
      <c r="DE13" s="28">
        <f t="shared" si="62"/>
        <v>43.865676</v>
      </c>
      <c r="DF13" s="28"/>
      <c r="DG13" s="28">
        <f t="shared" si="90"/>
        <v>3304.272</v>
      </c>
      <c r="DH13" s="28">
        <f t="shared" si="63"/>
        <v>87.9379608</v>
      </c>
      <c r="DI13" s="13">
        <f t="shared" si="64"/>
        <v>3392.2099608</v>
      </c>
      <c r="DJ13" s="28">
        <f t="shared" si="65"/>
        <v>95.0636368</v>
      </c>
      <c r="DK13" s="28">
        <f t="shared" si="66"/>
        <v>159.33038399999998</v>
      </c>
      <c r="DL13" s="28"/>
      <c r="DM13" s="28">
        <f t="shared" si="91"/>
        <v>6408.7919999999995</v>
      </c>
      <c r="DN13" s="28">
        <f t="shared" si="67"/>
        <v>170.5598388</v>
      </c>
      <c r="DO13" s="13">
        <f t="shared" si="68"/>
        <v>6579.351838799999</v>
      </c>
      <c r="DP13" s="28">
        <f t="shared" si="69"/>
        <v>184.3804248</v>
      </c>
      <c r="DQ13" s="28">
        <f t="shared" si="70"/>
        <v>309.028824</v>
      </c>
      <c r="DR13" s="28"/>
      <c r="DS13" s="28">
        <f t="shared" si="92"/>
        <v>439428.57</v>
      </c>
      <c r="DT13" s="28">
        <f t="shared" si="71"/>
        <v>11694.6947355</v>
      </c>
      <c r="DU13" s="13">
        <f t="shared" si="72"/>
        <v>451123.2647355</v>
      </c>
      <c r="DV13" s="28">
        <f t="shared" si="73"/>
        <v>12642.324233</v>
      </c>
      <c r="DW13" s="28">
        <f t="shared" si="74"/>
        <v>21189.03129</v>
      </c>
      <c r="DX13" s="28"/>
      <c r="DY13" s="13"/>
      <c r="DZ13" s="13"/>
      <c r="EA13" s="13">
        <f t="shared" si="75"/>
        <v>0</v>
      </c>
      <c r="EB13" s="13"/>
    </row>
    <row r="14" spans="1:132" s="30" customFormat="1" ht="12.75">
      <c r="A14" s="29">
        <v>44835</v>
      </c>
      <c r="C14" s="20"/>
      <c r="D14" s="20">
        <v>35475</v>
      </c>
      <c r="E14" s="14">
        <f t="shared" si="0"/>
        <v>35475</v>
      </c>
      <c r="F14" s="14">
        <v>72963</v>
      </c>
      <c r="G14" s="14">
        <v>117945</v>
      </c>
      <c r="H14" s="28"/>
      <c r="I14" s="20"/>
      <c r="J14" s="20">
        <v>756</v>
      </c>
      <c r="K14" s="14">
        <f t="shared" si="1"/>
        <v>756</v>
      </c>
      <c r="L14" s="14">
        <v>2189</v>
      </c>
      <c r="M14" s="14">
        <v>-675</v>
      </c>
      <c r="N14" s="28"/>
      <c r="O14" s="14"/>
      <c r="P14" s="14">
        <f t="shared" si="2"/>
        <v>34719</v>
      </c>
      <c r="Q14" s="14">
        <f t="shared" si="3"/>
        <v>34719</v>
      </c>
      <c r="R14" s="14">
        <f t="shared" si="4"/>
        <v>70774</v>
      </c>
      <c r="S14" s="14">
        <f t="shared" si="5"/>
        <v>118620</v>
      </c>
      <c r="T14" s="28"/>
      <c r="U14" s="28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Academic'!DS14+'2010C Academic'!DY14+'2010C Academic'!EE14+'2010C Academic'!EK14+'2010C Academic'!EQ14+'2010C Academic'!EW14+'2010C Academic'!FC14+'2010C Academic'!FI14+'2010C Academic'!FO14</f>
        <v>0</v>
      </c>
      <c r="V14" s="28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Academic'!DT14+'2010C Academic'!DZ14+'2010C Academic'!EF14+'2010C Academic'!EL14+'2010C Academic'!ER14+'2010C Academic'!EX14+'2010C Academic'!FD14+'2010C Academic'!FJ14+'2010C Academic'!FP14</f>
        <v>23602.017862800003</v>
      </c>
      <c r="W14" s="28">
        <f t="shared" si="6"/>
        <v>23602.017862800003</v>
      </c>
      <c r="X14" s="28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Academic'!DV14+'2010C Academic'!EB14+'2010C Academic'!EH14+'2010C Academic'!EN14+'2010C Academic'!ET14+'2010C Academic'!EZ14+'2010C Academic'!FF14+'2010C Academic'!FL14+'2010C Academic'!FR14</f>
        <v>48111.96703279999</v>
      </c>
      <c r="Y14" s="28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Academic'!DW14+'2010C Academic'!EC14+'2010C Academic'!EI14+'2010C Academic'!EO14+'2010C Academic'!EU14+'2010C Academic'!FA14+'2010C Academic'!FG14+'2010C Academic'!FM14+'2010C Academic'!FS14</f>
        <v>80637.543864</v>
      </c>
      <c r="Z14" s="28"/>
      <c r="AA14" s="13"/>
      <c r="AB14" s="20">
        <f t="shared" si="7"/>
        <v>11116.9821372</v>
      </c>
      <c r="AC14" s="13">
        <f t="shared" si="8"/>
        <v>11116.9821372</v>
      </c>
      <c r="AD14" s="13">
        <f t="shared" si="9"/>
        <v>22661.749871199998</v>
      </c>
      <c r="AE14" s="20">
        <f t="shared" si="10"/>
        <v>37981.981656</v>
      </c>
      <c r="AF14" s="28"/>
      <c r="AG14" s="28"/>
      <c r="AH14" s="20">
        <f t="shared" si="11"/>
        <v>100.16084310000001</v>
      </c>
      <c r="AI14" s="28">
        <f t="shared" si="12"/>
        <v>100.16084310000001</v>
      </c>
      <c r="AJ14" s="28">
        <f t="shared" si="13"/>
        <v>204.1759126</v>
      </c>
      <c r="AK14" s="28">
        <f t="shared" si="14"/>
        <v>342.206838</v>
      </c>
      <c r="AM14" s="28"/>
      <c r="AN14" s="28">
        <f t="shared" si="15"/>
        <v>421.87404089999995</v>
      </c>
      <c r="AO14" s="13">
        <f t="shared" si="16"/>
        <v>421.87404089999995</v>
      </c>
      <c r="AP14" s="28">
        <f t="shared" si="17"/>
        <v>859.9819514</v>
      </c>
      <c r="AQ14" s="28">
        <f t="shared" si="18"/>
        <v>1441.363482</v>
      </c>
      <c r="AS14" s="28"/>
      <c r="AT14" s="28">
        <f t="shared" si="19"/>
        <v>179.7159597</v>
      </c>
      <c r="AU14" s="13">
        <f t="shared" si="20"/>
        <v>179.7159597</v>
      </c>
      <c r="AV14" s="28">
        <f t="shared" si="21"/>
        <v>366.3474562</v>
      </c>
      <c r="AW14" s="28">
        <f t="shared" si="22"/>
        <v>614.012706</v>
      </c>
      <c r="AY14" s="38"/>
      <c r="AZ14" s="38">
        <f t="shared" si="23"/>
        <v>57.598821</v>
      </c>
      <c r="BA14" s="3">
        <f t="shared" si="24"/>
        <v>57.598821</v>
      </c>
      <c r="BB14" s="28">
        <f t="shared" si="25"/>
        <v>117.414066</v>
      </c>
      <c r="BC14" s="28">
        <f t="shared" si="26"/>
        <v>196.79058</v>
      </c>
      <c r="BD14" s="28"/>
      <c r="BE14" s="28"/>
      <c r="BF14" s="28">
        <f t="shared" si="27"/>
        <v>17.7726561</v>
      </c>
      <c r="BG14" s="13">
        <f t="shared" si="28"/>
        <v>17.7726561</v>
      </c>
      <c r="BH14" s="28">
        <f t="shared" si="29"/>
        <v>36.2292106</v>
      </c>
      <c r="BI14" s="28">
        <f t="shared" si="30"/>
        <v>60.721578</v>
      </c>
      <c r="BJ14" s="28"/>
      <c r="BK14" s="28"/>
      <c r="BL14" s="28">
        <f t="shared" si="31"/>
        <v>380.07583679999993</v>
      </c>
      <c r="BM14" s="13">
        <f t="shared" si="32"/>
        <v>380.07583679999993</v>
      </c>
      <c r="BN14" s="28">
        <f t="shared" si="33"/>
        <v>774.7771328</v>
      </c>
      <c r="BO14" s="28">
        <f t="shared" si="34"/>
        <v>1298.5568640000001</v>
      </c>
      <c r="BP14" s="28"/>
      <c r="BQ14" s="28"/>
      <c r="BR14" s="28">
        <f t="shared" si="35"/>
        <v>6.634800899999999</v>
      </c>
      <c r="BS14" s="13">
        <f t="shared" si="36"/>
        <v>6.634800899999999</v>
      </c>
      <c r="BT14" s="28">
        <f t="shared" si="37"/>
        <v>13.5249114</v>
      </c>
      <c r="BU14" s="28">
        <f t="shared" si="38"/>
        <v>22.668282</v>
      </c>
      <c r="BV14" s="28"/>
      <c r="BW14" s="28"/>
      <c r="BX14" s="28">
        <f t="shared" si="39"/>
        <v>1474.3145598</v>
      </c>
      <c r="BY14" s="13">
        <f t="shared" si="40"/>
        <v>1474.3145598</v>
      </c>
      <c r="BZ14" s="28">
        <f t="shared" si="41"/>
        <v>3005.3612908</v>
      </c>
      <c r="CA14" s="28">
        <f t="shared" si="42"/>
        <v>5037.103404</v>
      </c>
      <c r="CB14" s="28"/>
      <c r="CC14" s="28"/>
      <c r="CD14" s="28">
        <f t="shared" si="43"/>
        <v>52.397914799999995</v>
      </c>
      <c r="CE14" s="13">
        <f t="shared" si="44"/>
        <v>52.397914799999995</v>
      </c>
      <c r="CF14" s="28">
        <f t="shared" si="45"/>
        <v>106.8121208</v>
      </c>
      <c r="CG14" s="28">
        <f t="shared" si="46"/>
        <v>179.02130400000001</v>
      </c>
      <c r="CH14" s="28"/>
      <c r="CI14" s="28"/>
      <c r="CJ14" s="28">
        <f t="shared" si="47"/>
        <v>1565.3581935</v>
      </c>
      <c r="CK14" s="13">
        <f t="shared" si="48"/>
        <v>1565.3581935</v>
      </c>
      <c r="CL14" s="28">
        <f t="shared" si="49"/>
        <v>3190.951951</v>
      </c>
      <c r="CM14" s="28">
        <f t="shared" si="50"/>
        <v>5348.16063</v>
      </c>
      <c r="CN14" s="28"/>
      <c r="CO14" s="28"/>
      <c r="CP14" s="28">
        <f t="shared" si="51"/>
        <v>467.8350531</v>
      </c>
      <c r="CQ14" s="13">
        <f t="shared" si="52"/>
        <v>467.8350531</v>
      </c>
      <c r="CR14" s="28">
        <f t="shared" si="53"/>
        <v>953.6725726</v>
      </c>
      <c r="CS14" s="28">
        <f t="shared" si="54"/>
        <v>1598.392638</v>
      </c>
      <c r="CT14" s="28"/>
      <c r="CU14" s="28"/>
      <c r="CV14" s="28">
        <f t="shared" si="55"/>
        <v>41.4822612</v>
      </c>
      <c r="CW14" s="13">
        <f t="shared" si="56"/>
        <v>41.4822612</v>
      </c>
      <c r="CX14" s="28">
        <f t="shared" si="57"/>
        <v>84.5607752</v>
      </c>
      <c r="CY14" s="28">
        <f t="shared" si="58"/>
        <v>141.727176</v>
      </c>
      <c r="CZ14" s="28"/>
      <c r="DA14" s="28"/>
      <c r="DB14" s="28">
        <f t="shared" si="59"/>
        <v>12.839086199999999</v>
      </c>
      <c r="DC14" s="13">
        <f t="shared" si="60"/>
        <v>12.839086199999999</v>
      </c>
      <c r="DD14" s="28">
        <f t="shared" si="61"/>
        <v>26.1722252</v>
      </c>
      <c r="DE14" s="28">
        <f t="shared" si="62"/>
        <v>43.865676</v>
      </c>
      <c r="DF14" s="28"/>
      <c r="DG14" s="28"/>
      <c r="DH14" s="28">
        <f t="shared" si="63"/>
        <v>46.6345608</v>
      </c>
      <c r="DI14" s="13">
        <f t="shared" si="64"/>
        <v>46.6345608</v>
      </c>
      <c r="DJ14" s="28">
        <f t="shared" si="65"/>
        <v>95.0636368</v>
      </c>
      <c r="DK14" s="28">
        <f t="shared" si="66"/>
        <v>159.33038399999998</v>
      </c>
      <c r="DL14" s="28"/>
      <c r="DM14" s="28"/>
      <c r="DN14" s="28">
        <f t="shared" si="67"/>
        <v>90.4499388</v>
      </c>
      <c r="DO14" s="13">
        <f t="shared" si="68"/>
        <v>90.4499388</v>
      </c>
      <c r="DP14" s="28">
        <f t="shared" si="69"/>
        <v>184.3804248</v>
      </c>
      <c r="DQ14" s="28">
        <f t="shared" si="70"/>
        <v>309.028824</v>
      </c>
      <c r="DR14" s="28"/>
      <c r="DS14" s="28"/>
      <c r="DT14" s="28">
        <f t="shared" si="71"/>
        <v>6201.837610500001</v>
      </c>
      <c r="DU14" s="13">
        <f t="shared" si="72"/>
        <v>6201.837610500001</v>
      </c>
      <c r="DV14" s="28">
        <f t="shared" si="73"/>
        <v>12642.324233</v>
      </c>
      <c r="DW14" s="28">
        <f t="shared" si="74"/>
        <v>21189.03129</v>
      </c>
      <c r="DX14" s="28"/>
      <c r="DY14" s="13"/>
      <c r="DZ14" s="13"/>
      <c r="EA14" s="13">
        <f t="shared" si="75"/>
        <v>0</v>
      </c>
      <c r="EB14" s="13"/>
    </row>
    <row r="15" spans="1:132" s="30" customFormat="1" ht="12.75">
      <c r="A15" s="29">
        <v>45017</v>
      </c>
      <c r="C15" s="20">
        <v>2580000</v>
      </c>
      <c r="D15" s="20">
        <v>35475</v>
      </c>
      <c r="E15" s="14">
        <f t="shared" si="0"/>
        <v>2615475</v>
      </c>
      <c r="F15" s="14">
        <v>72968</v>
      </c>
      <c r="G15" s="14">
        <v>117949</v>
      </c>
      <c r="H15" s="28"/>
      <c r="I15" s="20">
        <v>55000</v>
      </c>
      <c r="J15" s="20">
        <v>756</v>
      </c>
      <c r="K15" s="14">
        <f t="shared" si="1"/>
        <v>55756</v>
      </c>
      <c r="L15" s="14">
        <v>2186</v>
      </c>
      <c r="M15" s="14">
        <v>-680</v>
      </c>
      <c r="N15" s="28"/>
      <c r="O15" s="14">
        <f t="shared" si="76"/>
        <v>2525000</v>
      </c>
      <c r="P15" s="14">
        <f t="shared" si="2"/>
        <v>34719</v>
      </c>
      <c r="Q15" s="14">
        <f t="shared" si="3"/>
        <v>2559719</v>
      </c>
      <c r="R15" s="14">
        <f t="shared" si="4"/>
        <v>70782</v>
      </c>
      <c r="S15" s="14">
        <f t="shared" si="5"/>
        <v>118629</v>
      </c>
      <c r="T15" s="28"/>
      <c r="U15" s="28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Academic'!DS15+'2010C Academic'!DY15+'2010C Academic'!EE15+'2010C Academic'!EK15+'2010C Academic'!EQ15+'2010C Academic'!EW15+'2010C Academic'!FC15+'2010C Academic'!FI15+'2010C Academic'!FO15</f>
        <v>1716498.0300000003</v>
      </c>
      <c r="V15" s="28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Academic'!DT15+'2010C Academic'!DZ15+'2010C Academic'!EF15+'2010C Academic'!EL15+'2010C Academic'!ER15+'2010C Academic'!EX15+'2010C Academic'!FD15+'2010C Academic'!FJ15+'2010C Academic'!FP15</f>
        <v>23602.017862800003</v>
      </c>
      <c r="W15" s="28">
        <f t="shared" si="6"/>
        <v>1740100.0478628003</v>
      </c>
      <c r="X15" s="28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Academic'!DV15+'2010C Academic'!EB15+'2010C Academic'!EH15+'2010C Academic'!EN15+'2010C Academic'!ET15+'2010C Academic'!EZ15+'2010C Academic'!FF15+'2010C Academic'!FL15+'2010C Academic'!FR15</f>
        <v>48124.40541040001</v>
      </c>
      <c r="Y15" s="28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Academic'!DW15+'2010C Academic'!EC15+'2010C Academic'!EI15+'2010C Academic'!EO15+'2010C Academic'!EU15+'2010C Academic'!FA15+'2010C Academic'!FG15+'2010C Academic'!FM15+'2010C Academic'!FS15</f>
        <v>80655.6620388</v>
      </c>
      <c r="Z15" s="28"/>
      <c r="AA15" s="13">
        <f>AG15+AM15+AS15+AY15+BE15+BK15+BQ15+BW15+CC15+CI15+CO15+CU15+DA15+DG15+DM15+DS15+DY15</f>
        <v>808501.97</v>
      </c>
      <c r="AB15" s="20">
        <f t="shared" si="7"/>
        <v>11116.9821372</v>
      </c>
      <c r="AC15" s="13">
        <f t="shared" si="8"/>
        <v>819618.9521371999</v>
      </c>
      <c r="AD15" s="13">
        <f t="shared" si="9"/>
        <v>22664.3114616</v>
      </c>
      <c r="AE15" s="20">
        <f t="shared" si="10"/>
        <v>37984.8634452</v>
      </c>
      <c r="AF15" s="28"/>
      <c r="AG15" s="28">
        <f t="shared" si="77"/>
        <v>7284.372500000001</v>
      </c>
      <c r="AH15" s="20">
        <f t="shared" si="11"/>
        <v>100.16084310000001</v>
      </c>
      <c r="AI15" s="28">
        <f t="shared" si="12"/>
        <v>7384.533343100002</v>
      </c>
      <c r="AJ15" s="28">
        <f t="shared" si="13"/>
        <v>204.19899180000002</v>
      </c>
      <c r="AK15" s="28">
        <f t="shared" si="14"/>
        <v>342.2328021</v>
      </c>
      <c r="AM15" s="28">
        <f t="shared" si="78"/>
        <v>30681.5275</v>
      </c>
      <c r="AN15" s="28">
        <f t="shared" si="15"/>
        <v>421.87404089999995</v>
      </c>
      <c r="AO15" s="13">
        <f t="shared" si="16"/>
        <v>31103.4015409</v>
      </c>
      <c r="AP15" s="28">
        <f t="shared" si="17"/>
        <v>860.0791601999999</v>
      </c>
      <c r="AQ15" s="28">
        <f t="shared" si="18"/>
        <v>1441.4728419</v>
      </c>
      <c r="AS15" s="28">
        <f t="shared" si="79"/>
        <v>13070.1575</v>
      </c>
      <c r="AT15" s="28">
        <f t="shared" si="19"/>
        <v>179.7159597</v>
      </c>
      <c r="AU15" s="13">
        <f t="shared" si="20"/>
        <v>13249.8734597</v>
      </c>
      <c r="AV15" s="28">
        <f t="shared" si="21"/>
        <v>366.3888666</v>
      </c>
      <c r="AW15" s="28">
        <f t="shared" si="22"/>
        <v>614.0592927</v>
      </c>
      <c r="AY15" s="38">
        <f t="shared" si="80"/>
        <v>4188.975</v>
      </c>
      <c r="AZ15" s="38">
        <f t="shared" si="23"/>
        <v>57.598821</v>
      </c>
      <c r="BA15" s="3">
        <f t="shared" si="24"/>
        <v>4246.573821</v>
      </c>
      <c r="BB15" s="28">
        <f t="shared" si="25"/>
        <v>117.427338</v>
      </c>
      <c r="BC15" s="28">
        <f t="shared" si="26"/>
        <v>196.80551100000002</v>
      </c>
      <c r="BD15" s="28"/>
      <c r="BE15" s="28">
        <f t="shared" si="81"/>
        <v>1292.5475</v>
      </c>
      <c r="BF15" s="28">
        <f t="shared" si="27"/>
        <v>17.7726561</v>
      </c>
      <c r="BG15" s="13">
        <f t="shared" si="28"/>
        <v>1310.3201560999998</v>
      </c>
      <c r="BH15" s="28">
        <f t="shared" si="29"/>
        <v>36.233305800000004</v>
      </c>
      <c r="BI15" s="28">
        <f t="shared" si="30"/>
        <v>60.7261851</v>
      </c>
      <c r="BJ15" s="28"/>
      <c r="BK15" s="28">
        <f t="shared" si="82"/>
        <v>27641.68</v>
      </c>
      <c r="BL15" s="28">
        <f t="shared" si="31"/>
        <v>380.07583679999993</v>
      </c>
      <c r="BM15" s="13">
        <f t="shared" si="32"/>
        <v>28021.7558368</v>
      </c>
      <c r="BN15" s="28">
        <f t="shared" si="33"/>
        <v>774.8647104</v>
      </c>
      <c r="BO15" s="28">
        <f t="shared" si="34"/>
        <v>1298.6553888</v>
      </c>
      <c r="BP15" s="28"/>
      <c r="BQ15" s="28">
        <f t="shared" si="83"/>
        <v>482.5274999999999</v>
      </c>
      <c r="BR15" s="28">
        <f t="shared" si="35"/>
        <v>6.634800899999999</v>
      </c>
      <c r="BS15" s="13">
        <f t="shared" si="36"/>
        <v>489.16230089999993</v>
      </c>
      <c r="BT15" s="28">
        <f t="shared" si="37"/>
        <v>13.526440200000001</v>
      </c>
      <c r="BU15" s="28">
        <f t="shared" si="38"/>
        <v>22.670001900000003</v>
      </c>
      <c r="BV15" s="28"/>
      <c r="BW15" s="28">
        <f t="shared" si="84"/>
        <v>107222.105</v>
      </c>
      <c r="BX15" s="28">
        <f t="shared" si="39"/>
        <v>1474.3145598</v>
      </c>
      <c r="BY15" s="13">
        <f t="shared" si="40"/>
        <v>108696.4195598</v>
      </c>
      <c r="BZ15" s="28">
        <f t="shared" si="41"/>
        <v>3005.7010044</v>
      </c>
      <c r="CA15" s="28">
        <f t="shared" si="42"/>
        <v>5037.4855818</v>
      </c>
      <c r="CB15" s="28"/>
      <c r="CC15" s="28">
        <f t="shared" si="85"/>
        <v>3810.73</v>
      </c>
      <c r="CD15" s="28">
        <f t="shared" si="43"/>
        <v>52.397914799999995</v>
      </c>
      <c r="CE15" s="13">
        <f t="shared" si="44"/>
        <v>3863.1279148</v>
      </c>
      <c r="CF15" s="28">
        <f t="shared" si="45"/>
        <v>106.8241944</v>
      </c>
      <c r="CG15" s="28">
        <f t="shared" si="46"/>
        <v>179.0348868</v>
      </c>
      <c r="CH15" s="28"/>
      <c r="CI15" s="28">
        <f t="shared" si="86"/>
        <v>113843.4125</v>
      </c>
      <c r="CJ15" s="28">
        <f t="shared" si="47"/>
        <v>1565.3581935</v>
      </c>
      <c r="CK15" s="13">
        <f t="shared" si="48"/>
        <v>115408.7706935</v>
      </c>
      <c r="CL15" s="28">
        <f t="shared" si="49"/>
        <v>3191.312643</v>
      </c>
      <c r="CM15" s="28">
        <f t="shared" si="50"/>
        <v>5348.5664085</v>
      </c>
      <c r="CN15" s="28"/>
      <c r="CO15" s="28">
        <f t="shared" si="87"/>
        <v>34024.1225</v>
      </c>
      <c r="CP15" s="28">
        <f t="shared" si="51"/>
        <v>467.8350531</v>
      </c>
      <c r="CQ15" s="13">
        <f t="shared" si="52"/>
        <v>34491.9575531</v>
      </c>
      <c r="CR15" s="28">
        <f t="shared" si="53"/>
        <v>953.7803718</v>
      </c>
      <c r="CS15" s="28">
        <f t="shared" si="54"/>
        <v>1598.5139121</v>
      </c>
      <c r="CT15" s="28"/>
      <c r="CU15" s="28">
        <f t="shared" si="88"/>
        <v>3016.87</v>
      </c>
      <c r="CV15" s="28">
        <f t="shared" si="55"/>
        <v>41.4822612</v>
      </c>
      <c r="CW15" s="13">
        <f t="shared" si="56"/>
        <v>3058.3522611999997</v>
      </c>
      <c r="CX15" s="28">
        <f t="shared" si="57"/>
        <v>84.5703336</v>
      </c>
      <c r="CY15" s="28">
        <f t="shared" si="58"/>
        <v>141.7379292</v>
      </c>
      <c r="CZ15" s="28"/>
      <c r="DA15" s="28">
        <f t="shared" si="89"/>
        <v>933.745</v>
      </c>
      <c r="DB15" s="28">
        <f t="shared" si="59"/>
        <v>12.839086199999999</v>
      </c>
      <c r="DC15" s="13">
        <f t="shared" si="60"/>
        <v>946.5840862</v>
      </c>
      <c r="DD15" s="28">
        <f t="shared" si="61"/>
        <v>26.1751836</v>
      </c>
      <c r="DE15" s="28">
        <f t="shared" si="62"/>
        <v>43.8690042</v>
      </c>
      <c r="DF15" s="28"/>
      <c r="DG15" s="28">
        <f t="shared" si="90"/>
        <v>3391.58</v>
      </c>
      <c r="DH15" s="28">
        <f t="shared" si="63"/>
        <v>46.6345608</v>
      </c>
      <c r="DI15" s="13">
        <f t="shared" si="64"/>
        <v>3438.2145608</v>
      </c>
      <c r="DJ15" s="28">
        <f t="shared" si="65"/>
        <v>95.07438239999999</v>
      </c>
      <c r="DK15" s="28">
        <f t="shared" si="66"/>
        <v>159.3424728</v>
      </c>
      <c r="DL15" s="28"/>
      <c r="DM15" s="28">
        <f t="shared" si="91"/>
        <v>6578.129999999999</v>
      </c>
      <c r="DN15" s="28">
        <f t="shared" si="67"/>
        <v>90.4499388</v>
      </c>
      <c r="DO15" s="13">
        <f t="shared" si="68"/>
        <v>6668.5799388</v>
      </c>
      <c r="DP15" s="28">
        <f t="shared" si="69"/>
        <v>184.4012664</v>
      </c>
      <c r="DQ15" s="28">
        <f t="shared" si="70"/>
        <v>309.0522708</v>
      </c>
      <c r="DR15" s="28"/>
      <c r="DS15" s="28">
        <f t="shared" si="92"/>
        <v>451039.4875</v>
      </c>
      <c r="DT15" s="28">
        <f t="shared" si="71"/>
        <v>6201.837610500001</v>
      </c>
      <c r="DU15" s="13">
        <f t="shared" si="72"/>
        <v>457241.3251105</v>
      </c>
      <c r="DV15" s="28">
        <f t="shared" si="73"/>
        <v>12643.753268999999</v>
      </c>
      <c r="DW15" s="28">
        <f t="shared" si="74"/>
        <v>21190.6389555</v>
      </c>
      <c r="DX15" s="28"/>
      <c r="DY15" s="13"/>
      <c r="DZ15" s="13"/>
      <c r="EA15" s="13">
        <f t="shared" si="75"/>
        <v>0</v>
      </c>
      <c r="EB15" s="13"/>
    </row>
    <row r="16" spans="1:132" s="30" customFormat="1" ht="12.75">
      <c r="A16" s="29">
        <v>45200</v>
      </c>
      <c r="C16" s="20"/>
      <c r="D16" s="20"/>
      <c r="E16" s="14"/>
      <c r="F16" s="14"/>
      <c r="G16" s="14"/>
      <c r="H16" s="28"/>
      <c r="I16" s="20"/>
      <c r="J16" s="20"/>
      <c r="K16" s="14"/>
      <c r="L16" s="14"/>
      <c r="M16" s="14"/>
      <c r="N16" s="28"/>
      <c r="O16" s="20"/>
      <c r="P16" s="20"/>
      <c r="Q16" s="14"/>
      <c r="R16" s="14"/>
      <c r="S16" s="14"/>
      <c r="T16" s="28"/>
      <c r="U16" s="28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Academic'!DS16+'2010C Academic'!DY16+'2010C Academic'!EE16+'2010C Academic'!EK16+'2010C Academic'!EQ16+'2010C Academic'!EW16+'2010C Academic'!FC16+'2010C Academic'!FI16+'2010C Academic'!FO16</f>
        <v>0</v>
      </c>
      <c r="V16" s="28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Academic'!DT16+'2010C Academic'!DZ16+'2010C Academic'!EF16+'2010C Academic'!EL16+'2010C Academic'!ER16+'2010C Academic'!EX16+'2010C Academic'!FD16+'2010C Academic'!FJ16+'2010C Academic'!FP16</f>
        <v>0</v>
      </c>
      <c r="W16" s="28">
        <f t="shared" si="6"/>
        <v>0</v>
      </c>
      <c r="X16" s="28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Academic'!DV16+'2010C Academic'!EB16+'2010C Academic'!EH16+'2010C Academic'!EN16+'2010C Academic'!ET16+'2010C Academic'!EZ16+'2010C Academic'!FF16+'2010C Academic'!FL16+'2010C Academic'!FR16</f>
        <v>0</v>
      </c>
      <c r="Y16" s="28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Academic'!DW16+'2010C Academic'!EC16+'2010C Academic'!EI16+'2010C Academic'!EO16+'2010C Academic'!EU16+'2010C Academic'!FA16+'2010C Academic'!FG16+'2010C Academic'!FM16+'2010C Academic'!FS16</f>
        <v>0</v>
      </c>
      <c r="Z16" s="28"/>
      <c r="AA16" s="13"/>
      <c r="AB16" s="20">
        <f t="shared" si="7"/>
        <v>0</v>
      </c>
      <c r="AC16" s="13">
        <f t="shared" si="8"/>
        <v>0</v>
      </c>
      <c r="AD16" s="13">
        <f t="shared" si="9"/>
        <v>0</v>
      </c>
      <c r="AE16" s="20">
        <f t="shared" si="10"/>
        <v>0</v>
      </c>
      <c r="AF16" s="28"/>
      <c r="AG16" s="28"/>
      <c r="AH16" s="20">
        <f t="shared" si="11"/>
        <v>0</v>
      </c>
      <c r="AI16" s="28">
        <f t="shared" si="12"/>
        <v>0</v>
      </c>
      <c r="AJ16" s="28">
        <f t="shared" si="13"/>
        <v>0</v>
      </c>
      <c r="AK16" s="28">
        <f t="shared" si="14"/>
        <v>0</v>
      </c>
      <c r="AM16" s="28"/>
      <c r="AN16" s="28">
        <f t="shared" si="15"/>
        <v>0</v>
      </c>
      <c r="AO16" s="13">
        <f t="shared" si="16"/>
        <v>0</v>
      </c>
      <c r="AP16" s="28">
        <f t="shared" si="17"/>
        <v>0</v>
      </c>
      <c r="AQ16" s="28">
        <f t="shared" si="18"/>
        <v>0</v>
      </c>
      <c r="AS16" s="28"/>
      <c r="AT16" s="28">
        <f t="shared" si="19"/>
        <v>0</v>
      </c>
      <c r="AU16" s="13">
        <f t="shared" si="20"/>
        <v>0</v>
      </c>
      <c r="AV16" s="28">
        <f t="shared" si="21"/>
        <v>0</v>
      </c>
      <c r="AW16" s="28">
        <f t="shared" si="22"/>
        <v>0</v>
      </c>
      <c r="AY16" s="38"/>
      <c r="AZ16" s="38">
        <f t="shared" si="23"/>
        <v>0</v>
      </c>
      <c r="BA16" s="3">
        <f t="shared" si="24"/>
        <v>0</v>
      </c>
      <c r="BB16" s="28">
        <f t="shared" si="25"/>
        <v>0</v>
      </c>
      <c r="BC16" s="28">
        <f t="shared" si="26"/>
        <v>0</v>
      </c>
      <c r="BD16" s="28"/>
      <c r="BE16" s="28"/>
      <c r="BF16" s="28">
        <f t="shared" si="27"/>
        <v>0</v>
      </c>
      <c r="BG16" s="13">
        <f t="shared" si="28"/>
        <v>0</v>
      </c>
      <c r="BH16" s="28">
        <f t="shared" si="29"/>
        <v>0</v>
      </c>
      <c r="BI16" s="28">
        <f t="shared" si="30"/>
        <v>0</v>
      </c>
      <c r="BJ16" s="28"/>
      <c r="BK16" s="28"/>
      <c r="BL16" s="28">
        <f t="shared" si="31"/>
        <v>0</v>
      </c>
      <c r="BM16" s="13">
        <f t="shared" si="32"/>
        <v>0</v>
      </c>
      <c r="BN16" s="28">
        <f t="shared" si="33"/>
        <v>0</v>
      </c>
      <c r="BO16" s="28">
        <f t="shared" si="34"/>
        <v>0</v>
      </c>
      <c r="BP16" s="28"/>
      <c r="BQ16" s="28"/>
      <c r="BR16" s="28">
        <f t="shared" si="35"/>
        <v>0</v>
      </c>
      <c r="BS16" s="13">
        <f t="shared" si="36"/>
        <v>0</v>
      </c>
      <c r="BT16" s="28">
        <f t="shared" si="37"/>
        <v>0</v>
      </c>
      <c r="BU16" s="28">
        <f t="shared" si="38"/>
        <v>0</v>
      </c>
      <c r="BV16" s="28"/>
      <c r="BW16" s="28"/>
      <c r="BX16" s="28">
        <f t="shared" si="39"/>
        <v>0</v>
      </c>
      <c r="BY16" s="13">
        <f t="shared" si="40"/>
        <v>0</v>
      </c>
      <c r="BZ16" s="28">
        <f t="shared" si="41"/>
        <v>0</v>
      </c>
      <c r="CA16" s="28">
        <f t="shared" si="42"/>
        <v>0</v>
      </c>
      <c r="CB16" s="28"/>
      <c r="CC16" s="28"/>
      <c r="CD16" s="28">
        <f t="shared" si="43"/>
        <v>0</v>
      </c>
      <c r="CE16" s="13">
        <f t="shared" si="44"/>
        <v>0</v>
      </c>
      <c r="CF16" s="28">
        <f t="shared" si="45"/>
        <v>0</v>
      </c>
      <c r="CG16" s="28">
        <f t="shared" si="46"/>
        <v>0</v>
      </c>
      <c r="CH16" s="28"/>
      <c r="CI16" s="28"/>
      <c r="CJ16" s="28">
        <f t="shared" si="47"/>
        <v>0</v>
      </c>
      <c r="CK16" s="13">
        <f t="shared" si="48"/>
        <v>0</v>
      </c>
      <c r="CL16" s="28">
        <f t="shared" si="49"/>
        <v>0</v>
      </c>
      <c r="CM16" s="28">
        <f t="shared" si="50"/>
        <v>0</v>
      </c>
      <c r="CN16" s="28"/>
      <c r="CO16" s="28"/>
      <c r="CP16" s="28">
        <f t="shared" si="51"/>
        <v>0</v>
      </c>
      <c r="CQ16" s="13">
        <f t="shared" si="52"/>
        <v>0</v>
      </c>
      <c r="CR16" s="28">
        <f t="shared" si="53"/>
        <v>0</v>
      </c>
      <c r="CS16" s="28">
        <f t="shared" si="54"/>
        <v>0</v>
      </c>
      <c r="CT16" s="28"/>
      <c r="CU16" s="28"/>
      <c r="CV16" s="28">
        <f t="shared" si="55"/>
        <v>0</v>
      </c>
      <c r="CW16" s="13">
        <f t="shared" si="56"/>
        <v>0</v>
      </c>
      <c r="CX16" s="28">
        <f t="shared" si="57"/>
        <v>0</v>
      </c>
      <c r="CY16" s="28">
        <f t="shared" si="58"/>
        <v>0</v>
      </c>
      <c r="CZ16" s="28"/>
      <c r="DA16" s="28"/>
      <c r="DB16" s="28">
        <f t="shared" si="59"/>
        <v>0</v>
      </c>
      <c r="DC16" s="13">
        <f t="shared" si="60"/>
        <v>0</v>
      </c>
      <c r="DD16" s="28">
        <f t="shared" si="61"/>
        <v>0</v>
      </c>
      <c r="DE16" s="28">
        <f t="shared" si="62"/>
        <v>0</v>
      </c>
      <c r="DF16" s="28"/>
      <c r="DG16" s="28"/>
      <c r="DH16" s="28">
        <f t="shared" si="63"/>
        <v>0</v>
      </c>
      <c r="DI16" s="13">
        <f t="shared" si="64"/>
        <v>0</v>
      </c>
      <c r="DJ16" s="28">
        <f t="shared" si="65"/>
        <v>0</v>
      </c>
      <c r="DK16" s="28">
        <f t="shared" si="66"/>
        <v>0</v>
      </c>
      <c r="DL16" s="28"/>
      <c r="DM16" s="28"/>
      <c r="DN16" s="28">
        <f t="shared" si="67"/>
        <v>0</v>
      </c>
      <c r="DO16" s="13">
        <f t="shared" si="68"/>
        <v>0</v>
      </c>
      <c r="DP16" s="28">
        <f t="shared" si="69"/>
        <v>0</v>
      </c>
      <c r="DQ16" s="28">
        <f t="shared" si="70"/>
        <v>0</v>
      </c>
      <c r="DR16" s="28"/>
      <c r="DS16" s="28"/>
      <c r="DT16" s="28">
        <f t="shared" si="71"/>
        <v>0</v>
      </c>
      <c r="DU16" s="13">
        <f t="shared" si="72"/>
        <v>0</v>
      </c>
      <c r="DV16" s="28">
        <f t="shared" si="73"/>
        <v>0</v>
      </c>
      <c r="DW16" s="28">
        <f t="shared" si="74"/>
        <v>0</v>
      </c>
      <c r="DX16" s="28"/>
      <c r="DY16" s="13"/>
      <c r="DZ16" s="13"/>
      <c r="EA16" s="13">
        <f t="shared" si="75"/>
        <v>0</v>
      </c>
      <c r="EB16" s="13"/>
    </row>
    <row r="17" spans="1:132" s="30" customFormat="1" ht="12.75">
      <c r="A17" s="29">
        <v>45383</v>
      </c>
      <c r="C17" s="20"/>
      <c r="D17" s="20"/>
      <c r="E17" s="14"/>
      <c r="F17" s="14"/>
      <c r="G17" s="14"/>
      <c r="H17" s="28"/>
      <c r="I17" s="20"/>
      <c r="J17" s="20"/>
      <c r="K17" s="14"/>
      <c r="L17" s="14"/>
      <c r="M17" s="14"/>
      <c r="N17" s="28"/>
      <c r="O17" s="20"/>
      <c r="P17" s="20"/>
      <c r="Q17" s="14"/>
      <c r="R17" s="14"/>
      <c r="S17" s="14"/>
      <c r="T17" s="28"/>
      <c r="U17" s="28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Academic'!DS17+'2010C Academic'!DY17+'2010C Academic'!EE17+'2010C Academic'!EK17+'2010C Academic'!EQ17+'2010C Academic'!EW17+'2010C Academic'!FC17+'2010C Academic'!FI17+'2010C Academic'!FO17</f>
        <v>0</v>
      </c>
      <c r="V17" s="28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Academic'!DT17+'2010C Academic'!DZ17+'2010C Academic'!EF17+'2010C Academic'!EL17+'2010C Academic'!ER17+'2010C Academic'!EX17+'2010C Academic'!FD17+'2010C Academic'!FJ17+'2010C Academic'!FP17</f>
        <v>0</v>
      </c>
      <c r="W17" s="28">
        <f t="shared" si="6"/>
        <v>0</v>
      </c>
      <c r="X17" s="28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Academic'!DV17+'2010C Academic'!EB17+'2010C Academic'!EH17+'2010C Academic'!EN17+'2010C Academic'!ET17+'2010C Academic'!EZ17+'2010C Academic'!FF17+'2010C Academic'!FL17+'2010C Academic'!FR17</f>
        <v>0</v>
      </c>
      <c r="Y17" s="28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Academic'!DW17+'2010C Academic'!EC17+'2010C Academic'!EI17+'2010C Academic'!EO17+'2010C Academic'!EU17+'2010C Academic'!FA17+'2010C Academic'!FG17+'2010C Academic'!FM17+'2010C Academic'!FS17</f>
        <v>0</v>
      </c>
      <c r="Z17" s="28"/>
      <c r="AA17" s="13">
        <f>AG17+AM17+AS17+AY17+BE17+BK17+BQ17+BW17+CC17+CI17+CO17+CU17+DA17+DG17+DM17+DS17+DY17</f>
        <v>0</v>
      </c>
      <c r="AB17" s="20">
        <f t="shared" si="7"/>
        <v>0</v>
      </c>
      <c r="AC17" s="13">
        <f t="shared" si="8"/>
        <v>0</v>
      </c>
      <c r="AD17" s="13">
        <f t="shared" si="9"/>
        <v>0</v>
      </c>
      <c r="AE17" s="20">
        <f t="shared" si="10"/>
        <v>0</v>
      </c>
      <c r="AF17" s="28"/>
      <c r="AG17" s="28">
        <f t="shared" si="77"/>
        <v>0</v>
      </c>
      <c r="AH17" s="20">
        <f t="shared" si="11"/>
        <v>0</v>
      </c>
      <c r="AI17" s="28">
        <f t="shared" si="12"/>
        <v>0</v>
      </c>
      <c r="AJ17" s="28">
        <f t="shared" si="13"/>
        <v>0</v>
      </c>
      <c r="AK17" s="28">
        <f t="shared" si="14"/>
        <v>0</v>
      </c>
      <c r="AM17" s="28">
        <f t="shared" si="78"/>
        <v>0</v>
      </c>
      <c r="AN17" s="28">
        <f t="shared" si="15"/>
        <v>0</v>
      </c>
      <c r="AO17" s="13">
        <f t="shared" si="16"/>
        <v>0</v>
      </c>
      <c r="AP17" s="28">
        <f t="shared" si="17"/>
        <v>0</v>
      </c>
      <c r="AQ17" s="28">
        <f t="shared" si="18"/>
        <v>0</v>
      </c>
      <c r="AS17" s="28">
        <f t="shared" si="79"/>
        <v>0</v>
      </c>
      <c r="AT17" s="28">
        <f t="shared" si="19"/>
        <v>0</v>
      </c>
      <c r="AU17" s="13">
        <f t="shared" si="20"/>
        <v>0</v>
      </c>
      <c r="AV17" s="28">
        <f t="shared" si="21"/>
        <v>0</v>
      </c>
      <c r="AW17" s="28">
        <f t="shared" si="22"/>
        <v>0</v>
      </c>
      <c r="AY17" s="38">
        <f t="shared" si="80"/>
        <v>0</v>
      </c>
      <c r="AZ17" s="38">
        <f t="shared" si="23"/>
        <v>0</v>
      </c>
      <c r="BA17" s="3">
        <f t="shared" si="24"/>
        <v>0</v>
      </c>
      <c r="BB17" s="28">
        <f t="shared" si="25"/>
        <v>0</v>
      </c>
      <c r="BC17" s="28">
        <f t="shared" si="26"/>
        <v>0</v>
      </c>
      <c r="BD17" s="28"/>
      <c r="BE17" s="28">
        <f t="shared" si="81"/>
        <v>0</v>
      </c>
      <c r="BF17" s="28">
        <f t="shared" si="27"/>
        <v>0</v>
      </c>
      <c r="BG17" s="13">
        <f t="shared" si="28"/>
        <v>0</v>
      </c>
      <c r="BH17" s="28">
        <f t="shared" si="29"/>
        <v>0</v>
      </c>
      <c r="BI17" s="28">
        <f t="shared" si="30"/>
        <v>0</v>
      </c>
      <c r="BJ17" s="28"/>
      <c r="BK17" s="28">
        <f t="shared" si="82"/>
        <v>0</v>
      </c>
      <c r="BL17" s="28">
        <f t="shared" si="31"/>
        <v>0</v>
      </c>
      <c r="BM17" s="13">
        <f t="shared" si="32"/>
        <v>0</v>
      </c>
      <c r="BN17" s="28">
        <f t="shared" si="33"/>
        <v>0</v>
      </c>
      <c r="BO17" s="28">
        <f t="shared" si="34"/>
        <v>0</v>
      </c>
      <c r="BP17" s="28"/>
      <c r="BQ17" s="28">
        <f t="shared" si="83"/>
        <v>0</v>
      </c>
      <c r="BR17" s="28">
        <f t="shared" si="35"/>
        <v>0</v>
      </c>
      <c r="BS17" s="13">
        <f t="shared" si="36"/>
        <v>0</v>
      </c>
      <c r="BT17" s="28">
        <f t="shared" si="37"/>
        <v>0</v>
      </c>
      <c r="BU17" s="28">
        <f t="shared" si="38"/>
        <v>0</v>
      </c>
      <c r="BV17" s="28"/>
      <c r="BW17" s="28">
        <f t="shared" si="84"/>
        <v>0</v>
      </c>
      <c r="BX17" s="28">
        <f t="shared" si="39"/>
        <v>0</v>
      </c>
      <c r="BY17" s="13">
        <f t="shared" si="40"/>
        <v>0</v>
      </c>
      <c r="BZ17" s="28">
        <f t="shared" si="41"/>
        <v>0</v>
      </c>
      <c r="CA17" s="28">
        <f t="shared" si="42"/>
        <v>0</v>
      </c>
      <c r="CB17" s="28"/>
      <c r="CC17" s="28">
        <f t="shared" si="85"/>
        <v>0</v>
      </c>
      <c r="CD17" s="28">
        <f t="shared" si="43"/>
        <v>0</v>
      </c>
      <c r="CE17" s="13">
        <f t="shared" si="44"/>
        <v>0</v>
      </c>
      <c r="CF17" s="28">
        <f t="shared" si="45"/>
        <v>0</v>
      </c>
      <c r="CG17" s="28">
        <f t="shared" si="46"/>
        <v>0</v>
      </c>
      <c r="CH17" s="28"/>
      <c r="CI17" s="28">
        <f t="shared" si="86"/>
        <v>0</v>
      </c>
      <c r="CJ17" s="28">
        <f t="shared" si="47"/>
        <v>0</v>
      </c>
      <c r="CK17" s="13">
        <f t="shared" si="48"/>
        <v>0</v>
      </c>
      <c r="CL17" s="28">
        <f t="shared" si="49"/>
        <v>0</v>
      </c>
      <c r="CM17" s="28">
        <f t="shared" si="50"/>
        <v>0</v>
      </c>
      <c r="CN17" s="28"/>
      <c r="CO17" s="28">
        <f t="shared" si="87"/>
        <v>0</v>
      </c>
      <c r="CP17" s="28">
        <f t="shared" si="51"/>
        <v>0</v>
      </c>
      <c r="CQ17" s="13">
        <f t="shared" si="52"/>
        <v>0</v>
      </c>
      <c r="CR17" s="28">
        <f t="shared" si="53"/>
        <v>0</v>
      </c>
      <c r="CS17" s="28">
        <f t="shared" si="54"/>
        <v>0</v>
      </c>
      <c r="CT17" s="28"/>
      <c r="CU17" s="28">
        <f t="shared" si="88"/>
        <v>0</v>
      </c>
      <c r="CV17" s="28">
        <f t="shared" si="55"/>
        <v>0</v>
      </c>
      <c r="CW17" s="13">
        <f t="shared" si="56"/>
        <v>0</v>
      </c>
      <c r="CX17" s="28">
        <f t="shared" si="57"/>
        <v>0</v>
      </c>
      <c r="CY17" s="28">
        <f t="shared" si="58"/>
        <v>0</v>
      </c>
      <c r="CZ17" s="28"/>
      <c r="DA17" s="28">
        <f t="shared" si="89"/>
        <v>0</v>
      </c>
      <c r="DB17" s="28">
        <f t="shared" si="59"/>
        <v>0</v>
      </c>
      <c r="DC17" s="13">
        <f t="shared" si="60"/>
        <v>0</v>
      </c>
      <c r="DD17" s="28">
        <f t="shared" si="61"/>
        <v>0</v>
      </c>
      <c r="DE17" s="28">
        <f t="shared" si="62"/>
        <v>0</v>
      </c>
      <c r="DF17" s="28"/>
      <c r="DG17" s="28">
        <f t="shared" si="90"/>
        <v>0</v>
      </c>
      <c r="DH17" s="28">
        <f t="shared" si="63"/>
        <v>0</v>
      </c>
      <c r="DI17" s="13">
        <f t="shared" si="64"/>
        <v>0</v>
      </c>
      <c r="DJ17" s="28">
        <f t="shared" si="65"/>
        <v>0</v>
      </c>
      <c r="DK17" s="28">
        <f t="shared" si="66"/>
        <v>0</v>
      </c>
      <c r="DL17" s="28"/>
      <c r="DM17" s="28">
        <f t="shared" si="91"/>
        <v>0</v>
      </c>
      <c r="DN17" s="28">
        <f t="shared" si="67"/>
        <v>0</v>
      </c>
      <c r="DO17" s="13">
        <f t="shared" si="68"/>
        <v>0</v>
      </c>
      <c r="DP17" s="28">
        <f t="shared" si="69"/>
        <v>0</v>
      </c>
      <c r="DQ17" s="28">
        <f t="shared" si="70"/>
        <v>0</v>
      </c>
      <c r="DR17" s="28"/>
      <c r="DS17" s="28">
        <f t="shared" si="92"/>
        <v>0</v>
      </c>
      <c r="DT17" s="28">
        <f t="shared" si="71"/>
        <v>0</v>
      </c>
      <c r="DU17" s="13">
        <f t="shared" si="72"/>
        <v>0</v>
      </c>
      <c r="DV17" s="28">
        <f t="shared" si="73"/>
        <v>0</v>
      </c>
      <c r="DW17" s="28">
        <f t="shared" si="74"/>
        <v>0</v>
      </c>
      <c r="DX17" s="28"/>
      <c r="DY17" s="13"/>
      <c r="DZ17" s="13"/>
      <c r="EA17" s="13">
        <f t="shared" si="75"/>
        <v>0</v>
      </c>
      <c r="EB17" s="13"/>
    </row>
    <row r="18" spans="3:132" ht="12.75">
      <c r="C18" s="20"/>
      <c r="D18" s="20"/>
      <c r="E18" s="20"/>
      <c r="F18" s="20"/>
      <c r="G18" s="20"/>
      <c r="I18" s="20"/>
      <c r="J18" s="20"/>
      <c r="K18" s="20"/>
      <c r="L18" s="20"/>
      <c r="M18" s="20"/>
      <c r="O18" s="20"/>
      <c r="P18" s="20"/>
      <c r="Q18" s="20"/>
      <c r="R18" s="20"/>
      <c r="S18" s="20"/>
      <c r="V18" s="28"/>
      <c r="AE18" s="13"/>
      <c r="AK18" s="13"/>
      <c r="AM18" s="13"/>
      <c r="AN18" s="13"/>
      <c r="AQ18" s="13"/>
      <c r="AS18" s="13"/>
      <c r="AT18" s="13"/>
      <c r="AU18" s="13"/>
      <c r="AW18" s="13"/>
      <c r="AY18" s="3"/>
      <c r="AZ18" s="3"/>
      <c r="BA18" s="3"/>
      <c r="BC18" s="13"/>
      <c r="BD18" s="13"/>
      <c r="BE18" s="13"/>
      <c r="BF18" s="13"/>
      <c r="BG18" s="13"/>
      <c r="BH18"/>
      <c r="BI18" s="13"/>
      <c r="BJ18" s="13"/>
      <c r="BK18" s="13"/>
      <c r="BL18" s="13"/>
      <c r="BM18" s="13"/>
      <c r="BN18"/>
      <c r="BO18" s="13"/>
      <c r="BP18" s="13"/>
      <c r="BQ18" s="13"/>
      <c r="BR18" s="13"/>
      <c r="BS18" s="13"/>
      <c r="BT18"/>
      <c r="BU18" s="13"/>
      <c r="BV18" s="13"/>
      <c r="BW18" s="13"/>
      <c r="BX18" s="13"/>
      <c r="BY18" s="13"/>
      <c r="BZ18"/>
      <c r="CA18" s="13"/>
      <c r="CB18" s="13"/>
      <c r="CC18" s="13"/>
      <c r="CD18" s="13"/>
      <c r="CE18" s="13"/>
      <c r="CF18"/>
      <c r="CG18" s="13"/>
      <c r="CH18" s="13"/>
      <c r="CI18" s="13"/>
      <c r="CJ18" s="13"/>
      <c r="CK18" s="13"/>
      <c r="CL18"/>
      <c r="CM18" s="13"/>
      <c r="CN18" s="13"/>
      <c r="CO18" s="13"/>
      <c r="CP18" s="13"/>
      <c r="CQ18" s="13"/>
      <c r="CR18"/>
      <c r="CS18" s="13"/>
      <c r="CT18" s="13"/>
      <c r="CU18" s="13"/>
      <c r="CV18" s="13"/>
      <c r="CW18" s="13"/>
      <c r="CX18"/>
      <c r="CY18" s="13"/>
      <c r="CZ18" s="13"/>
      <c r="DA18" s="13"/>
      <c r="DB18" s="13"/>
      <c r="DC18" s="13"/>
      <c r="DD18"/>
      <c r="DE18" s="13"/>
      <c r="DF18" s="13"/>
      <c r="DG18" s="13"/>
      <c r="DH18" s="13"/>
      <c r="DI18" s="13"/>
      <c r="DJ18"/>
      <c r="DK18" s="13"/>
      <c r="DL18" s="13"/>
      <c r="DM18" s="13"/>
      <c r="DN18" s="13"/>
      <c r="DO18" s="13"/>
      <c r="DP18"/>
      <c r="DQ18" s="13"/>
      <c r="DR18" s="13"/>
      <c r="DS18" s="13"/>
      <c r="DT18" s="13"/>
      <c r="DU18" s="13"/>
      <c r="DV18"/>
      <c r="DW18" s="13"/>
      <c r="DX18" s="13"/>
      <c r="DY18" s="13"/>
      <c r="DZ18" s="13"/>
      <c r="EA18" s="13"/>
      <c r="EB18" s="13"/>
    </row>
    <row r="19" spans="1:132" ht="13.5" thickBot="1">
      <c r="A19" s="11" t="s">
        <v>0</v>
      </c>
      <c r="C19" s="27">
        <f>SUM(C8:C18)</f>
        <v>9895000</v>
      </c>
      <c r="D19" s="27">
        <f>SUM(D8:D18)</f>
        <v>762200</v>
      </c>
      <c r="E19" s="27">
        <f>SUM(E8:E18)</f>
        <v>10657200</v>
      </c>
      <c r="F19" s="27">
        <f>SUM(F8:F18)</f>
        <v>583709</v>
      </c>
      <c r="G19" s="27">
        <f>SUM(G8:G18)</f>
        <v>943564</v>
      </c>
      <c r="I19" s="27">
        <f>SUM(I8:I18)</f>
        <v>240000</v>
      </c>
      <c r="J19" s="27">
        <f>SUM(J8:J18)</f>
        <v>17948</v>
      </c>
      <c r="K19" s="27">
        <f>SUM(K8:K18)</f>
        <v>257948</v>
      </c>
      <c r="L19" s="27">
        <f>SUM(L8:L18)</f>
        <v>17509</v>
      </c>
      <c r="M19" s="27">
        <f>SUM(M8:M18)</f>
        <v>-5405</v>
      </c>
      <c r="O19" s="27">
        <f>SUM(O8:O18)</f>
        <v>9655000</v>
      </c>
      <c r="P19" s="27">
        <f>SUM(P8:P18)</f>
        <v>744252</v>
      </c>
      <c r="Q19" s="27">
        <f>SUM(Q8:Q18)</f>
        <v>10399252</v>
      </c>
      <c r="R19" s="27">
        <f>SUM(R8:R18)</f>
        <v>566200</v>
      </c>
      <c r="S19" s="27">
        <f>SUM(S8:S18)</f>
        <v>948969</v>
      </c>
      <c r="U19" s="27">
        <f>SUM(U8:U18)</f>
        <v>6563480.586</v>
      </c>
      <c r="V19" s="27">
        <f>SUM(V8:V18)</f>
        <v>505943.40270240005</v>
      </c>
      <c r="W19" s="27">
        <f>SUM(W8:W18)</f>
        <v>7069423.9887024</v>
      </c>
      <c r="X19" s="27">
        <f>SUM(X8:X18)</f>
        <v>384908.17464</v>
      </c>
      <c r="Y19" s="27">
        <f>SUM(Y8:Y18)</f>
        <v>645118.4690868</v>
      </c>
      <c r="AA19" s="27">
        <f>SUM(AA8:AA18)</f>
        <v>3091519.414</v>
      </c>
      <c r="AB19" s="27">
        <f>SUM(AB8:AB18)</f>
        <v>238308.5972976</v>
      </c>
      <c r="AC19" s="27">
        <f>SUM(AC8:AC18)</f>
        <v>3329828.0112975994</v>
      </c>
      <c r="AD19" s="27">
        <f>SUM(AD8:AD18)</f>
        <v>181296.56056</v>
      </c>
      <c r="AE19" s="27">
        <f>SUM(AE8:AE18)</f>
        <v>303858.73503720004</v>
      </c>
      <c r="AG19" s="27">
        <f>SUM(AG8:AG18)</f>
        <v>27853.709500000004</v>
      </c>
      <c r="AH19" s="27">
        <f>SUM(AH8:AH18)</f>
        <v>2147.0925948000004</v>
      </c>
      <c r="AI19" s="27">
        <f>SUM(AI8:AI18)</f>
        <v>30000.802094800005</v>
      </c>
      <c r="AJ19" s="27">
        <f>SUM(AJ8:AJ18)</f>
        <v>1633.4303799999998</v>
      </c>
      <c r="AK19" s="27">
        <f>SUM(AK8:AK18)</f>
        <v>2737.6806681</v>
      </c>
      <c r="AM19" s="27">
        <f>SUM(AM8:AM18)</f>
        <v>117318.87049999999</v>
      </c>
      <c r="AN19" s="27">
        <f>SUM(AN8:AN18)</f>
        <v>9043.480477199999</v>
      </c>
      <c r="AO19" s="27">
        <f>SUM(AO8:AO18)</f>
        <v>126362.3509772</v>
      </c>
      <c r="AP19" s="27">
        <f>SUM(AP8:AP18)</f>
        <v>6879.9528199999995</v>
      </c>
      <c r="AQ19" s="27">
        <f>SUM(AQ8:AQ18)</f>
        <v>11531.017215900001</v>
      </c>
      <c r="AS19" s="27">
        <f>SUM(AS8:AS18)</f>
        <v>49977.1765</v>
      </c>
      <c r="AT19" s="27">
        <f>SUM(AT8:AT18)</f>
        <v>3852.4716276000004</v>
      </c>
      <c r="AU19" s="27">
        <f>SUM(AU8:AU18)</f>
        <v>53829.648127600005</v>
      </c>
      <c r="AV19" s="27">
        <f>SUM(AV8:AV18)</f>
        <v>2930.82106</v>
      </c>
      <c r="AW19" s="27">
        <f>SUM(AW8:AW18)</f>
        <v>4912.1482347</v>
      </c>
      <c r="AY19" s="27">
        <f>SUM(AY8:AY18)</f>
        <v>16017.645</v>
      </c>
      <c r="AZ19" s="27">
        <f>SUM(AZ8:AZ18)</f>
        <v>1234.714068</v>
      </c>
      <c r="BA19" s="27">
        <f>SUM(BA8:BA18)</f>
        <v>17252.359067999998</v>
      </c>
      <c r="BB19" s="27">
        <f>SUM(BB8:BB18)</f>
        <v>939.3258000000001</v>
      </c>
      <c r="BC19" s="27">
        <f>SUM(BC8:BC18)</f>
        <v>1574.3395710000002</v>
      </c>
      <c r="BD19" s="13"/>
      <c r="BE19" s="27">
        <f>SUM(BE8:BE18)</f>
        <v>4942.394499999999</v>
      </c>
      <c r="BF19" s="27">
        <f>SUM(BF8:BF18)</f>
        <v>380.9825988</v>
      </c>
      <c r="BG19" s="27">
        <f>SUM(BG8:BG18)</f>
        <v>5323.3770988</v>
      </c>
      <c r="BH19" s="27">
        <f>SUM(BH8:BH18)</f>
        <v>289.83777999999995</v>
      </c>
      <c r="BI19" s="27">
        <f>SUM(BI8:BI18)</f>
        <v>485.77723110000005</v>
      </c>
      <c r="BJ19" s="13"/>
      <c r="BK19" s="27">
        <f>SUM(BK8:BK18)</f>
        <v>105695.21599999999</v>
      </c>
      <c r="BL19" s="27">
        <f>SUM(BL8:BL18)</f>
        <v>8147.475494399999</v>
      </c>
      <c r="BM19" s="27">
        <f>SUM(BM8:BM18)</f>
        <v>113842.69149439999</v>
      </c>
      <c r="BN19" s="27">
        <f>SUM(BN8:BN18)</f>
        <v>6198.30464</v>
      </c>
      <c r="BO19" s="27">
        <f>SUM(BO8:BO18)</f>
        <v>10388.5534368</v>
      </c>
      <c r="BP19" s="13"/>
      <c r="BQ19" s="27">
        <f>SUM(BQ8:BQ18)</f>
        <v>1845.0704999999998</v>
      </c>
      <c r="BR19" s="27">
        <f>SUM(BR8:BR18)</f>
        <v>142.22655719999997</v>
      </c>
      <c r="BS19" s="27">
        <f>SUM(BS8:BS18)</f>
        <v>1987.2970572</v>
      </c>
      <c r="BT19" s="27">
        <f>SUM(BT8:BT18)</f>
        <v>108.20082000000002</v>
      </c>
      <c r="BU19" s="27">
        <f>SUM(BU8:BU18)</f>
        <v>181.3479759</v>
      </c>
      <c r="BV19" s="13"/>
      <c r="BW19" s="27">
        <f>SUM(BW8:BW18)</f>
        <v>409991.85099999997</v>
      </c>
      <c r="BX19" s="27">
        <f>SUM(BX8:BX18)</f>
        <v>31604.065778399996</v>
      </c>
      <c r="BY19" s="27">
        <f>SUM(BY8:BY18)</f>
        <v>441595.9167784</v>
      </c>
      <c r="BZ19" s="27">
        <f>SUM(BZ8:BZ18)</f>
        <v>24043.230040000002</v>
      </c>
      <c r="CA19" s="27">
        <f>SUM(CA8:CA18)</f>
        <v>40297.2094098</v>
      </c>
      <c r="CB19" s="13"/>
      <c r="CC19" s="27">
        <f>SUM(CC8:CC18)</f>
        <v>14571.326</v>
      </c>
      <c r="CD19" s="27">
        <f>SUM(CD8:CD18)</f>
        <v>1123.2251184000002</v>
      </c>
      <c r="CE19" s="27">
        <f>SUM(CE8:CE18)</f>
        <v>15694.551118399999</v>
      </c>
      <c r="CF19" s="27">
        <f>SUM(CF8:CF18)</f>
        <v>854.50904</v>
      </c>
      <c r="CG19" s="27">
        <f>SUM(CG8:CG18)</f>
        <v>1432.1840148000003</v>
      </c>
      <c r="CH19" s="13"/>
      <c r="CI19" s="27">
        <f>SUM(CI8:CI18)</f>
        <v>435310.1575</v>
      </c>
      <c r="CJ19" s="27">
        <f>SUM(CJ8:CJ18)</f>
        <v>33555.717798000005</v>
      </c>
      <c r="CK19" s="27">
        <f>SUM(CK8:CK18)</f>
        <v>468865.875298</v>
      </c>
      <c r="CL19" s="27">
        <f>SUM(CL8:CL18)</f>
        <v>25527.9763</v>
      </c>
      <c r="CM19" s="27">
        <f>SUM(CM8:CM18)</f>
        <v>42785.6908185</v>
      </c>
      <c r="CN19" s="13"/>
      <c r="CO19" s="27">
        <f>SUM(CO8:CO18)</f>
        <v>130100.15950000001</v>
      </c>
      <c r="CP19" s="27">
        <f>SUM(CP8:CP18)</f>
        <v>10028.721274799998</v>
      </c>
      <c r="CQ19" s="27">
        <f>SUM(CQ8:CQ18)</f>
        <v>140128.88077480003</v>
      </c>
      <c r="CR19" s="27">
        <f>SUM(CR8:CR18)</f>
        <v>7629.488380000001</v>
      </c>
      <c r="CS19" s="27">
        <f>SUM(CS8:CS18)</f>
        <v>12787.262378099998</v>
      </c>
      <c r="CT19" s="13"/>
      <c r="CU19" s="27">
        <f>SUM(CU8:CU18)</f>
        <v>11535.794000000002</v>
      </c>
      <c r="CV19" s="27">
        <f>SUM(CV8:CV18)</f>
        <v>889.2322896000003</v>
      </c>
      <c r="CW19" s="27">
        <f>SUM(CW8:CW18)</f>
        <v>12425.0262896</v>
      </c>
      <c r="CX19" s="27">
        <f>SUM(CX8:CX18)</f>
        <v>676.4957599999999</v>
      </c>
      <c r="CY19" s="27">
        <f>SUM(CY8:CY18)</f>
        <v>1133.8281611999998</v>
      </c>
      <c r="CZ19" s="13"/>
      <c r="DA19" s="27">
        <f>SUM(DA8:DA18)</f>
        <v>3570.419</v>
      </c>
      <c r="DB19" s="27">
        <f>SUM(DB8:DB18)</f>
        <v>275.2243896</v>
      </c>
      <c r="DC19" s="27">
        <f>SUM(DC8:DC18)</f>
        <v>3845.6433896</v>
      </c>
      <c r="DD19" s="27">
        <f>SUM(DD8:DD18)</f>
        <v>209.38076000000004</v>
      </c>
      <c r="DE19" s="27">
        <f>SUM(DE8:DE18)</f>
        <v>350.9287362</v>
      </c>
      <c r="DF19" s="13"/>
      <c r="DG19" s="27">
        <f>SUM(DG8:DG18)</f>
        <v>12968.596</v>
      </c>
      <c r="DH19" s="27">
        <f>SUM(DH8:DH18)</f>
        <v>999.6792864000001</v>
      </c>
      <c r="DI19" s="27">
        <f>SUM(DI8:DI18)</f>
        <v>13968.2752864</v>
      </c>
      <c r="DJ19" s="27">
        <f>SUM(DJ8:DJ18)</f>
        <v>760.51984</v>
      </c>
      <c r="DK19" s="27">
        <f>SUM(DK8:DK18)</f>
        <v>1274.6551608</v>
      </c>
      <c r="DL19" s="13"/>
      <c r="DM19" s="27">
        <f>SUM(DM8:DM18)</f>
        <v>25153.206</v>
      </c>
      <c r="DN19" s="27">
        <f>SUM(DN8:DN18)</f>
        <v>1938.9253104</v>
      </c>
      <c r="DO19" s="27">
        <f>SUM(DO8:DO18)</f>
        <v>27092.1313104</v>
      </c>
      <c r="DP19" s="27">
        <f>SUM(DP8:DP18)</f>
        <v>1475.0642399999997</v>
      </c>
      <c r="DQ19" s="27">
        <f>SUM(DQ8:DQ18)</f>
        <v>2472.2540387999998</v>
      </c>
      <c r="DR19" s="13"/>
      <c r="DS19" s="27">
        <f>SUM(DS8:DS18)</f>
        <v>1724667.8225</v>
      </c>
      <c r="DT19" s="27">
        <f>SUM(DT8:DT18)</f>
        <v>132945.36263400002</v>
      </c>
      <c r="DU19" s="27">
        <f>SUM(DU8:DU18)</f>
        <v>1857613.185134</v>
      </c>
      <c r="DV19" s="27">
        <f>SUM(DV8:DV18)</f>
        <v>101140.0229</v>
      </c>
      <c r="DW19" s="27">
        <f>SUM(DW8:DW18)</f>
        <v>169513.85798549998</v>
      </c>
      <c r="DX19" s="13"/>
      <c r="DY19" s="27">
        <f>SUM(DY8:DY18)</f>
        <v>0</v>
      </c>
      <c r="DZ19" s="27">
        <f>SUM(DZ8:DZ18)</f>
        <v>0</v>
      </c>
      <c r="EA19" s="27">
        <f>SUM(EA8:EA18)</f>
        <v>0</v>
      </c>
      <c r="EB19" s="20"/>
    </row>
    <row r="20" spans="45:55" ht="13.5" thickTop="1">
      <c r="AS20" s="13"/>
      <c r="AT20" s="13"/>
      <c r="AU20" s="13"/>
      <c r="AV20" s="13"/>
      <c r="AW20" s="13"/>
      <c r="AY20" s="3"/>
      <c r="AZ20" s="3"/>
      <c r="BA20" s="3"/>
      <c r="BB20" s="3"/>
      <c r="BC20" s="3"/>
    </row>
    <row r="21" spans="28:55" ht="12.75">
      <c r="AB21" s="13"/>
      <c r="AS21" s="13"/>
      <c r="AT21" s="13"/>
      <c r="AU21" s="13"/>
      <c r="AV21" s="13"/>
      <c r="AW21" s="13"/>
      <c r="AY21" s="3"/>
      <c r="AZ21" s="3"/>
      <c r="BA21" s="3"/>
      <c r="BB21" s="3"/>
      <c r="BC21" s="3"/>
    </row>
    <row r="22" spans="45:55" ht="12.75">
      <c r="AS22" s="13"/>
      <c r="AT22" s="13"/>
      <c r="AU22" s="13"/>
      <c r="AV22" s="13"/>
      <c r="AW22" s="13"/>
      <c r="AY22" s="3"/>
      <c r="AZ22" s="3"/>
      <c r="BA22" s="3"/>
      <c r="BB22" s="3"/>
      <c r="BC22" s="3"/>
    </row>
    <row r="23" spans="45:55" ht="12.75">
      <c r="AS23" s="13"/>
      <c r="AT23" s="13"/>
      <c r="AU23" s="13"/>
      <c r="AV23" s="13"/>
      <c r="AW23" s="13"/>
      <c r="AY23" s="3"/>
      <c r="AZ23" s="3"/>
      <c r="BA23" s="3"/>
      <c r="BB23" s="3"/>
      <c r="BC23" s="3"/>
    </row>
    <row r="24" spans="45:55" ht="12.75">
      <c r="AS24" s="13"/>
      <c r="AT24" s="13"/>
      <c r="AU24" s="13"/>
      <c r="AV24" s="13"/>
      <c r="AW24" s="13"/>
      <c r="AY24" s="3"/>
      <c r="AZ24" s="3"/>
      <c r="BA24" s="3"/>
      <c r="BB24" s="3"/>
      <c r="BC24" s="3"/>
    </row>
    <row r="25" spans="45:55" ht="12.75">
      <c r="AS25" s="13"/>
      <c r="AT25" s="13"/>
      <c r="AU25" s="13"/>
      <c r="AV25" s="13"/>
      <c r="AW25" s="13"/>
      <c r="AY25" s="3"/>
      <c r="AZ25" s="3"/>
      <c r="BA25" s="3"/>
      <c r="BB25" s="3"/>
      <c r="BC25" s="3"/>
    </row>
    <row r="26" spans="45:55" ht="12.75">
      <c r="AS26" s="13"/>
      <c r="AT26" s="13"/>
      <c r="AU26" s="13"/>
      <c r="AV26" s="13"/>
      <c r="AW26" s="13"/>
      <c r="AY26" s="3"/>
      <c r="AZ26" s="3"/>
      <c r="BA26" s="3"/>
      <c r="BB26" s="3"/>
      <c r="BC26" s="3"/>
    </row>
    <row r="27" spans="45:55" ht="12.75">
      <c r="AS27" s="13"/>
      <c r="AT27" s="13"/>
      <c r="AU27" s="13"/>
      <c r="AV27" s="13"/>
      <c r="AW27" s="13"/>
      <c r="AY27" s="3"/>
      <c r="AZ27" s="3"/>
      <c r="BA27" s="3"/>
      <c r="BB27" s="3"/>
      <c r="BC27" s="3"/>
    </row>
    <row r="28" spans="45:55" ht="12.75">
      <c r="AS28" s="13"/>
      <c r="AT28" s="13"/>
      <c r="AU28" s="13"/>
      <c r="AV28" s="13"/>
      <c r="AW28" s="13"/>
      <c r="AY28" s="3"/>
      <c r="AZ28" s="3"/>
      <c r="BA28" s="3"/>
      <c r="BB28" s="3"/>
      <c r="BC28" s="3"/>
    </row>
    <row r="29" spans="45:55" ht="12.75">
      <c r="AS29" s="13"/>
      <c r="AT29" s="13"/>
      <c r="AU29" s="13"/>
      <c r="AV29" s="13"/>
      <c r="AW29" s="13"/>
      <c r="AY29" s="3"/>
      <c r="AZ29" s="3"/>
      <c r="BA29" s="3"/>
      <c r="BB29" s="3"/>
      <c r="BC29" s="3"/>
    </row>
    <row r="30" spans="45:55" ht="12.75">
      <c r="AS30" s="13"/>
      <c r="AT30" s="13"/>
      <c r="AU30" s="13"/>
      <c r="AV30" s="13"/>
      <c r="AW30" s="13"/>
      <c r="AY30" s="3"/>
      <c r="AZ30" s="3"/>
      <c r="BA30" s="3"/>
      <c r="BB30" s="3"/>
      <c r="BC30" s="3"/>
    </row>
    <row r="31" spans="45:55" ht="12.75">
      <c r="AS31" s="13"/>
      <c r="AT31" s="13"/>
      <c r="AU31" s="13"/>
      <c r="AV31" s="13"/>
      <c r="AW31" s="13"/>
      <c r="AY31" s="3"/>
      <c r="AZ31" s="3"/>
      <c r="BA31" s="3"/>
      <c r="BB31" s="3"/>
      <c r="BC31" s="3"/>
    </row>
    <row r="32" spans="45:55" ht="12.75">
      <c r="AS32" s="13"/>
      <c r="AT32" s="13"/>
      <c r="AU32" s="13"/>
      <c r="AV32" s="13"/>
      <c r="AW32" s="13"/>
      <c r="AY32" s="3"/>
      <c r="AZ32" s="3"/>
      <c r="BA32" s="3"/>
      <c r="BB32" s="3"/>
      <c r="BC32" s="3"/>
    </row>
    <row r="33" spans="1:13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F33"/>
      <c r="AS33" s="13"/>
      <c r="AT33" s="13"/>
      <c r="AU33" s="13"/>
      <c r="AV33" s="13"/>
      <c r="AW33" s="13"/>
      <c r="AY33" s="3"/>
      <c r="AZ33" s="3"/>
      <c r="BA33" s="3"/>
      <c r="BB33" s="3"/>
      <c r="BC33" s="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F34"/>
      <c r="AS34" s="13"/>
      <c r="AT34" s="13"/>
      <c r="AU34" s="13"/>
      <c r="AV34" s="13"/>
      <c r="AW34" s="13"/>
      <c r="AY34" s="3"/>
      <c r="AZ34" s="3"/>
      <c r="BA34" s="3"/>
      <c r="BB34" s="3"/>
      <c r="BC34" s="3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F35"/>
      <c r="AS35" s="13"/>
      <c r="AT35" s="13"/>
      <c r="AU35" s="13"/>
      <c r="AV35" s="13"/>
      <c r="AW35" s="13"/>
      <c r="AY35" s="3"/>
      <c r="AZ35" s="3"/>
      <c r="BA35" s="3"/>
      <c r="BB35" s="3"/>
      <c r="BC35" s="3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F36"/>
      <c r="AS36" s="13"/>
      <c r="AT36" s="13"/>
      <c r="AU36" s="13"/>
      <c r="AV36" s="13"/>
      <c r="AW36" s="13"/>
      <c r="AY36" s="3"/>
      <c r="AZ36" s="3"/>
      <c r="BA36" s="3"/>
      <c r="BB36" s="3"/>
      <c r="BC36" s="3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F37"/>
      <c r="AS37" s="13"/>
      <c r="AT37" s="13"/>
      <c r="AU37" s="13"/>
      <c r="AV37" s="13"/>
      <c r="AW37" s="13"/>
      <c r="AY37" s="3"/>
      <c r="AZ37" s="3"/>
      <c r="BA37" s="3"/>
      <c r="BB37" s="3"/>
      <c r="BC37" s="3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F38"/>
      <c r="AS38" s="13"/>
      <c r="AT38" s="13"/>
      <c r="AU38" s="13"/>
      <c r="AV38" s="13"/>
      <c r="AW38" s="13"/>
      <c r="AY38" s="3"/>
      <c r="AZ38" s="3"/>
      <c r="BA38" s="3"/>
      <c r="BB38" s="3"/>
      <c r="BC38" s="3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F39"/>
      <c r="AS39" s="13"/>
      <c r="AT39" s="13"/>
      <c r="AU39" s="13"/>
      <c r="AV39" s="13"/>
      <c r="AW39" s="13"/>
      <c r="AY39" s="3"/>
      <c r="AZ39" s="3"/>
      <c r="BA39" s="3"/>
      <c r="BB39" s="3"/>
      <c r="BC39" s="3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F40"/>
      <c r="AS40" s="13"/>
      <c r="AT40" s="13"/>
      <c r="AU40" s="13"/>
      <c r="AV40" s="13"/>
      <c r="AW40" s="13"/>
      <c r="AY40" s="3"/>
      <c r="AZ40" s="3"/>
      <c r="BA40" s="3"/>
      <c r="BB40" s="3"/>
      <c r="BC40" s="3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F41"/>
      <c r="AS41" s="13"/>
      <c r="AT41" s="13"/>
      <c r="AU41" s="13"/>
      <c r="AV41" s="13"/>
      <c r="AW41" s="13"/>
      <c r="AY41" s="3"/>
      <c r="AZ41" s="3"/>
      <c r="BA41" s="3"/>
      <c r="BB41" s="3"/>
      <c r="BC41" s="3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F42"/>
      <c r="AS42" s="13"/>
      <c r="AT42" s="13"/>
      <c r="AU42" s="13"/>
      <c r="AV42" s="13"/>
      <c r="AW42" s="13"/>
      <c r="AY42" s="3"/>
      <c r="AZ42" s="3"/>
      <c r="BA42" s="3"/>
      <c r="BB42" s="3"/>
      <c r="BC42" s="3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F43"/>
      <c r="AS43" s="13"/>
      <c r="AT43" s="13"/>
      <c r="AU43" s="13"/>
      <c r="AV43" s="13"/>
      <c r="AW43" s="13"/>
      <c r="AY43" s="3"/>
      <c r="AZ43" s="3"/>
      <c r="BA43" s="3"/>
      <c r="BB43" s="3"/>
      <c r="BC43" s="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F44"/>
      <c r="AS44" s="13"/>
      <c r="AT44" s="13"/>
      <c r="AU44" s="13"/>
      <c r="AV44" s="13"/>
      <c r="AW44" s="13"/>
      <c r="AY44" s="3"/>
      <c r="AZ44" s="3"/>
      <c r="BA44" s="3"/>
      <c r="BB44" s="3"/>
      <c r="BC44" s="3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F45"/>
      <c r="AS45" s="13"/>
      <c r="AT45" s="13"/>
      <c r="AU45" s="13"/>
      <c r="AV45" s="13"/>
      <c r="AW45" s="13"/>
      <c r="AY45" s="3"/>
      <c r="AZ45" s="3"/>
      <c r="BA45" s="3"/>
      <c r="BB45" s="3"/>
      <c r="BC45" s="3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F46"/>
      <c r="AS46" s="13"/>
      <c r="AT46" s="13"/>
      <c r="AU46" s="13"/>
      <c r="AV46" s="13"/>
      <c r="AW46" s="13"/>
      <c r="AY46" s="3"/>
      <c r="AZ46" s="3"/>
      <c r="BA46" s="3"/>
      <c r="BB46" s="3"/>
      <c r="BC46" s="3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F47"/>
      <c r="AS47" s="13"/>
      <c r="AT47" s="13"/>
      <c r="AU47" s="13"/>
      <c r="AV47" s="13"/>
      <c r="AW47" s="13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F48"/>
      <c r="AS48" s="13"/>
      <c r="AT48" s="13"/>
      <c r="AU48" s="13"/>
      <c r="AV48" s="13"/>
      <c r="AW48" s="13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F49"/>
      <c r="AS49" s="13"/>
      <c r="AT49" s="13"/>
      <c r="AU49" s="13"/>
      <c r="AV49" s="13"/>
      <c r="AW49" s="13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F50"/>
      <c r="AS50" s="13"/>
      <c r="AT50" s="13"/>
      <c r="AU50" s="13"/>
      <c r="AV50" s="13"/>
      <c r="AW50" s="13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F51"/>
      <c r="AS51" s="13"/>
      <c r="AT51" s="13"/>
      <c r="AU51" s="13"/>
      <c r="AV51" s="13"/>
      <c r="AW51" s="13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F52"/>
      <c r="AS52" s="13"/>
      <c r="AT52" s="13"/>
      <c r="AU52" s="13"/>
      <c r="AV52" s="13"/>
      <c r="AW52" s="13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F53"/>
      <c r="AS53" s="13"/>
      <c r="AT53" s="13"/>
      <c r="AU53" s="13"/>
      <c r="AV53" s="13"/>
      <c r="AW53" s="1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F54"/>
      <c r="AS54" s="13"/>
      <c r="AT54" s="13"/>
      <c r="AU54" s="13"/>
      <c r="AV54" s="13"/>
      <c r="AW54" s="13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F55"/>
      <c r="AS55" s="13"/>
      <c r="AT55" s="13"/>
      <c r="AU55" s="13"/>
      <c r="AV55" s="13"/>
      <c r="AW55" s="13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F56"/>
      <c r="AS56" s="13"/>
      <c r="AT56" s="13"/>
      <c r="AU56" s="13"/>
      <c r="AV56" s="13"/>
      <c r="AW56" s="13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F57"/>
      <c r="AS57" s="13"/>
      <c r="AT57" s="13"/>
      <c r="AU57" s="13"/>
      <c r="AV57" s="13"/>
      <c r="AW57" s="13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F58"/>
      <c r="AS58" s="13"/>
      <c r="AT58" s="13"/>
      <c r="AU58" s="13"/>
      <c r="AV58" s="13"/>
      <c r="AW58" s="13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F59"/>
      <c r="AS59" s="13"/>
      <c r="AT59" s="13"/>
      <c r="AU59" s="13"/>
      <c r="AV59" s="13"/>
      <c r="AW59" s="13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T59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8515625" style="13" customWidth="1"/>
    <col min="8" max="8" width="3.7109375" style="13" customWidth="1"/>
    <col min="9" max="12" width="13.7109375" style="13" customWidth="1"/>
    <col min="13" max="13" width="17.00390625" style="13" customWidth="1"/>
    <col min="14" max="14" width="3.7109375" style="13" customWidth="1"/>
    <col min="15" max="19" width="13.710937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851562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</cols>
  <sheetData>
    <row r="1" spans="1:176" ht="12.75">
      <c r="A1" s="22"/>
      <c r="B1" s="10"/>
      <c r="H1" s="23"/>
      <c r="T1" s="23" t="s">
        <v>6</v>
      </c>
      <c r="U1"/>
      <c r="V1"/>
      <c r="W1"/>
      <c r="Z1" s="23"/>
      <c r="AA1"/>
      <c r="AB1"/>
      <c r="AC1"/>
      <c r="AD1"/>
      <c r="AE1"/>
      <c r="AF1"/>
      <c r="AG1"/>
      <c r="AH1"/>
      <c r="AI1"/>
      <c r="AJ1"/>
      <c r="AK1"/>
      <c r="AL1" s="23" t="s">
        <v>6</v>
      </c>
      <c r="AM1"/>
      <c r="AN1"/>
      <c r="AO1"/>
      <c r="AP1"/>
      <c r="AQ1"/>
      <c r="AR1" s="23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3" t="s">
        <v>6</v>
      </c>
      <c r="BE1" s="3"/>
      <c r="BF1" s="3"/>
      <c r="BG1" s="3"/>
      <c r="BH1" s="3"/>
      <c r="BI1" s="3"/>
      <c r="BJ1" s="2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3" t="s">
        <v>6</v>
      </c>
      <c r="BW1" s="3"/>
      <c r="BX1" s="3"/>
      <c r="BY1" s="3"/>
      <c r="BZ1" s="3"/>
      <c r="CA1" s="3"/>
      <c r="CB1" s="2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3" t="s">
        <v>6</v>
      </c>
      <c r="CO1" s="3"/>
      <c r="CP1" s="3"/>
      <c r="CQ1" s="3"/>
      <c r="CR1" s="3"/>
      <c r="CS1" s="3"/>
      <c r="CT1" s="2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3" t="s">
        <v>6</v>
      </c>
      <c r="DG1" s="3"/>
      <c r="DH1" s="3"/>
      <c r="DI1" s="3"/>
      <c r="DJ1" s="3"/>
      <c r="DK1" s="3"/>
      <c r="DL1" s="23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3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.75">
      <c r="A2" s="22"/>
      <c r="B2" s="10"/>
      <c r="H2" s="23"/>
      <c r="T2" s="23" t="s">
        <v>5</v>
      </c>
      <c r="U2"/>
      <c r="V2"/>
      <c r="W2"/>
      <c r="Z2" s="23"/>
      <c r="AA2"/>
      <c r="AB2"/>
      <c r="AC2"/>
      <c r="AD2"/>
      <c r="AE2"/>
      <c r="AF2"/>
      <c r="AG2"/>
      <c r="AH2"/>
      <c r="AI2"/>
      <c r="AJ2"/>
      <c r="AK2"/>
      <c r="AL2" s="23" t="s">
        <v>5</v>
      </c>
      <c r="AM2"/>
      <c r="AN2"/>
      <c r="AO2"/>
      <c r="AP2"/>
      <c r="AQ2"/>
      <c r="AR2" s="23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3" t="s">
        <v>5</v>
      </c>
      <c r="BE2" s="3"/>
      <c r="BF2" s="3"/>
      <c r="BG2" s="3"/>
      <c r="BH2" s="3"/>
      <c r="BI2" s="3"/>
      <c r="BJ2" s="2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3" t="s">
        <v>5</v>
      </c>
      <c r="BW2" s="3"/>
      <c r="BX2" s="3"/>
      <c r="BY2" s="3"/>
      <c r="BZ2" s="3"/>
      <c r="CA2" s="3"/>
      <c r="CB2" s="2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3" t="s">
        <v>5</v>
      </c>
      <c r="CO2" s="3"/>
      <c r="CP2" s="3"/>
      <c r="CQ2" s="3"/>
      <c r="CR2" s="3"/>
      <c r="CS2" s="3"/>
      <c r="CT2" s="2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3" t="s">
        <v>5</v>
      </c>
      <c r="DG2" s="3"/>
      <c r="DH2" s="3"/>
      <c r="DI2" s="3"/>
      <c r="DJ2" s="3"/>
      <c r="DK2" s="3"/>
      <c r="DL2" s="23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3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.75">
      <c r="A3" s="22"/>
      <c r="B3" s="10"/>
      <c r="H3" s="23"/>
      <c r="T3" s="23"/>
      <c r="U3" s="1"/>
      <c r="V3"/>
      <c r="W3"/>
      <c r="Z3" s="23"/>
      <c r="AA3"/>
      <c r="AB3"/>
      <c r="AC3"/>
      <c r="AD3"/>
      <c r="AE3"/>
      <c r="AF3"/>
      <c r="AG3"/>
      <c r="AH3"/>
      <c r="AI3"/>
      <c r="AJ3"/>
      <c r="AK3"/>
      <c r="AL3" s="23"/>
      <c r="AM3"/>
      <c r="AN3"/>
      <c r="AO3"/>
      <c r="AP3"/>
      <c r="AQ3"/>
      <c r="AR3" s="23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.75">
      <c r="A4" s="22"/>
      <c r="B4" s="10"/>
    </row>
    <row r="5" spans="1:175" ht="12.75">
      <c r="A5" s="4" t="s">
        <v>1</v>
      </c>
      <c r="C5" s="15" t="s">
        <v>30</v>
      </c>
      <c r="D5" s="16"/>
      <c r="E5" s="17"/>
      <c r="F5" s="19"/>
      <c r="G5" s="19"/>
      <c r="I5" s="15" t="s">
        <v>8</v>
      </c>
      <c r="J5" s="16"/>
      <c r="K5" s="17"/>
      <c r="L5" s="19"/>
      <c r="M5" s="19"/>
      <c r="O5" s="15" t="s">
        <v>28</v>
      </c>
      <c r="P5" s="16"/>
      <c r="Q5" s="17"/>
      <c r="R5" s="19"/>
      <c r="S5" s="19"/>
      <c r="U5" s="34" t="s">
        <v>9</v>
      </c>
      <c r="V5" s="16"/>
      <c r="W5" s="17"/>
      <c r="X5" s="19"/>
      <c r="Y5" s="19"/>
      <c r="AA5" s="34" t="s">
        <v>26</v>
      </c>
      <c r="AB5" s="16"/>
      <c r="AC5" s="17"/>
      <c r="AD5" s="19"/>
      <c r="AE5" s="19"/>
      <c r="AF5" s="39"/>
      <c r="AG5" s="40" t="s">
        <v>57</v>
      </c>
      <c r="AH5" s="16"/>
      <c r="AI5" s="17"/>
      <c r="AJ5" s="19"/>
      <c r="AK5" s="19"/>
      <c r="AM5" s="15" t="s">
        <v>10</v>
      </c>
      <c r="AN5" s="16"/>
      <c r="AO5" s="17"/>
      <c r="AP5" s="19"/>
      <c r="AQ5" s="19"/>
      <c r="AR5" s="35"/>
      <c r="AS5" s="15" t="s">
        <v>11</v>
      </c>
      <c r="AT5" s="16"/>
      <c r="AU5" s="17"/>
      <c r="AV5" s="19"/>
      <c r="AW5" s="19"/>
      <c r="AY5" s="15" t="s">
        <v>32</v>
      </c>
      <c r="AZ5" s="16"/>
      <c r="BA5" s="17"/>
      <c r="BB5" s="19"/>
      <c r="BC5" s="19"/>
      <c r="BE5" s="15" t="s">
        <v>34</v>
      </c>
      <c r="BF5" s="16"/>
      <c r="BG5" s="17"/>
      <c r="BH5" s="19"/>
      <c r="BI5" s="19"/>
      <c r="BK5" s="15" t="s">
        <v>12</v>
      </c>
      <c r="BL5" s="16"/>
      <c r="BM5" s="17"/>
      <c r="BN5" s="19"/>
      <c r="BO5" s="19"/>
      <c r="BQ5" s="15" t="s">
        <v>13</v>
      </c>
      <c r="BR5" s="16"/>
      <c r="BS5" s="17"/>
      <c r="BT5" s="19"/>
      <c r="BU5" s="19"/>
      <c r="BV5" s="35"/>
      <c r="BW5" s="15" t="s">
        <v>14</v>
      </c>
      <c r="BX5" s="16"/>
      <c r="BY5" s="17"/>
      <c r="BZ5" s="19"/>
      <c r="CA5" s="19"/>
      <c r="CC5" s="15" t="s">
        <v>15</v>
      </c>
      <c r="CD5" s="16"/>
      <c r="CE5" s="17"/>
      <c r="CF5" s="19"/>
      <c r="CG5" s="19"/>
      <c r="CI5" s="15" t="s">
        <v>35</v>
      </c>
      <c r="CJ5" s="16"/>
      <c r="CK5" s="17"/>
      <c r="CL5" s="19"/>
      <c r="CM5" s="19"/>
      <c r="CO5" s="15" t="s">
        <v>16</v>
      </c>
      <c r="CP5" s="16"/>
      <c r="CQ5" s="17"/>
      <c r="CR5" s="19"/>
      <c r="CS5" s="19"/>
      <c r="CU5" s="15" t="s">
        <v>36</v>
      </c>
      <c r="CV5" s="16"/>
      <c r="CW5" s="17"/>
      <c r="CX5" s="19"/>
      <c r="CY5" s="19"/>
      <c r="DA5" s="15" t="s">
        <v>38</v>
      </c>
      <c r="DB5" s="16"/>
      <c r="DC5" s="17"/>
      <c r="DD5" s="19"/>
      <c r="DE5" s="19"/>
      <c r="DG5" s="15" t="s">
        <v>39</v>
      </c>
      <c r="DH5" s="16"/>
      <c r="DI5" s="17"/>
      <c r="DJ5" s="19"/>
      <c r="DK5" s="19"/>
      <c r="DM5" s="15" t="s">
        <v>40</v>
      </c>
      <c r="DN5" s="16"/>
      <c r="DO5" s="17"/>
      <c r="DP5" s="19"/>
      <c r="DQ5" s="19"/>
      <c r="DS5" s="15" t="s">
        <v>41</v>
      </c>
      <c r="DT5" s="16"/>
      <c r="DU5" s="17"/>
      <c r="DV5" s="19"/>
      <c r="DW5" s="19"/>
      <c r="DY5" s="15" t="s">
        <v>42</v>
      </c>
      <c r="DZ5" s="16"/>
      <c r="EA5" s="17"/>
      <c r="EB5" s="19"/>
      <c r="EC5" s="19"/>
      <c r="EE5" s="15" t="s">
        <v>43</v>
      </c>
      <c r="EF5" s="16"/>
      <c r="EG5" s="17"/>
      <c r="EH5" s="19"/>
      <c r="EI5" s="19"/>
      <c r="EK5" s="15" t="s">
        <v>44</v>
      </c>
      <c r="EL5" s="16"/>
      <c r="EM5" s="17"/>
      <c r="EN5" s="19"/>
      <c r="EO5" s="19"/>
      <c r="EQ5" s="15" t="s">
        <v>17</v>
      </c>
      <c r="ER5" s="16"/>
      <c r="ES5" s="17"/>
      <c r="ET5" s="19"/>
      <c r="EU5" s="19"/>
      <c r="EW5" s="15" t="s">
        <v>45</v>
      </c>
      <c r="EX5" s="16"/>
      <c r="EY5" s="17"/>
      <c r="EZ5" s="19"/>
      <c r="FA5" s="19"/>
      <c r="FC5" s="15" t="s">
        <v>46</v>
      </c>
      <c r="FD5" s="16"/>
      <c r="FE5" s="17"/>
      <c r="FF5" s="19"/>
      <c r="FG5" s="19"/>
      <c r="FI5" s="15" t="s">
        <v>18</v>
      </c>
      <c r="FJ5" s="16"/>
      <c r="FK5" s="17"/>
      <c r="FL5" s="19"/>
      <c r="FM5" s="19"/>
      <c r="FO5" s="34" t="s">
        <v>47</v>
      </c>
      <c r="FP5" s="16"/>
      <c r="FQ5" s="17"/>
      <c r="FR5" s="19"/>
      <c r="FS5" s="19"/>
    </row>
    <row r="6" spans="1:176" s="1" customFormat="1" ht="12.75">
      <c r="A6" s="24" t="s">
        <v>2</v>
      </c>
      <c r="C6" s="18"/>
      <c r="D6" s="33"/>
      <c r="E6" s="17"/>
      <c r="F6" s="19" t="s">
        <v>55</v>
      </c>
      <c r="G6" s="19" t="s">
        <v>55</v>
      </c>
      <c r="H6" s="13"/>
      <c r="I6" s="18"/>
      <c r="J6" s="31">
        <v>0.0796069</v>
      </c>
      <c r="K6" s="17"/>
      <c r="L6" s="19" t="s">
        <v>55</v>
      </c>
      <c r="M6" s="19" t="s">
        <v>55</v>
      </c>
      <c r="N6" s="13"/>
      <c r="O6" s="18"/>
      <c r="P6" s="31">
        <v>0.0886163</v>
      </c>
      <c r="Q6" s="17"/>
      <c r="R6" s="19" t="s">
        <v>55</v>
      </c>
      <c r="S6" s="19" t="s">
        <v>55</v>
      </c>
      <c r="T6" s="13"/>
      <c r="U6" s="18"/>
      <c r="V6" s="31">
        <v>0.0327229</v>
      </c>
      <c r="W6" s="17"/>
      <c r="X6" s="19" t="s">
        <v>55</v>
      </c>
      <c r="Y6" s="19" t="s">
        <v>55</v>
      </c>
      <c r="Z6" s="13"/>
      <c r="AA6" s="18"/>
      <c r="AB6" s="31">
        <v>0.0244463</v>
      </c>
      <c r="AC6" s="17"/>
      <c r="AD6" s="19" t="s">
        <v>55</v>
      </c>
      <c r="AE6" s="19" t="s">
        <v>55</v>
      </c>
      <c r="AF6" s="39"/>
      <c r="AG6" s="18"/>
      <c r="AH6" s="31">
        <v>0.0024261</v>
      </c>
      <c r="AI6" s="17"/>
      <c r="AJ6" s="19" t="s">
        <v>55</v>
      </c>
      <c r="AK6" s="19" t="s">
        <v>55</v>
      </c>
      <c r="AL6" s="13"/>
      <c r="AM6" s="18"/>
      <c r="AN6" s="31">
        <v>0.0325486</v>
      </c>
      <c r="AO6" s="17"/>
      <c r="AP6" s="19" t="s">
        <v>55</v>
      </c>
      <c r="AQ6" s="19" t="s">
        <v>55</v>
      </c>
      <c r="AR6" s="35"/>
      <c r="AS6" s="18"/>
      <c r="AT6" s="31">
        <v>0.2378111</v>
      </c>
      <c r="AU6" s="17"/>
      <c r="AV6" s="19" t="s">
        <v>55</v>
      </c>
      <c r="AW6" s="19" t="s">
        <v>55</v>
      </c>
      <c r="AX6" s="13"/>
      <c r="AY6" s="18"/>
      <c r="AZ6" s="31">
        <v>4E-06</v>
      </c>
      <c r="BA6" s="17"/>
      <c r="BB6" s="19" t="s">
        <v>55</v>
      </c>
      <c r="BC6" s="19" t="s">
        <v>55</v>
      </c>
      <c r="BD6" s="13"/>
      <c r="BE6" s="18"/>
      <c r="BF6" s="31">
        <v>0.0013664</v>
      </c>
      <c r="BG6" s="17"/>
      <c r="BH6" s="19" t="s">
        <v>55</v>
      </c>
      <c r="BI6" s="19" t="s">
        <v>55</v>
      </c>
      <c r="BJ6" s="13"/>
      <c r="BK6" s="18"/>
      <c r="BL6" s="31">
        <v>0.0087875</v>
      </c>
      <c r="BM6" s="17"/>
      <c r="BN6" s="19" t="s">
        <v>55</v>
      </c>
      <c r="BO6" s="19" t="s">
        <v>55</v>
      </c>
      <c r="BP6" s="13"/>
      <c r="BQ6" s="18"/>
      <c r="BR6" s="31">
        <v>0.0056757</v>
      </c>
      <c r="BS6" s="17"/>
      <c r="BT6" s="19" t="s">
        <v>55</v>
      </c>
      <c r="BU6" s="19" t="s">
        <v>55</v>
      </c>
      <c r="BV6" s="35"/>
      <c r="BW6" s="18"/>
      <c r="BX6" s="31">
        <v>0.0218514</v>
      </c>
      <c r="BY6" s="17"/>
      <c r="BZ6" s="19" t="s">
        <v>55</v>
      </c>
      <c r="CA6" s="19" t="s">
        <v>55</v>
      </c>
      <c r="CB6" s="13"/>
      <c r="CC6" s="18"/>
      <c r="CD6" s="31">
        <v>0.0013916</v>
      </c>
      <c r="CE6" s="17"/>
      <c r="CF6" s="19" t="s">
        <v>55</v>
      </c>
      <c r="CG6" s="19" t="s">
        <v>55</v>
      </c>
      <c r="CH6" s="13"/>
      <c r="CI6" s="18"/>
      <c r="CJ6" s="31">
        <v>0.0037665</v>
      </c>
      <c r="CK6" s="17"/>
      <c r="CL6" s="19" t="s">
        <v>55</v>
      </c>
      <c r="CM6" s="19" t="s">
        <v>55</v>
      </c>
      <c r="CN6" s="13"/>
      <c r="CO6" s="18"/>
      <c r="CP6" s="31">
        <v>0.0158627</v>
      </c>
      <c r="CQ6" s="17"/>
      <c r="CR6" s="19" t="s">
        <v>55</v>
      </c>
      <c r="CS6" s="19" t="s">
        <v>55</v>
      </c>
      <c r="CT6" s="13"/>
      <c r="CU6" s="18"/>
      <c r="CV6" s="31">
        <v>0.0007178</v>
      </c>
      <c r="CW6" s="17"/>
      <c r="CX6" s="19" t="s">
        <v>55</v>
      </c>
      <c r="CY6" s="19" t="s">
        <v>55</v>
      </c>
      <c r="CZ6" s="13"/>
      <c r="DA6" s="18"/>
      <c r="DB6" s="31">
        <v>0.0101431</v>
      </c>
      <c r="DC6" s="17"/>
      <c r="DD6" s="19" t="s">
        <v>55</v>
      </c>
      <c r="DE6" s="19" t="s">
        <v>55</v>
      </c>
      <c r="DF6" s="13"/>
      <c r="DG6" s="18"/>
      <c r="DH6" s="31">
        <v>0.0048536</v>
      </c>
      <c r="DI6" s="17"/>
      <c r="DJ6" s="19" t="s">
        <v>55</v>
      </c>
      <c r="DK6" s="19" t="s">
        <v>55</v>
      </c>
      <c r="DL6" s="13"/>
      <c r="DM6" s="18"/>
      <c r="DN6" s="31">
        <v>0.0080603</v>
      </c>
      <c r="DO6" s="17"/>
      <c r="DP6" s="19" t="s">
        <v>55</v>
      </c>
      <c r="DQ6" s="19" t="s">
        <v>55</v>
      </c>
      <c r="DR6" s="13"/>
      <c r="DS6" s="18"/>
      <c r="DT6" s="31">
        <v>0.0245163</v>
      </c>
      <c r="DU6" s="17"/>
      <c r="DV6" s="19" t="s">
        <v>55</v>
      </c>
      <c r="DW6" s="19" t="s">
        <v>55</v>
      </c>
      <c r="DX6" s="13"/>
      <c r="DY6" s="18"/>
      <c r="DZ6" s="31">
        <v>0.0025443</v>
      </c>
      <c r="EA6" s="17"/>
      <c r="EB6" s="19" t="s">
        <v>55</v>
      </c>
      <c r="EC6" s="19" t="s">
        <v>55</v>
      </c>
      <c r="ED6" s="13"/>
      <c r="EE6" s="18"/>
      <c r="EF6" s="31">
        <v>0.0012856</v>
      </c>
      <c r="EG6" s="17"/>
      <c r="EH6" s="19" t="s">
        <v>55</v>
      </c>
      <c r="EI6" s="19" t="s">
        <v>55</v>
      </c>
      <c r="EJ6" s="13"/>
      <c r="EK6" s="18"/>
      <c r="EL6" s="31">
        <v>0.0003415</v>
      </c>
      <c r="EM6" s="17"/>
      <c r="EN6" s="19" t="s">
        <v>55</v>
      </c>
      <c r="EO6" s="19" t="s">
        <v>55</v>
      </c>
      <c r="EP6" s="13"/>
      <c r="EQ6" s="18"/>
      <c r="ER6" s="31">
        <v>0.0111619</v>
      </c>
      <c r="ES6" s="17"/>
      <c r="ET6" s="19" t="s">
        <v>55</v>
      </c>
      <c r="EU6" s="19" t="s">
        <v>55</v>
      </c>
      <c r="EV6" s="13"/>
      <c r="EW6" s="18"/>
      <c r="EX6" s="31">
        <v>0.0455599</v>
      </c>
      <c r="EY6" s="17"/>
      <c r="EZ6" s="19" t="s">
        <v>55</v>
      </c>
      <c r="FA6" s="19" t="s">
        <v>55</v>
      </c>
      <c r="FB6" s="13"/>
      <c r="FC6" s="18"/>
      <c r="FD6" s="31">
        <v>0.0007571</v>
      </c>
      <c r="FE6" s="17"/>
      <c r="FF6" s="19" t="s">
        <v>55</v>
      </c>
      <c r="FG6" s="19" t="s">
        <v>55</v>
      </c>
      <c r="FH6" s="13"/>
      <c r="FI6" s="18"/>
      <c r="FJ6" s="31">
        <v>0.0091696</v>
      </c>
      <c r="FK6" s="17"/>
      <c r="FL6" s="19" t="s">
        <v>55</v>
      </c>
      <c r="FM6" s="19" t="s">
        <v>55</v>
      </c>
      <c r="FN6" s="13"/>
      <c r="FO6" s="18"/>
      <c r="FP6" s="31">
        <v>0.0038062</v>
      </c>
      <c r="FQ6" s="17"/>
      <c r="FR6" s="19" t="s">
        <v>55</v>
      </c>
      <c r="FS6" s="19" t="s">
        <v>55</v>
      </c>
      <c r="FT6" s="13"/>
    </row>
    <row r="7" spans="1:175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F7" s="39"/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R7" s="36"/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V7" s="36"/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</row>
    <row r="8" spans="1:176" s="30" customFormat="1" ht="12.75">
      <c r="A8" s="29">
        <v>43739</v>
      </c>
      <c r="C8" s="20"/>
      <c r="D8" s="20">
        <v>158869</v>
      </c>
      <c r="E8" s="14">
        <f aca="true" t="shared" si="0" ref="E8:E17">C8+D8</f>
        <v>158869</v>
      </c>
      <c r="F8" s="14">
        <v>70774</v>
      </c>
      <c r="G8" s="14">
        <v>118620</v>
      </c>
      <c r="H8" s="28"/>
      <c r="I8" s="13"/>
      <c r="J8" s="13">
        <f aca="true" t="shared" si="1" ref="J8:J17">D8*7.96069/100</f>
        <v>12647.0685961</v>
      </c>
      <c r="K8" s="28">
        <f aca="true" t="shared" si="2" ref="K8:K17">I8+J8</f>
        <v>12647.0685961</v>
      </c>
      <c r="L8" s="28">
        <f aca="true" t="shared" si="3" ref="L8:L17">J$6*$F8</f>
        <v>5634.0987405999995</v>
      </c>
      <c r="M8" s="28">
        <f aca="true" t="shared" si="4" ref="M8:M17">J$6*$G8</f>
        <v>9442.970478</v>
      </c>
      <c r="N8" s="28"/>
      <c r="O8" s="13"/>
      <c r="P8" s="13">
        <f aca="true" t="shared" si="5" ref="P8:P17">D8*8.86163/100</f>
        <v>14078.3829647</v>
      </c>
      <c r="Q8" s="13">
        <f aca="true" t="shared" si="6" ref="Q8:Q17">O8+P8</f>
        <v>14078.3829647</v>
      </c>
      <c r="R8" s="28">
        <f aca="true" t="shared" si="7" ref="R8:R17">P$6*$F8</f>
        <v>6271.730016199999</v>
      </c>
      <c r="S8" s="28">
        <f aca="true" t="shared" si="8" ref="S8:S17">P$6*$G8</f>
        <v>10511.665506</v>
      </c>
      <c r="T8" s="28"/>
      <c r="U8" s="28"/>
      <c r="V8" s="13">
        <f aca="true" t="shared" si="9" ref="V8:V17">D8*3.27229/100</f>
        <v>5198.654400099999</v>
      </c>
      <c r="W8" s="13">
        <f aca="true" t="shared" si="10" ref="W8:W17">U8+V8</f>
        <v>5198.654400099999</v>
      </c>
      <c r="X8" s="28">
        <f aca="true" t="shared" si="11" ref="X8:X17">V$6*$F8</f>
        <v>2315.9305246</v>
      </c>
      <c r="Y8" s="28">
        <f aca="true" t="shared" si="12" ref="Y8:Y17">V$6*$G8</f>
        <v>3881.590398</v>
      </c>
      <c r="Z8" s="28"/>
      <c r="AA8" s="13"/>
      <c r="AB8" s="13">
        <f aca="true" t="shared" si="13" ref="AB8:AB17">D8*2.44463/100</f>
        <v>3883.7592347000004</v>
      </c>
      <c r="AC8" s="13">
        <f aca="true" t="shared" si="14" ref="AC8:AC17">AA8+AB8</f>
        <v>3883.7592347000004</v>
      </c>
      <c r="AD8" s="28">
        <f aca="true" t="shared" si="15" ref="AD8:AD17">AB$6*$F8</f>
        <v>1730.1624362</v>
      </c>
      <c r="AE8" s="28">
        <f aca="true" t="shared" si="16" ref="AE8:AE17">AB$6*$G8</f>
        <v>2899.820106</v>
      </c>
      <c r="AF8" s="13"/>
      <c r="AG8" s="13"/>
      <c r="AH8" s="13">
        <f aca="true" t="shared" si="17" ref="AH8:AH17">AH$6*$D8</f>
        <v>385.4320809</v>
      </c>
      <c r="AI8" s="13">
        <f aca="true" t="shared" si="18" ref="AI8:AI17">SUM(AG8:AH8)</f>
        <v>385.4320809</v>
      </c>
      <c r="AJ8" s="28">
        <f aca="true" t="shared" si="19" ref="AJ8:AJ17">AH$6*$F8</f>
        <v>171.7048014</v>
      </c>
      <c r="AK8" s="28">
        <f aca="true" t="shared" si="20" ref="AK8:AK17">AH$6*$G8</f>
        <v>287.783982</v>
      </c>
      <c r="AL8" s="28"/>
      <c r="AM8" s="13"/>
      <c r="AN8" s="13">
        <f aca="true" t="shared" si="21" ref="AN8:AN17">D8*3.25486/100</f>
        <v>5170.9635333999995</v>
      </c>
      <c r="AO8" s="13">
        <f aca="true" t="shared" si="22" ref="AO8:AO17">AM8+AN8</f>
        <v>5170.9635333999995</v>
      </c>
      <c r="AP8" s="28">
        <f aca="true" t="shared" si="23" ref="AP8:AP17">AN$6*$F8</f>
        <v>2303.5946163999997</v>
      </c>
      <c r="AQ8" s="28">
        <f aca="true" t="shared" si="24" ref="AQ8:AQ17">AN$6*$G8</f>
        <v>3860.9149319999997</v>
      </c>
      <c r="AR8" s="13"/>
      <c r="AS8" s="13"/>
      <c r="AT8" s="13">
        <f aca="true" t="shared" si="25" ref="AT8:AT17">D8*23.78111/100</f>
        <v>37780.8116459</v>
      </c>
      <c r="AU8" s="13">
        <f aca="true" t="shared" si="26" ref="AU8:AU17">AS8+AT8</f>
        <v>37780.8116459</v>
      </c>
      <c r="AV8" s="28">
        <f aca="true" t="shared" si="27" ref="AV8:AV17">AT$6*$F8</f>
        <v>16830.8427914</v>
      </c>
      <c r="AW8" s="28">
        <f aca="true" t="shared" si="28" ref="AW8:AW17">AT$6*$G8</f>
        <v>28209.152682</v>
      </c>
      <c r="AX8" s="28"/>
      <c r="AY8" s="13"/>
      <c r="AZ8" s="13">
        <f aca="true" t="shared" si="29" ref="AZ8:AZ17">D8*0.0004/100</f>
        <v>0.635476</v>
      </c>
      <c r="BA8" s="13">
        <f aca="true" t="shared" si="30" ref="BA8:BA17">AY8+AZ8</f>
        <v>0.635476</v>
      </c>
      <c r="BB8" s="28"/>
      <c r="BC8" s="28"/>
      <c r="BD8" s="28"/>
      <c r="BE8" s="13"/>
      <c r="BF8" s="13">
        <f aca="true" t="shared" si="31" ref="BF8:BF17">D8*0.13664/100</f>
        <v>217.0786016</v>
      </c>
      <c r="BG8" s="13">
        <f aca="true" t="shared" si="32" ref="BG8:BG17">BE8+BF8</f>
        <v>217.0786016</v>
      </c>
      <c r="BH8" s="28">
        <f aca="true" t="shared" si="33" ref="BH8:BH17">BF$6*$F8</f>
        <v>96.7055936</v>
      </c>
      <c r="BI8" s="28">
        <f aca="true" t="shared" si="34" ref="BI8:BI17">BF$6*$G8</f>
        <v>162.082368</v>
      </c>
      <c r="BJ8" s="28"/>
      <c r="BK8" s="13"/>
      <c r="BL8" s="13">
        <f aca="true" t="shared" si="35" ref="BL8:BL17">D8*0.87875/100</f>
        <v>1396.0613375</v>
      </c>
      <c r="BM8" s="13">
        <f aca="true" t="shared" si="36" ref="BM8:BM17">BK8+BL8</f>
        <v>1396.0613375</v>
      </c>
      <c r="BN8" s="28">
        <f aca="true" t="shared" si="37" ref="BN8:BN17">BL$6*$F8</f>
        <v>621.926525</v>
      </c>
      <c r="BO8" s="28">
        <f aca="true" t="shared" si="38" ref="BO8:BO17">BL$6*$G8</f>
        <v>1042.37325</v>
      </c>
      <c r="BP8" s="28"/>
      <c r="BQ8" s="13"/>
      <c r="BR8" s="13">
        <f aca="true" t="shared" si="39" ref="BR8:BR17">D8*0.56757/100</f>
        <v>901.6927833</v>
      </c>
      <c r="BS8" s="13">
        <f aca="true" t="shared" si="40" ref="BS8:BS17">BQ8+BR8</f>
        <v>901.6927833</v>
      </c>
      <c r="BT8" s="28">
        <f aca="true" t="shared" si="41" ref="BT8:BT17">BR$6*$F8</f>
        <v>401.6919918</v>
      </c>
      <c r="BU8" s="28">
        <f aca="true" t="shared" si="42" ref="BU8:BU17">BR$6*$G8</f>
        <v>673.251534</v>
      </c>
      <c r="BV8" s="13"/>
      <c r="BW8" s="13"/>
      <c r="BX8" s="13">
        <f aca="true" t="shared" si="43" ref="BX8:BX17">D8*2.18514/100</f>
        <v>3471.5100666000003</v>
      </c>
      <c r="BY8" s="13">
        <f aca="true" t="shared" si="44" ref="BY8:BY17">BW8+BX8</f>
        <v>3471.5100666000003</v>
      </c>
      <c r="BZ8" s="28">
        <f aca="true" t="shared" si="45" ref="BZ8:BZ17">BX$6*$F8</f>
        <v>1546.5109836</v>
      </c>
      <c r="CA8" s="28">
        <f aca="true" t="shared" si="46" ref="CA8:CA17">BX$6*$G8</f>
        <v>2592.013068</v>
      </c>
      <c r="CB8" s="28"/>
      <c r="CC8" s="13"/>
      <c r="CD8" s="13">
        <f aca="true" t="shared" si="47" ref="CD8:CD17">D8*0.13916/100</f>
        <v>221.08210040000003</v>
      </c>
      <c r="CE8" s="13">
        <f aca="true" t="shared" si="48" ref="CE8:CE17">CC8+CD8</f>
        <v>221.08210040000003</v>
      </c>
      <c r="CF8" s="28">
        <f aca="true" t="shared" si="49" ref="CF8:CF17">CD$6*$F8</f>
        <v>98.4890984</v>
      </c>
      <c r="CG8" s="28">
        <f aca="true" t="shared" si="50" ref="CG8:CG17">CD$6*$G8</f>
        <v>165.071592</v>
      </c>
      <c r="CH8" s="28"/>
      <c r="CI8" s="13"/>
      <c r="CJ8" s="13">
        <f aca="true" t="shared" si="51" ref="CJ8:CJ17">D8*0.37665/100</f>
        <v>598.3800884999999</v>
      </c>
      <c r="CK8" s="13">
        <f aca="true" t="shared" si="52" ref="CK8:CK17">CI8+CJ8</f>
        <v>598.3800884999999</v>
      </c>
      <c r="CL8" s="28">
        <f aca="true" t="shared" si="53" ref="CL8:CL17">CJ$6*$F8</f>
        <v>266.570271</v>
      </c>
      <c r="CM8" s="28">
        <f aca="true" t="shared" si="54" ref="CM8:CM17">CJ$6*$G8</f>
        <v>446.78222999999997</v>
      </c>
      <c r="CN8" s="28"/>
      <c r="CO8" s="13"/>
      <c r="CP8" s="13">
        <f aca="true" t="shared" si="55" ref="CP8:CP17">D8*1.58627/100</f>
        <v>2520.0912863000003</v>
      </c>
      <c r="CQ8" s="13">
        <f aca="true" t="shared" si="56" ref="CQ8:CQ17">CO8+CP8</f>
        <v>2520.0912863000003</v>
      </c>
      <c r="CR8" s="28">
        <f aca="true" t="shared" si="57" ref="CR8:CR17">CP$6*$F8</f>
        <v>1122.6667298</v>
      </c>
      <c r="CS8" s="28">
        <f aca="true" t="shared" si="58" ref="CS8:CS17">CP$6*$G8</f>
        <v>1881.633474</v>
      </c>
      <c r="CT8" s="28"/>
      <c r="CU8" s="13"/>
      <c r="CV8" s="13">
        <f aca="true" t="shared" si="59" ref="CV8:CV17">D8*0.07178/100</f>
        <v>114.03616819999999</v>
      </c>
      <c r="CW8" s="13">
        <f aca="true" t="shared" si="60" ref="CW8:CW17">CU8+CV8</f>
        <v>114.03616819999999</v>
      </c>
      <c r="CX8" s="28">
        <f aca="true" t="shared" si="61" ref="CX8:CX17">CV$6*$F8</f>
        <v>50.8015772</v>
      </c>
      <c r="CY8" s="28">
        <f aca="true" t="shared" si="62" ref="CY8:CY17">CV$6*$G8</f>
        <v>85.145436</v>
      </c>
      <c r="CZ8" s="28"/>
      <c r="DA8" s="13"/>
      <c r="DB8" s="13">
        <f aca="true" t="shared" si="63" ref="DB8:DB17">D8*1.01431/100</f>
        <v>1611.4241539000002</v>
      </c>
      <c r="DC8" s="13">
        <f aca="true" t="shared" si="64" ref="DC8:DC17">DA8+DB8</f>
        <v>1611.4241539000002</v>
      </c>
      <c r="DD8" s="28">
        <f aca="true" t="shared" si="65" ref="DD8:DD17">DB$6*$F8</f>
        <v>717.8677594000001</v>
      </c>
      <c r="DE8" s="28">
        <f aca="true" t="shared" si="66" ref="DE8:DE17">DB$6*$G8</f>
        <v>1203.174522</v>
      </c>
      <c r="DF8" s="28"/>
      <c r="DG8" s="13"/>
      <c r="DH8" s="28">
        <f aca="true" t="shared" si="67" ref="DH8:DH17">D8*0.48536/100</f>
        <v>771.0865784</v>
      </c>
      <c r="DI8" s="13">
        <f aca="true" t="shared" si="68" ref="DI8:DI17">DG8+DH8</f>
        <v>771.0865784</v>
      </c>
      <c r="DJ8" s="28">
        <f aca="true" t="shared" si="69" ref="DJ8:DJ17">DH$6*$F8</f>
        <v>343.5086864</v>
      </c>
      <c r="DK8" s="28">
        <f aca="true" t="shared" si="70" ref="DK8:DK17">DH$6*$G8</f>
        <v>575.734032</v>
      </c>
      <c r="DL8" s="28"/>
      <c r="DM8" s="13"/>
      <c r="DN8" s="13">
        <f aca="true" t="shared" si="71" ref="DN8:DN17">D8*0.80603/100</f>
        <v>1280.5318007</v>
      </c>
      <c r="DO8" s="13">
        <f aca="true" t="shared" si="72" ref="DO8:DO17">DM8+DN8</f>
        <v>1280.5318007</v>
      </c>
      <c r="DP8" s="28">
        <f aca="true" t="shared" si="73" ref="DP8:DP17">DN$6*$F8</f>
        <v>570.4596722</v>
      </c>
      <c r="DQ8" s="28">
        <f aca="true" t="shared" si="74" ref="DQ8:DQ17">DN$6*$G8</f>
        <v>956.1127859999999</v>
      </c>
      <c r="DR8" s="28"/>
      <c r="DS8" s="13"/>
      <c r="DT8" s="13">
        <f aca="true" t="shared" si="75" ref="DT8:DT17">D8*2.45163/100</f>
        <v>3894.8800647000003</v>
      </c>
      <c r="DU8" s="13">
        <f aca="true" t="shared" si="76" ref="DU8:DU17">DS8+DT8</f>
        <v>3894.8800647000003</v>
      </c>
      <c r="DV8" s="28">
        <f aca="true" t="shared" si="77" ref="DV8:DV17">DT$6*$F8</f>
        <v>1735.1166162000002</v>
      </c>
      <c r="DW8" s="28">
        <f aca="true" t="shared" si="78" ref="DW8:DW17">DT$6*$G8</f>
        <v>2908.1235060000004</v>
      </c>
      <c r="DX8" s="28"/>
      <c r="DY8" s="13"/>
      <c r="DZ8" s="13">
        <f aca="true" t="shared" si="79" ref="DZ8:DZ17">D8*0.25443/100</f>
        <v>404.2103967</v>
      </c>
      <c r="EA8" s="13">
        <f aca="true" t="shared" si="80" ref="EA8:EA17">DY8+DZ8</f>
        <v>404.2103967</v>
      </c>
      <c r="EB8" s="28">
        <f aca="true" t="shared" si="81" ref="EB8:EB17">DZ$6*$F8</f>
        <v>180.07028820000002</v>
      </c>
      <c r="EC8" s="28">
        <f aca="true" t="shared" si="82" ref="EC8:EC17">DZ$6*$G8</f>
        <v>301.804866</v>
      </c>
      <c r="ED8" s="28"/>
      <c r="EE8" s="13"/>
      <c r="EF8" s="13">
        <f aca="true" t="shared" si="83" ref="EF8:EF17">D8*0.12856/100</f>
        <v>204.24198640000003</v>
      </c>
      <c r="EG8" s="13">
        <f aca="true" t="shared" si="84" ref="EG8:EG17">EE8+EF8</f>
        <v>204.24198640000003</v>
      </c>
      <c r="EH8" s="28">
        <f aca="true" t="shared" si="85" ref="EH8:EH17">EF$6*$F8</f>
        <v>90.9870544</v>
      </c>
      <c r="EI8" s="28">
        <f aca="true" t="shared" si="86" ref="EI8:EI17">EF$6*$G8</f>
        <v>152.497872</v>
      </c>
      <c r="EJ8" s="28"/>
      <c r="EK8" s="13"/>
      <c r="EL8" s="13">
        <f aca="true" t="shared" si="87" ref="EL8:EL17">D8*0.03415/100</f>
        <v>54.2537635</v>
      </c>
      <c r="EM8" s="13">
        <f aca="true" t="shared" si="88" ref="EM8:EM17">EK8+EL8</f>
        <v>54.2537635</v>
      </c>
      <c r="EN8" s="28">
        <f aca="true" t="shared" si="89" ref="EN8:EN17">EL$6*$F8</f>
        <v>24.169321</v>
      </c>
      <c r="EO8" s="28">
        <f aca="true" t="shared" si="90" ref="EO8:EO17">EL$6*$G8</f>
        <v>40.50873</v>
      </c>
      <c r="EP8" s="28"/>
      <c r="EQ8" s="13"/>
      <c r="ER8" s="13">
        <f aca="true" t="shared" si="91" ref="ER8:ER17">D8*1.11619/100</f>
        <v>1773.2798911</v>
      </c>
      <c r="ES8" s="13">
        <f aca="true" t="shared" si="92" ref="ES8:ES17">EQ8+ER8</f>
        <v>1773.2798911</v>
      </c>
      <c r="ET8" s="28">
        <f aca="true" t="shared" si="93" ref="ET8:ET17">ER$6*$F8</f>
        <v>789.9723106</v>
      </c>
      <c r="EU8" s="28">
        <f aca="true" t="shared" si="94" ref="EU8:EU17">ER$6*$G8</f>
        <v>1324.024578</v>
      </c>
      <c r="EV8" s="28"/>
      <c r="EW8" s="13"/>
      <c r="EX8" s="13">
        <f aca="true" t="shared" si="95" ref="EX8:EX17">D8*4.55599/100</f>
        <v>7238.055753100001</v>
      </c>
      <c r="EY8" s="13">
        <f aca="true" t="shared" si="96" ref="EY8:EY17">EW8+EX8</f>
        <v>7238.055753100001</v>
      </c>
      <c r="EZ8" s="28">
        <f aca="true" t="shared" si="97" ref="EZ8:EZ17">EX$6*$F8</f>
        <v>3224.4563626</v>
      </c>
      <c r="FA8" s="28">
        <f aca="true" t="shared" si="98" ref="FA8:FA17">EX$6*$G8</f>
        <v>5404.315338</v>
      </c>
      <c r="FB8" s="28"/>
      <c r="FC8" s="13"/>
      <c r="FD8" s="13">
        <f aca="true" t="shared" si="99" ref="FD8:FD17">D8*0.07571/100</f>
        <v>120.2797199</v>
      </c>
      <c r="FE8" s="13">
        <f aca="true" t="shared" si="100" ref="FE8:FE17">FC8+FD8</f>
        <v>120.2797199</v>
      </c>
      <c r="FF8" s="28">
        <f aca="true" t="shared" si="101" ref="FF8:FF17">FD$6*$F8</f>
        <v>53.5829954</v>
      </c>
      <c r="FG8" s="28">
        <f aca="true" t="shared" si="102" ref="FG8:FG17">FD$6*$G8</f>
        <v>89.807202</v>
      </c>
      <c r="FH8" s="28"/>
      <c r="FI8" s="13"/>
      <c r="FJ8" s="13">
        <f aca="true" t="shared" si="103" ref="FJ8:FJ17">D8*0.91696/100</f>
        <v>1456.7651824</v>
      </c>
      <c r="FK8" s="13">
        <f aca="true" t="shared" si="104" ref="FK8:FK17">FI8+FJ8</f>
        <v>1456.7651824</v>
      </c>
      <c r="FL8" s="28">
        <f aca="true" t="shared" si="105" ref="FL8:FL17">FJ$6*$F8</f>
        <v>648.9692704</v>
      </c>
      <c r="FM8" s="28">
        <f aca="true" t="shared" si="106" ref="FM8:FM17">FJ$6*$G8</f>
        <v>1087.697952</v>
      </c>
      <c r="FN8" s="28"/>
      <c r="FO8" s="13"/>
      <c r="FP8" s="13">
        <f aca="true" t="shared" si="107" ref="FP8:FP17">D8*0.38062/100</f>
        <v>604.6871878000001</v>
      </c>
      <c r="FQ8" s="13">
        <f aca="true" t="shared" si="108" ref="FQ8:FQ17">FO8+FP8</f>
        <v>604.6871878000001</v>
      </c>
      <c r="FR8" s="28">
        <f aca="true" t="shared" si="109" ref="FR8:FR17">FP$6*$F8</f>
        <v>269.3799988</v>
      </c>
      <c r="FS8" s="28">
        <f aca="true" t="shared" si="110" ref="FS8:FS17">FP$6*$G8</f>
        <v>451.491444</v>
      </c>
      <c r="FT8" s="28"/>
    </row>
    <row r="9" spans="1:176" s="30" customFormat="1" ht="12.75">
      <c r="A9" s="29">
        <v>43922</v>
      </c>
      <c r="C9" s="20">
        <v>2290000</v>
      </c>
      <c r="D9" s="20">
        <v>158869</v>
      </c>
      <c r="E9" s="14">
        <f t="shared" si="0"/>
        <v>2448869</v>
      </c>
      <c r="F9" s="14">
        <v>70774</v>
      </c>
      <c r="G9" s="14">
        <v>118620</v>
      </c>
      <c r="H9" s="28"/>
      <c r="I9" s="13">
        <f aca="true" t="shared" si="111" ref="I9:I17">C9*7.96069/100</f>
        <v>182299.80099999998</v>
      </c>
      <c r="J9" s="13">
        <f t="shared" si="1"/>
        <v>12647.0685961</v>
      </c>
      <c r="K9" s="28">
        <f t="shared" si="2"/>
        <v>194946.86959609998</v>
      </c>
      <c r="L9" s="28">
        <f t="shared" si="3"/>
        <v>5634.0987405999995</v>
      </c>
      <c r="M9" s="28">
        <f t="shared" si="4"/>
        <v>9442.970478</v>
      </c>
      <c r="N9" s="28"/>
      <c r="O9" s="13">
        <f aca="true" t="shared" si="112" ref="O9:O17">C9*8.86163/100</f>
        <v>202931.327</v>
      </c>
      <c r="P9" s="13">
        <f t="shared" si="5"/>
        <v>14078.3829647</v>
      </c>
      <c r="Q9" s="13">
        <f t="shared" si="6"/>
        <v>217009.70996469998</v>
      </c>
      <c r="R9" s="28">
        <f t="shared" si="7"/>
        <v>6271.730016199999</v>
      </c>
      <c r="S9" s="28">
        <f t="shared" si="8"/>
        <v>10511.665506</v>
      </c>
      <c r="T9" s="28"/>
      <c r="U9" s="28">
        <f aca="true" t="shared" si="113" ref="U9:U17">C9*3.27229/100</f>
        <v>74935.44099999999</v>
      </c>
      <c r="V9" s="13">
        <f t="shared" si="9"/>
        <v>5198.654400099999</v>
      </c>
      <c r="W9" s="13">
        <f t="shared" si="10"/>
        <v>80134.09540009999</v>
      </c>
      <c r="X9" s="28">
        <f t="shared" si="11"/>
        <v>2315.9305246</v>
      </c>
      <c r="Y9" s="28">
        <f t="shared" si="12"/>
        <v>3881.590398</v>
      </c>
      <c r="Z9" s="28"/>
      <c r="AA9" s="13">
        <f aca="true" t="shared" si="114" ref="AA9:AA17">C9*2.44463/100</f>
        <v>55982.027</v>
      </c>
      <c r="AB9" s="13">
        <f t="shared" si="13"/>
        <v>3883.7592347000004</v>
      </c>
      <c r="AC9" s="13">
        <f t="shared" si="14"/>
        <v>59865.786234700005</v>
      </c>
      <c r="AD9" s="28">
        <f t="shared" si="15"/>
        <v>1730.1624362</v>
      </c>
      <c r="AE9" s="28">
        <f t="shared" si="16"/>
        <v>2899.820106</v>
      </c>
      <c r="AF9" s="13"/>
      <c r="AG9" s="13">
        <f aca="true" t="shared" si="115" ref="AG9:AG17">AH$6*$C9</f>
        <v>5555.769</v>
      </c>
      <c r="AH9" s="13">
        <f t="shared" si="17"/>
        <v>385.4320809</v>
      </c>
      <c r="AI9" s="13">
        <f t="shared" si="18"/>
        <v>5941.2010809</v>
      </c>
      <c r="AJ9" s="28">
        <f t="shared" si="19"/>
        <v>171.7048014</v>
      </c>
      <c r="AK9" s="28">
        <f t="shared" si="20"/>
        <v>287.783982</v>
      </c>
      <c r="AL9" s="28"/>
      <c r="AM9" s="13">
        <f>C9*3.25486/100</f>
        <v>74536.294</v>
      </c>
      <c r="AN9" s="13">
        <f t="shared" si="21"/>
        <v>5170.9635333999995</v>
      </c>
      <c r="AO9" s="13">
        <f t="shared" si="22"/>
        <v>79707.2575334</v>
      </c>
      <c r="AP9" s="28">
        <f t="shared" si="23"/>
        <v>2303.5946163999997</v>
      </c>
      <c r="AQ9" s="28">
        <f t="shared" si="24"/>
        <v>3860.9149319999997</v>
      </c>
      <c r="AR9" s="13"/>
      <c r="AS9" s="13">
        <f>C9*23.78111/100</f>
        <v>544587.4190000001</v>
      </c>
      <c r="AT9" s="13">
        <f t="shared" si="25"/>
        <v>37780.8116459</v>
      </c>
      <c r="AU9" s="13">
        <f t="shared" si="26"/>
        <v>582368.2306459001</v>
      </c>
      <c r="AV9" s="28">
        <f t="shared" si="27"/>
        <v>16830.8427914</v>
      </c>
      <c r="AW9" s="28">
        <f t="shared" si="28"/>
        <v>28209.152682</v>
      </c>
      <c r="AX9" s="28"/>
      <c r="AY9" s="13">
        <f>C9*0.0004/100</f>
        <v>9.16</v>
      </c>
      <c r="AZ9" s="13">
        <f t="shared" si="29"/>
        <v>0.635476</v>
      </c>
      <c r="BA9" s="13">
        <f t="shared" si="30"/>
        <v>9.795476</v>
      </c>
      <c r="BB9" s="28"/>
      <c r="BC9" s="28"/>
      <c r="BD9" s="28"/>
      <c r="BE9" s="13">
        <f>C9*0.13664/100</f>
        <v>3129.0560000000005</v>
      </c>
      <c r="BF9" s="13">
        <f t="shared" si="31"/>
        <v>217.0786016</v>
      </c>
      <c r="BG9" s="13">
        <f t="shared" si="32"/>
        <v>3346.1346016000007</v>
      </c>
      <c r="BH9" s="28">
        <f t="shared" si="33"/>
        <v>96.7055936</v>
      </c>
      <c r="BI9" s="28">
        <f t="shared" si="34"/>
        <v>162.082368</v>
      </c>
      <c r="BJ9" s="28"/>
      <c r="BK9" s="13">
        <f>C9*0.87875/100</f>
        <v>20123.375</v>
      </c>
      <c r="BL9" s="13">
        <f t="shared" si="35"/>
        <v>1396.0613375</v>
      </c>
      <c r="BM9" s="13">
        <f t="shared" si="36"/>
        <v>21519.4363375</v>
      </c>
      <c r="BN9" s="28">
        <f t="shared" si="37"/>
        <v>621.926525</v>
      </c>
      <c r="BO9" s="28">
        <f t="shared" si="38"/>
        <v>1042.37325</v>
      </c>
      <c r="BP9" s="28"/>
      <c r="BQ9" s="13">
        <f>C9*0.56757/100</f>
        <v>12997.353000000001</v>
      </c>
      <c r="BR9" s="13">
        <f t="shared" si="39"/>
        <v>901.6927833</v>
      </c>
      <c r="BS9" s="13">
        <f t="shared" si="40"/>
        <v>13899.0457833</v>
      </c>
      <c r="BT9" s="28">
        <f t="shared" si="41"/>
        <v>401.6919918</v>
      </c>
      <c r="BU9" s="28">
        <f t="shared" si="42"/>
        <v>673.251534</v>
      </c>
      <c r="BV9" s="13"/>
      <c r="BW9" s="13">
        <f>C9*2.18514/100</f>
        <v>50039.706000000006</v>
      </c>
      <c r="BX9" s="13">
        <f t="shared" si="43"/>
        <v>3471.5100666000003</v>
      </c>
      <c r="BY9" s="13">
        <f t="shared" si="44"/>
        <v>53511.216066600005</v>
      </c>
      <c r="BZ9" s="28">
        <f t="shared" si="45"/>
        <v>1546.5109836</v>
      </c>
      <c r="CA9" s="28">
        <f t="shared" si="46"/>
        <v>2592.013068</v>
      </c>
      <c r="CB9" s="28"/>
      <c r="CC9" s="13">
        <f>C9*0.13916/100</f>
        <v>3186.764</v>
      </c>
      <c r="CD9" s="13">
        <f t="shared" si="47"/>
        <v>221.08210040000003</v>
      </c>
      <c r="CE9" s="13">
        <f t="shared" si="48"/>
        <v>3407.8461004</v>
      </c>
      <c r="CF9" s="28">
        <f t="shared" si="49"/>
        <v>98.4890984</v>
      </c>
      <c r="CG9" s="28">
        <f t="shared" si="50"/>
        <v>165.071592</v>
      </c>
      <c r="CH9" s="28"/>
      <c r="CI9" s="13">
        <f>C9*0.37665/100</f>
        <v>8625.285</v>
      </c>
      <c r="CJ9" s="13">
        <f t="shared" si="51"/>
        <v>598.3800884999999</v>
      </c>
      <c r="CK9" s="13">
        <f t="shared" si="52"/>
        <v>9223.6650885</v>
      </c>
      <c r="CL9" s="28">
        <f t="shared" si="53"/>
        <v>266.570271</v>
      </c>
      <c r="CM9" s="28">
        <f t="shared" si="54"/>
        <v>446.78222999999997</v>
      </c>
      <c r="CN9" s="28"/>
      <c r="CO9" s="13">
        <f>C9*1.58627/100</f>
        <v>36325.583000000006</v>
      </c>
      <c r="CP9" s="13">
        <f t="shared" si="55"/>
        <v>2520.0912863000003</v>
      </c>
      <c r="CQ9" s="13">
        <f t="shared" si="56"/>
        <v>38845.6742863</v>
      </c>
      <c r="CR9" s="28">
        <f t="shared" si="57"/>
        <v>1122.6667298</v>
      </c>
      <c r="CS9" s="28">
        <f t="shared" si="58"/>
        <v>1881.633474</v>
      </c>
      <c r="CT9" s="28"/>
      <c r="CU9" s="13">
        <f>C9*0.07178/100</f>
        <v>1643.7619999999997</v>
      </c>
      <c r="CV9" s="13">
        <f t="shared" si="59"/>
        <v>114.03616819999999</v>
      </c>
      <c r="CW9" s="13">
        <f t="shared" si="60"/>
        <v>1757.7981681999997</v>
      </c>
      <c r="CX9" s="28">
        <f t="shared" si="61"/>
        <v>50.8015772</v>
      </c>
      <c r="CY9" s="28">
        <f t="shared" si="62"/>
        <v>85.145436</v>
      </c>
      <c r="CZ9" s="28"/>
      <c r="DA9" s="13">
        <f>C9*1.01431/100</f>
        <v>23227.699</v>
      </c>
      <c r="DB9" s="13">
        <f t="shared" si="63"/>
        <v>1611.4241539000002</v>
      </c>
      <c r="DC9" s="13">
        <f t="shared" si="64"/>
        <v>24839.1231539</v>
      </c>
      <c r="DD9" s="28">
        <f t="shared" si="65"/>
        <v>717.8677594000001</v>
      </c>
      <c r="DE9" s="28">
        <f t="shared" si="66"/>
        <v>1203.174522</v>
      </c>
      <c r="DF9" s="28"/>
      <c r="DG9" s="13">
        <f>C9*0.48536/100</f>
        <v>11114.744</v>
      </c>
      <c r="DH9" s="28">
        <f t="shared" si="67"/>
        <v>771.0865784</v>
      </c>
      <c r="DI9" s="13">
        <f t="shared" si="68"/>
        <v>11885.8305784</v>
      </c>
      <c r="DJ9" s="28">
        <f t="shared" si="69"/>
        <v>343.5086864</v>
      </c>
      <c r="DK9" s="28">
        <f t="shared" si="70"/>
        <v>575.734032</v>
      </c>
      <c r="DL9" s="28"/>
      <c r="DM9" s="13">
        <f>C9*0.80603/100</f>
        <v>18458.087</v>
      </c>
      <c r="DN9" s="13">
        <f t="shared" si="71"/>
        <v>1280.5318007</v>
      </c>
      <c r="DO9" s="13">
        <f t="shared" si="72"/>
        <v>19738.6188007</v>
      </c>
      <c r="DP9" s="28">
        <f t="shared" si="73"/>
        <v>570.4596722</v>
      </c>
      <c r="DQ9" s="28">
        <f t="shared" si="74"/>
        <v>956.1127859999999</v>
      </c>
      <c r="DR9" s="28"/>
      <c r="DS9" s="13">
        <f>C9*2.45163/100</f>
        <v>56142.327000000005</v>
      </c>
      <c r="DT9" s="13">
        <f t="shared" si="75"/>
        <v>3894.8800647000003</v>
      </c>
      <c r="DU9" s="13">
        <f t="shared" si="76"/>
        <v>60037.20706470001</v>
      </c>
      <c r="DV9" s="28">
        <f t="shared" si="77"/>
        <v>1735.1166162000002</v>
      </c>
      <c r="DW9" s="28">
        <f t="shared" si="78"/>
        <v>2908.1235060000004</v>
      </c>
      <c r="DX9" s="28"/>
      <c r="DY9" s="13">
        <f>C9*0.25443/100</f>
        <v>5826.446999999999</v>
      </c>
      <c r="DZ9" s="13">
        <f t="shared" si="79"/>
        <v>404.2103967</v>
      </c>
      <c r="EA9" s="13">
        <f t="shared" si="80"/>
        <v>6230.6573966999995</v>
      </c>
      <c r="EB9" s="28">
        <f t="shared" si="81"/>
        <v>180.07028820000002</v>
      </c>
      <c r="EC9" s="28">
        <f t="shared" si="82"/>
        <v>301.804866</v>
      </c>
      <c r="ED9" s="28"/>
      <c r="EE9" s="13">
        <f>C9*0.12856/100</f>
        <v>2944.0240000000003</v>
      </c>
      <c r="EF9" s="13">
        <f t="shared" si="83"/>
        <v>204.24198640000003</v>
      </c>
      <c r="EG9" s="13">
        <f t="shared" si="84"/>
        <v>3148.2659864</v>
      </c>
      <c r="EH9" s="28">
        <f t="shared" si="85"/>
        <v>90.9870544</v>
      </c>
      <c r="EI9" s="28">
        <f t="shared" si="86"/>
        <v>152.497872</v>
      </c>
      <c r="EJ9" s="28"/>
      <c r="EK9" s="13">
        <f>C9*0.03415/100</f>
        <v>782.035</v>
      </c>
      <c r="EL9" s="13">
        <f t="shared" si="87"/>
        <v>54.2537635</v>
      </c>
      <c r="EM9" s="13">
        <f t="shared" si="88"/>
        <v>836.2887635</v>
      </c>
      <c r="EN9" s="28">
        <f t="shared" si="89"/>
        <v>24.169321</v>
      </c>
      <c r="EO9" s="28">
        <f t="shared" si="90"/>
        <v>40.50873</v>
      </c>
      <c r="EP9" s="28"/>
      <c r="EQ9" s="13">
        <f>C9*1.11619/100</f>
        <v>25560.751</v>
      </c>
      <c r="ER9" s="13">
        <f t="shared" si="91"/>
        <v>1773.2798911</v>
      </c>
      <c r="ES9" s="13">
        <f t="shared" si="92"/>
        <v>27334.0308911</v>
      </c>
      <c r="ET9" s="28">
        <f t="shared" si="93"/>
        <v>789.9723106</v>
      </c>
      <c r="EU9" s="28">
        <f t="shared" si="94"/>
        <v>1324.024578</v>
      </c>
      <c r="EV9" s="28"/>
      <c r="EW9" s="13">
        <f>C9*4.55599/100</f>
        <v>104332.17100000002</v>
      </c>
      <c r="EX9" s="13">
        <f t="shared" si="95"/>
        <v>7238.055753100001</v>
      </c>
      <c r="EY9" s="13">
        <f t="shared" si="96"/>
        <v>111570.22675310003</v>
      </c>
      <c r="EZ9" s="28">
        <f t="shared" si="97"/>
        <v>3224.4563626</v>
      </c>
      <c r="FA9" s="28">
        <f t="shared" si="98"/>
        <v>5404.315338</v>
      </c>
      <c r="FB9" s="28"/>
      <c r="FC9" s="13">
        <f>C9*0.07571/100</f>
        <v>1733.759</v>
      </c>
      <c r="FD9" s="13">
        <f t="shared" si="99"/>
        <v>120.2797199</v>
      </c>
      <c r="FE9" s="13">
        <f t="shared" si="100"/>
        <v>1854.0387199</v>
      </c>
      <c r="FF9" s="28">
        <f t="shared" si="101"/>
        <v>53.5829954</v>
      </c>
      <c r="FG9" s="28">
        <f t="shared" si="102"/>
        <v>89.807202</v>
      </c>
      <c r="FH9" s="28"/>
      <c r="FI9" s="13">
        <f>C9*0.91696/100</f>
        <v>20998.384</v>
      </c>
      <c r="FJ9" s="13">
        <f t="shared" si="103"/>
        <v>1456.7651824</v>
      </c>
      <c r="FK9" s="13">
        <f t="shared" si="104"/>
        <v>22455.149182399997</v>
      </c>
      <c r="FL9" s="28">
        <f t="shared" si="105"/>
        <v>648.9692704</v>
      </c>
      <c r="FM9" s="28">
        <f t="shared" si="106"/>
        <v>1087.697952</v>
      </c>
      <c r="FN9" s="28"/>
      <c r="FO9" s="13">
        <f>C9*0.38062/100</f>
        <v>8716.198</v>
      </c>
      <c r="FP9" s="13">
        <f t="shared" si="107"/>
        <v>604.6871878000001</v>
      </c>
      <c r="FQ9" s="13">
        <f t="shared" si="108"/>
        <v>9320.8851878</v>
      </c>
      <c r="FR9" s="28">
        <f t="shared" si="109"/>
        <v>269.3799988</v>
      </c>
      <c r="FS9" s="28">
        <f t="shared" si="110"/>
        <v>451.491444</v>
      </c>
      <c r="FT9" s="28"/>
    </row>
    <row r="10" spans="1:176" s="30" customFormat="1" ht="12.75">
      <c r="A10" s="29">
        <v>44105</v>
      </c>
      <c r="C10" s="20"/>
      <c r="D10" s="20">
        <v>113069</v>
      </c>
      <c r="E10" s="14">
        <f t="shared" si="0"/>
        <v>113069</v>
      </c>
      <c r="F10" s="14">
        <v>70774</v>
      </c>
      <c r="G10" s="14">
        <v>118620</v>
      </c>
      <c r="H10" s="28"/>
      <c r="I10" s="13"/>
      <c r="J10" s="13">
        <f t="shared" si="1"/>
        <v>9001.0725761</v>
      </c>
      <c r="K10" s="28">
        <f t="shared" si="2"/>
        <v>9001.0725761</v>
      </c>
      <c r="L10" s="28">
        <f t="shared" si="3"/>
        <v>5634.0987405999995</v>
      </c>
      <c r="M10" s="28">
        <f t="shared" si="4"/>
        <v>9442.970478</v>
      </c>
      <c r="N10" s="28"/>
      <c r="O10" s="13"/>
      <c r="P10" s="13">
        <f t="shared" si="5"/>
        <v>10019.7564247</v>
      </c>
      <c r="Q10" s="13">
        <f t="shared" si="6"/>
        <v>10019.7564247</v>
      </c>
      <c r="R10" s="28">
        <f t="shared" si="7"/>
        <v>6271.730016199999</v>
      </c>
      <c r="S10" s="28">
        <f t="shared" si="8"/>
        <v>10511.665506</v>
      </c>
      <c r="T10" s="28"/>
      <c r="U10" s="28"/>
      <c r="V10" s="13">
        <f t="shared" si="9"/>
        <v>3699.9455801</v>
      </c>
      <c r="W10" s="13">
        <f t="shared" si="10"/>
        <v>3699.9455801</v>
      </c>
      <c r="X10" s="28">
        <f t="shared" si="11"/>
        <v>2315.9305246</v>
      </c>
      <c r="Y10" s="28">
        <f t="shared" si="12"/>
        <v>3881.590398</v>
      </c>
      <c r="Z10" s="28"/>
      <c r="AA10" s="13"/>
      <c r="AB10" s="13">
        <f t="shared" si="13"/>
        <v>2764.1186947000006</v>
      </c>
      <c r="AC10" s="13">
        <f t="shared" si="14"/>
        <v>2764.1186947000006</v>
      </c>
      <c r="AD10" s="28">
        <f t="shared" si="15"/>
        <v>1730.1624362</v>
      </c>
      <c r="AE10" s="28">
        <f t="shared" si="16"/>
        <v>2899.820106</v>
      </c>
      <c r="AF10" s="13"/>
      <c r="AG10" s="13"/>
      <c r="AH10" s="13">
        <f t="shared" si="17"/>
        <v>274.3167009</v>
      </c>
      <c r="AI10" s="13">
        <f t="shared" si="18"/>
        <v>274.3167009</v>
      </c>
      <c r="AJ10" s="28">
        <f t="shared" si="19"/>
        <v>171.7048014</v>
      </c>
      <c r="AK10" s="28">
        <f t="shared" si="20"/>
        <v>287.783982</v>
      </c>
      <c r="AL10" s="28"/>
      <c r="AM10" s="13"/>
      <c r="AN10" s="13">
        <f t="shared" si="21"/>
        <v>3680.2376534</v>
      </c>
      <c r="AO10" s="13">
        <f t="shared" si="22"/>
        <v>3680.2376534</v>
      </c>
      <c r="AP10" s="28">
        <f t="shared" si="23"/>
        <v>2303.5946163999997</v>
      </c>
      <c r="AQ10" s="28">
        <f t="shared" si="24"/>
        <v>3860.9149319999997</v>
      </c>
      <c r="AR10" s="13"/>
      <c r="AS10" s="13"/>
      <c r="AT10" s="13">
        <f t="shared" si="25"/>
        <v>26889.0632659</v>
      </c>
      <c r="AU10" s="13">
        <f t="shared" si="26"/>
        <v>26889.0632659</v>
      </c>
      <c r="AV10" s="28">
        <f t="shared" si="27"/>
        <v>16830.8427914</v>
      </c>
      <c r="AW10" s="28">
        <f t="shared" si="28"/>
        <v>28209.152682</v>
      </c>
      <c r="AX10" s="28"/>
      <c r="AY10" s="13"/>
      <c r="AZ10" s="13">
        <f t="shared" si="29"/>
        <v>0.452276</v>
      </c>
      <c r="BA10" s="13">
        <f t="shared" si="30"/>
        <v>0.452276</v>
      </c>
      <c r="BB10" s="28"/>
      <c r="BC10" s="28"/>
      <c r="BD10" s="28"/>
      <c r="BE10" s="13"/>
      <c r="BF10" s="13">
        <f t="shared" si="31"/>
        <v>154.49748160000001</v>
      </c>
      <c r="BG10" s="13">
        <f t="shared" si="32"/>
        <v>154.49748160000001</v>
      </c>
      <c r="BH10" s="28">
        <f t="shared" si="33"/>
        <v>96.7055936</v>
      </c>
      <c r="BI10" s="28">
        <f t="shared" si="34"/>
        <v>162.082368</v>
      </c>
      <c r="BJ10" s="28"/>
      <c r="BK10" s="13"/>
      <c r="BL10" s="13">
        <f t="shared" si="35"/>
        <v>993.5938375000001</v>
      </c>
      <c r="BM10" s="13">
        <f t="shared" si="36"/>
        <v>993.5938375000001</v>
      </c>
      <c r="BN10" s="28">
        <f t="shared" si="37"/>
        <v>621.926525</v>
      </c>
      <c r="BO10" s="28">
        <f t="shared" si="38"/>
        <v>1042.37325</v>
      </c>
      <c r="BP10" s="28"/>
      <c r="BQ10" s="13"/>
      <c r="BR10" s="13">
        <f t="shared" si="39"/>
        <v>641.7457233</v>
      </c>
      <c r="BS10" s="13">
        <f t="shared" si="40"/>
        <v>641.7457233</v>
      </c>
      <c r="BT10" s="28">
        <f t="shared" si="41"/>
        <v>401.6919918</v>
      </c>
      <c r="BU10" s="28">
        <f t="shared" si="42"/>
        <v>673.251534</v>
      </c>
      <c r="BV10" s="13"/>
      <c r="BW10" s="13"/>
      <c r="BX10" s="13">
        <f t="shared" si="43"/>
        <v>2470.7159466</v>
      </c>
      <c r="BY10" s="13">
        <f t="shared" si="44"/>
        <v>2470.7159466</v>
      </c>
      <c r="BZ10" s="28">
        <f t="shared" si="45"/>
        <v>1546.5109836</v>
      </c>
      <c r="CA10" s="28">
        <f t="shared" si="46"/>
        <v>2592.013068</v>
      </c>
      <c r="CB10" s="28"/>
      <c r="CC10" s="13"/>
      <c r="CD10" s="13">
        <f t="shared" si="47"/>
        <v>157.3468204</v>
      </c>
      <c r="CE10" s="13">
        <f t="shared" si="48"/>
        <v>157.3468204</v>
      </c>
      <c r="CF10" s="28">
        <f t="shared" si="49"/>
        <v>98.4890984</v>
      </c>
      <c r="CG10" s="28">
        <f t="shared" si="50"/>
        <v>165.071592</v>
      </c>
      <c r="CH10" s="28"/>
      <c r="CI10" s="13"/>
      <c r="CJ10" s="13">
        <f t="shared" si="51"/>
        <v>425.8743885</v>
      </c>
      <c r="CK10" s="13">
        <f t="shared" si="52"/>
        <v>425.8743885</v>
      </c>
      <c r="CL10" s="28">
        <f t="shared" si="53"/>
        <v>266.570271</v>
      </c>
      <c r="CM10" s="28">
        <f t="shared" si="54"/>
        <v>446.78222999999997</v>
      </c>
      <c r="CN10" s="28"/>
      <c r="CO10" s="13"/>
      <c r="CP10" s="13">
        <f t="shared" si="55"/>
        <v>1793.5796263</v>
      </c>
      <c r="CQ10" s="13">
        <f t="shared" si="56"/>
        <v>1793.5796263</v>
      </c>
      <c r="CR10" s="28">
        <f t="shared" si="57"/>
        <v>1122.6667298</v>
      </c>
      <c r="CS10" s="28">
        <f t="shared" si="58"/>
        <v>1881.633474</v>
      </c>
      <c r="CT10" s="28"/>
      <c r="CU10" s="13"/>
      <c r="CV10" s="13">
        <f t="shared" si="59"/>
        <v>81.1609282</v>
      </c>
      <c r="CW10" s="13">
        <f t="shared" si="60"/>
        <v>81.1609282</v>
      </c>
      <c r="CX10" s="28">
        <f t="shared" si="61"/>
        <v>50.8015772</v>
      </c>
      <c r="CY10" s="28">
        <f t="shared" si="62"/>
        <v>85.145436</v>
      </c>
      <c r="CZ10" s="28"/>
      <c r="DA10" s="13"/>
      <c r="DB10" s="13">
        <f t="shared" si="63"/>
        <v>1146.8701739</v>
      </c>
      <c r="DC10" s="13">
        <f t="shared" si="64"/>
        <v>1146.8701739</v>
      </c>
      <c r="DD10" s="28">
        <f t="shared" si="65"/>
        <v>717.8677594000001</v>
      </c>
      <c r="DE10" s="28">
        <f t="shared" si="66"/>
        <v>1203.174522</v>
      </c>
      <c r="DF10" s="28"/>
      <c r="DG10" s="13"/>
      <c r="DH10" s="28">
        <f t="shared" si="67"/>
        <v>548.7916984</v>
      </c>
      <c r="DI10" s="13">
        <f t="shared" si="68"/>
        <v>548.7916984</v>
      </c>
      <c r="DJ10" s="28">
        <f t="shared" si="69"/>
        <v>343.5086864</v>
      </c>
      <c r="DK10" s="28">
        <f t="shared" si="70"/>
        <v>575.734032</v>
      </c>
      <c r="DL10" s="28"/>
      <c r="DM10" s="13"/>
      <c r="DN10" s="13">
        <f t="shared" si="71"/>
        <v>911.3700607000001</v>
      </c>
      <c r="DO10" s="13">
        <f t="shared" si="72"/>
        <v>911.3700607000001</v>
      </c>
      <c r="DP10" s="28">
        <f t="shared" si="73"/>
        <v>570.4596722</v>
      </c>
      <c r="DQ10" s="28">
        <f t="shared" si="74"/>
        <v>956.1127859999999</v>
      </c>
      <c r="DR10" s="28"/>
      <c r="DS10" s="13"/>
      <c r="DT10" s="13">
        <f t="shared" si="75"/>
        <v>2772.0335247000003</v>
      </c>
      <c r="DU10" s="13">
        <f t="shared" si="76"/>
        <v>2772.0335247000003</v>
      </c>
      <c r="DV10" s="28">
        <f t="shared" si="77"/>
        <v>1735.1166162000002</v>
      </c>
      <c r="DW10" s="28">
        <f t="shared" si="78"/>
        <v>2908.1235060000004</v>
      </c>
      <c r="DX10" s="28"/>
      <c r="DY10" s="13"/>
      <c r="DZ10" s="13">
        <f t="shared" si="79"/>
        <v>287.68145669999996</v>
      </c>
      <c r="EA10" s="13">
        <f t="shared" si="80"/>
        <v>287.68145669999996</v>
      </c>
      <c r="EB10" s="28">
        <f t="shared" si="81"/>
        <v>180.07028820000002</v>
      </c>
      <c r="EC10" s="28">
        <f t="shared" si="82"/>
        <v>301.804866</v>
      </c>
      <c r="ED10" s="28"/>
      <c r="EE10" s="13"/>
      <c r="EF10" s="13">
        <f t="shared" si="83"/>
        <v>145.36150640000002</v>
      </c>
      <c r="EG10" s="13">
        <f t="shared" si="84"/>
        <v>145.36150640000002</v>
      </c>
      <c r="EH10" s="28">
        <f t="shared" si="85"/>
        <v>90.9870544</v>
      </c>
      <c r="EI10" s="28">
        <f t="shared" si="86"/>
        <v>152.497872</v>
      </c>
      <c r="EJ10" s="28"/>
      <c r="EK10" s="13"/>
      <c r="EL10" s="13">
        <f t="shared" si="87"/>
        <v>38.613063499999996</v>
      </c>
      <c r="EM10" s="13">
        <f t="shared" si="88"/>
        <v>38.613063499999996</v>
      </c>
      <c r="EN10" s="28">
        <f t="shared" si="89"/>
        <v>24.169321</v>
      </c>
      <c r="EO10" s="28">
        <f t="shared" si="90"/>
        <v>40.50873</v>
      </c>
      <c r="EP10" s="28"/>
      <c r="EQ10" s="13"/>
      <c r="ER10" s="13">
        <f t="shared" si="91"/>
        <v>1262.0648711000001</v>
      </c>
      <c r="ES10" s="13">
        <f t="shared" si="92"/>
        <v>1262.0648711000001</v>
      </c>
      <c r="ET10" s="28">
        <f t="shared" si="93"/>
        <v>789.9723106</v>
      </c>
      <c r="EU10" s="28">
        <f t="shared" si="94"/>
        <v>1324.024578</v>
      </c>
      <c r="EV10" s="28"/>
      <c r="EW10" s="13"/>
      <c r="EX10" s="13">
        <f t="shared" si="95"/>
        <v>5151.4123331</v>
      </c>
      <c r="EY10" s="13">
        <f t="shared" si="96"/>
        <v>5151.4123331</v>
      </c>
      <c r="EZ10" s="28">
        <f t="shared" si="97"/>
        <v>3224.4563626</v>
      </c>
      <c r="FA10" s="28">
        <f t="shared" si="98"/>
        <v>5404.315338</v>
      </c>
      <c r="FB10" s="28"/>
      <c r="FC10" s="13"/>
      <c r="FD10" s="13">
        <f t="shared" si="99"/>
        <v>85.6045399</v>
      </c>
      <c r="FE10" s="13">
        <f t="shared" si="100"/>
        <v>85.6045399</v>
      </c>
      <c r="FF10" s="28">
        <f t="shared" si="101"/>
        <v>53.5829954</v>
      </c>
      <c r="FG10" s="28">
        <f t="shared" si="102"/>
        <v>89.807202</v>
      </c>
      <c r="FH10" s="28"/>
      <c r="FI10" s="13"/>
      <c r="FJ10" s="13">
        <f t="shared" si="103"/>
        <v>1036.7975024</v>
      </c>
      <c r="FK10" s="13">
        <f t="shared" si="104"/>
        <v>1036.7975024</v>
      </c>
      <c r="FL10" s="28">
        <f t="shared" si="105"/>
        <v>648.9692704</v>
      </c>
      <c r="FM10" s="28">
        <f t="shared" si="106"/>
        <v>1087.697952</v>
      </c>
      <c r="FN10" s="28"/>
      <c r="FO10" s="13"/>
      <c r="FP10" s="13">
        <f t="shared" si="107"/>
        <v>430.3632278</v>
      </c>
      <c r="FQ10" s="13">
        <f t="shared" si="108"/>
        <v>430.3632278</v>
      </c>
      <c r="FR10" s="28">
        <f t="shared" si="109"/>
        <v>269.3799988</v>
      </c>
      <c r="FS10" s="28">
        <f t="shared" si="110"/>
        <v>451.491444</v>
      </c>
      <c r="FT10" s="28"/>
    </row>
    <row r="11" spans="1:176" s="30" customFormat="1" ht="12.75">
      <c r="A11" s="29">
        <v>44287</v>
      </c>
      <c r="C11" s="20">
        <v>2380000</v>
      </c>
      <c r="D11" s="20">
        <v>113069</v>
      </c>
      <c r="E11" s="14">
        <f t="shared" si="0"/>
        <v>2493069</v>
      </c>
      <c r="F11" s="14">
        <v>70774</v>
      </c>
      <c r="G11" s="14">
        <v>118620</v>
      </c>
      <c r="H11" s="28"/>
      <c r="I11" s="13">
        <f t="shared" si="111"/>
        <v>189464.422</v>
      </c>
      <c r="J11" s="13">
        <f t="shared" si="1"/>
        <v>9001.0725761</v>
      </c>
      <c r="K11" s="28">
        <f t="shared" si="2"/>
        <v>198465.4945761</v>
      </c>
      <c r="L11" s="28">
        <f t="shared" si="3"/>
        <v>5634.0987405999995</v>
      </c>
      <c r="M11" s="28">
        <f t="shared" si="4"/>
        <v>9442.970478</v>
      </c>
      <c r="N11" s="28"/>
      <c r="O11" s="13">
        <f t="shared" si="112"/>
        <v>210906.794</v>
      </c>
      <c r="P11" s="13">
        <f t="shared" si="5"/>
        <v>10019.7564247</v>
      </c>
      <c r="Q11" s="13">
        <f t="shared" si="6"/>
        <v>220926.5504247</v>
      </c>
      <c r="R11" s="28">
        <f t="shared" si="7"/>
        <v>6271.730016199999</v>
      </c>
      <c r="S11" s="28">
        <f t="shared" si="8"/>
        <v>10511.665506</v>
      </c>
      <c r="T11" s="28"/>
      <c r="U11" s="28">
        <f t="shared" si="113"/>
        <v>77880.50200000001</v>
      </c>
      <c r="V11" s="13">
        <f t="shared" si="9"/>
        <v>3699.9455801</v>
      </c>
      <c r="W11" s="13">
        <f t="shared" si="10"/>
        <v>81580.44758010001</v>
      </c>
      <c r="X11" s="28">
        <f t="shared" si="11"/>
        <v>2315.9305246</v>
      </c>
      <c r="Y11" s="28">
        <f t="shared" si="12"/>
        <v>3881.590398</v>
      </c>
      <c r="Z11" s="28"/>
      <c r="AA11" s="13">
        <f t="shared" si="114"/>
        <v>58182.194</v>
      </c>
      <c r="AB11" s="13">
        <f t="shared" si="13"/>
        <v>2764.1186947000006</v>
      </c>
      <c r="AC11" s="13">
        <f t="shared" si="14"/>
        <v>60946.312694700006</v>
      </c>
      <c r="AD11" s="28">
        <f t="shared" si="15"/>
        <v>1730.1624362</v>
      </c>
      <c r="AE11" s="28">
        <f t="shared" si="16"/>
        <v>2899.820106</v>
      </c>
      <c r="AF11" s="13"/>
      <c r="AG11" s="13">
        <f t="shared" si="115"/>
        <v>5774.118</v>
      </c>
      <c r="AH11" s="13">
        <f t="shared" si="17"/>
        <v>274.3167009</v>
      </c>
      <c r="AI11" s="13">
        <f t="shared" si="18"/>
        <v>6048.4347009</v>
      </c>
      <c r="AJ11" s="28">
        <f t="shared" si="19"/>
        <v>171.7048014</v>
      </c>
      <c r="AK11" s="28">
        <f t="shared" si="20"/>
        <v>287.783982</v>
      </c>
      <c r="AL11" s="28"/>
      <c r="AM11" s="13">
        <f>C11*3.25486/100</f>
        <v>77465.668</v>
      </c>
      <c r="AN11" s="13">
        <f t="shared" si="21"/>
        <v>3680.2376534</v>
      </c>
      <c r="AO11" s="13">
        <f t="shared" si="22"/>
        <v>81145.90565340001</v>
      </c>
      <c r="AP11" s="28">
        <f t="shared" si="23"/>
        <v>2303.5946163999997</v>
      </c>
      <c r="AQ11" s="28">
        <f t="shared" si="24"/>
        <v>3860.9149319999997</v>
      </c>
      <c r="AR11" s="13"/>
      <c r="AS11" s="13">
        <f>C11*23.78111/100</f>
        <v>565990.4180000001</v>
      </c>
      <c r="AT11" s="13">
        <f t="shared" si="25"/>
        <v>26889.0632659</v>
      </c>
      <c r="AU11" s="13">
        <f t="shared" si="26"/>
        <v>592879.4812659001</v>
      </c>
      <c r="AV11" s="28">
        <f t="shared" si="27"/>
        <v>16830.8427914</v>
      </c>
      <c r="AW11" s="28">
        <f t="shared" si="28"/>
        <v>28209.152682</v>
      </c>
      <c r="AX11" s="28"/>
      <c r="AY11" s="13">
        <f>C11*0.0004/100</f>
        <v>9.52</v>
      </c>
      <c r="AZ11" s="13">
        <f t="shared" si="29"/>
        <v>0.452276</v>
      </c>
      <c r="BA11" s="13">
        <f t="shared" si="30"/>
        <v>9.972275999999999</v>
      </c>
      <c r="BB11" s="28"/>
      <c r="BC11" s="28"/>
      <c r="BD11" s="28"/>
      <c r="BE11" s="13">
        <f>C11*0.13664/100</f>
        <v>3252.032</v>
      </c>
      <c r="BF11" s="13">
        <f t="shared" si="31"/>
        <v>154.49748160000001</v>
      </c>
      <c r="BG11" s="13">
        <f t="shared" si="32"/>
        <v>3406.5294816</v>
      </c>
      <c r="BH11" s="28">
        <f t="shared" si="33"/>
        <v>96.7055936</v>
      </c>
      <c r="BI11" s="28">
        <f t="shared" si="34"/>
        <v>162.082368</v>
      </c>
      <c r="BJ11" s="28"/>
      <c r="BK11" s="13">
        <f>C11*0.87875/100</f>
        <v>20914.25</v>
      </c>
      <c r="BL11" s="13">
        <f t="shared" si="35"/>
        <v>993.5938375000001</v>
      </c>
      <c r="BM11" s="13">
        <f t="shared" si="36"/>
        <v>21907.8438375</v>
      </c>
      <c r="BN11" s="28">
        <f t="shared" si="37"/>
        <v>621.926525</v>
      </c>
      <c r="BO11" s="28">
        <f t="shared" si="38"/>
        <v>1042.37325</v>
      </c>
      <c r="BP11" s="28"/>
      <c r="BQ11" s="13">
        <f>C11*0.56757/100</f>
        <v>13508.166000000001</v>
      </c>
      <c r="BR11" s="13">
        <f t="shared" si="39"/>
        <v>641.7457233</v>
      </c>
      <c r="BS11" s="13">
        <f t="shared" si="40"/>
        <v>14149.911723300002</v>
      </c>
      <c r="BT11" s="28">
        <f t="shared" si="41"/>
        <v>401.6919918</v>
      </c>
      <c r="BU11" s="28">
        <f t="shared" si="42"/>
        <v>673.251534</v>
      </c>
      <c r="BV11" s="13"/>
      <c r="BW11" s="13">
        <f>C11*2.18514/100</f>
        <v>52006.332</v>
      </c>
      <c r="BX11" s="13">
        <f t="shared" si="43"/>
        <v>2470.7159466</v>
      </c>
      <c r="BY11" s="13">
        <f t="shared" si="44"/>
        <v>54477.0479466</v>
      </c>
      <c r="BZ11" s="28">
        <f t="shared" si="45"/>
        <v>1546.5109836</v>
      </c>
      <c r="CA11" s="28">
        <f t="shared" si="46"/>
        <v>2592.013068</v>
      </c>
      <c r="CB11" s="28"/>
      <c r="CC11" s="13">
        <f>C11*0.13916/100</f>
        <v>3312.008</v>
      </c>
      <c r="CD11" s="13">
        <f t="shared" si="47"/>
        <v>157.3468204</v>
      </c>
      <c r="CE11" s="13">
        <f t="shared" si="48"/>
        <v>3469.3548204</v>
      </c>
      <c r="CF11" s="28">
        <f t="shared" si="49"/>
        <v>98.4890984</v>
      </c>
      <c r="CG11" s="28">
        <f t="shared" si="50"/>
        <v>165.071592</v>
      </c>
      <c r="CH11" s="28"/>
      <c r="CI11" s="13">
        <f>C11*0.37665/100</f>
        <v>8964.27</v>
      </c>
      <c r="CJ11" s="13">
        <f t="shared" si="51"/>
        <v>425.8743885</v>
      </c>
      <c r="CK11" s="13">
        <f t="shared" si="52"/>
        <v>9390.1443885</v>
      </c>
      <c r="CL11" s="28">
        <f t="shared" si="53"/>
        <v>266.570271</v>
      </c>
      <c r="CM11" s="28">
        <f t="shared" si="54"/>
        <v>446.78222999999997</v>
      </c>
      <c r="CN11" s="28"/>
      <c r="CO11" s="13">
        <f>C11*1.58627/100</f>
        <v>37753.226</v>
      </c>
      <c r="CP11" s="13">
        <f t="shared" si="55"/>
        <v>1793.5796263</v>
      </c>
      <c r="CQ11" s="13">
        <f t="shared" si="56"/>
        <v>39546.8056263</v>
      </c>
      <c r="CR11" s="28">
        <f t="shared" si="57"/>
        <v>1122.6667298</v>
      </c>
      <c r="CS11" s="28">
        <f t="shared" si="58"/>
        <v>1881.633474</v>
      </c>
      <c r="CT11" s="28"/>
      <c r="CU11" s="13">
        <f>C11*0.07178/100</f>
        <v>1708.364</v>
      </c>
      <c r="CV11" s="13">
        <f t="shared" si="59"/>
        <v>81.1609282</v>
      </c>
      <c r="CW11" s="13">
        <f t="shared" si="60"/>
        <v>1789.5249282</v>
      </c>
      <c r="CX11" s="28">
        <f t="shared" si="61"/>
        <v>50.8015772</v>
      </c>
      <c r="CY11" s="28">
        <f t="shared" si="62"/>
        <v>85.145436</v>
      </c>
      <c r="CZ11" s="28"/>
      <c r="DA11" s="13">
        <f>C11*1.01431/100</f>
        <v>24140.578</v>
      </c>
      <c r="DB11" s="13">
        <f t="shared" si="63"/>
        <v>1146.8701739</v>
      </c>
      <c r="DC11" s="13">
        <f t="shared" si="64"/>
        <v>25287.4481739</v>
      </c>
      <c r="DD11" s="28">
        <f t="shared" si="65"/>
        <v>717.8677594000001</v>
      </c>
      <c r="DE11" s="28">
        <f t="shared" si="66"/>
        <v>1203.174522</v>
      </c>
      <c r="DF11" s="28"/>
      <c r="DG11" s="13">
        <f>C11*0.48536/100</f>
        <v>11551.568000000001</v>
      </c>
      <c r="DH11" s="28">
        <f t="shared" si="67"/>
        <v>548.7916984</v>
      </c>
      <c r="DI11" s="13">
        <f t="shared" si="68"/>
        <v>12100.359698400001</v>
      </c>
      <c r="DJ11" s="28">
        <f t="shared" si="69"/>
        <v>343.5086864</v>
      </c>
      <c r="DK11" s="28">
        <f t="shared" si="70"/>
        <v>575.734032</v>
      </c>
      <c r="DL11" s="28"/>
      <c r="DM11" s="13">
        <f>C11*0.80603/100</f>
        <v>19183.514000000003</v>
      </c>
      <c r="DN11" s="13">
        <f t="shared" si="71"/>
        <v>911.3700607000001</v>
      </c>
      <c r="DO11" s="13">
        <f t="shared" si="72"/>
        <v>20094.884060700002</v>
      </c>
      <c r="DP11" s="28">
        <f t="shared" si="73"/>
        <v>570.4596722</v>
      </c>
      <c r="DQ11" s="28">
        <f t="shared" si="74"/>
        <v>956.1127859999999</v>
      </c>
      <c r="DR11" s="28"/>
      <c r="DS11" s="13">
        <f>C11*2.45163/100</f>
        <v>58348.794</v>
      </c>
      <c r="DT11" s="13">
        <f t="shared" si="75"/>
        <v>2772.0335247000003</v>
      </c>
      <c r="DU11" s="13">
        <f t="shared" si="76"/>
        <v>61120.8275247</v>
      </c>
      <c r="DV11" s="28">
        <f t="shared" si="77"/>
        <v>1735.1166162000002</v>
      </c>
      <c r="DW11" s="28">
        <f t="shared" si="78"/>
        <v>2908.1235060000004</v>
      </c>
      <c r="DX11" s="28"/>
      <c r="DY11" s="13">
        <f>C11*0.25443/100</f>
        <v>6055.434</v>
      </c>
      <c r="DZ11" s="13">
        <f t="shared" si="79"/>
        <v>287.68145669999996</v>
      </c>
      <c r="EA11" s="13">
        <f t="shared" si="80"/>
        <v>6343.1154567</v>
      </c>
      <c r="EB11" s="28">
        <f t="shared" si="81"/>
        <v>180.07028820000002</v>
      </c>
      <c r="EC11" s="28">
        <f t="shared" si="82"/>
        <v>301.804866</v>
      </c>
      <c r="ED11" s="28"/>
      <c r="EE11" s="13">
        <f>C11*0.12856/100</f>
        <v>3059.7280000000005</v>
      </c>
      <c r="EF11" s="13">
        <f t="shared" si="83"/>
        <v>145.36150640000002</v>
      </c>
      <c r="EG11" s="13">
        <f t="shared" si="84"/>
        <v>3205.0895064000006</v>
      </c>
      <c r="EH11" s="28">
        <f t="shared" si="85"/>
        <v>90.9870544</v>
      </c>
      <c r="EI11" s="28">
        <f t="shared" si="86"/>
        <v>152.497872</v>
      </c>
      <c r="EJ11" s="28"/>
      <c r="EK11" s="13">
        <f>C11*0.03415/100</f>
        <v>812.77</v>
      </c>
      <c r="EL11" s="13">
        <f t="shared" si="87"/>
        <v>38.613063499999996</v>
      </c>
      <c r="EM11" s="13">
        <f t="shared" si="88"/>
        <v>851.3830634999999</v>
      </c>
      <c r="EN11" s="28">
        <f t="shared" si="89"/>
        <v>24.169321</v>
      </c>
      <c r="EO11" s="28">
        <f t="shared" si="90"/>
        <v>40.50873</v>
      </c>
      <c r="EP11" s="28"/>
      <c r="EQ11" s="13">
        <f>C11*1.11619/100</f>
        <v>26565.322</v>
      </c>
      <c r="ER11" s="13">
        <f t="shared" si="91"/>
        <v>1262.0648711000001</v>
      </c>
      <c r="ES11" s="13">
        <f t="shared" si="92"/>
        <v>27827.3868711</v>
      </c>
      <c r="ET11" s="28">
        <f t="shared" si="93"/>
        <v>789.9723106</v>
      </c>
      <c r="EU11" s="28">
        <f t="shared" si="94"/>
        <v>1324.024578</v>
      </c>
      <c r="EV11" s="28"/>
      <c r="EW11" s="13">
        <f>C11*4.55599/100</f>
        <v>108432.562</v>
      </c>
      <c r="EX11" s="13">
        <f t="shared" si="95"/>
        <v>5151.4123331</v>
      </c>
      <c r="EY11" s="13">
        <f t="shared" si="96"/>
        <v>113583.9743331</v>
      </c>
      <c r="EZ11" s="28">
        <f t="shared" si="97"/>
        <v>3224.4563626</v>
      </c>
      <c r="FA11" s="28">
        <f t="shared" si="98"/>
        <v>5404.315338</v>
      </c>
      <c r="FB11" s="28"/>
      <c r="FC11" s="13">
        <f>C11*0.07571/100</f>
        <v>1801.898</v>
      </c>
      <c r="FD11" s="13">
        <f t="shared" si="99"/>
        <v>85.6045399</v>
      </c>
      <c r="FE11" s="13">
        <f t="shared" si="100"/>
        <v>1887.5025398999999</v>
      </c>
      <c r="FF11" s="28">
        <f t="shared" si="101"/>
        <v>53.5829954</v>
      </c>
      <c r="FG11" s="28">
        <f t="shared" si="102"/>
        <v>89.807202</v>
      </c>
      <c r="FH11" s="28"/>
      <c r="FI11" s="13">
        <f>C11*0.91696/100</f>
        <v>21823.647999999997</v>
      </c>
      <c r="FJ11" s="13">
        <f t="shared" si="103"/>
        <v>1036.7975024</v>
      </c>
      <c r="FK11" s="13">
        <f t="shared" si="104"/>
        <v>22860.445502399998</v>
      </c>
      <c r="FL11" s="28">
        <f t="shared" si="105"/>
        <v>648.9692704</v>
      </c>
      <c r="FM11" s="28">
        <f t="shared" si="106"/>
        <v>1087.697952</v>
      </c>
      <c r="FN11" s="28"/>
      <c r="FO11" s="13">
        <f>C11*0.38062/100</f>
        <v>9058.756</v>
      </c>
      <c r="FP11" s="13">
        <f t="shared" si="107"/>
        <v>430.3632278</v>
      </c>
      <c r="FQ11" s="13">
        <f t="shared" si="108"/>
        <v>9489.1192278</v>
      </c>
      <c r="FR11" s="28">
        <f t="shared" si="109"/>
        <v>269.3799988</v>
      </c>
      <c r="FS11" s="28">
        <f t="shared" si="110"/>
        <v>451.491444</v>
      </c>
      <c r="FT11" s="28"/>
    </row>
    <row r="12" spans="1:176" s="30" customFormat="1" ht="12.75">
      <c r="A12" s="29">
        <v>44470</v>
      </c>
      <c r="C12" s="20"/>
      <c r="D12" s="20">
        <v>65469</v>
      </c>
      <c r="E12" s="14">
        <f t="shared" si="0"/>
        <v>65469</v>
      </c>
      <c r="F12" s="14">
        <v>70774</v>
      </c>
      <c r="G12" s="14">
        <v>118620</v>
      </c>
      <c r="H12" s="28"/>
      <c r="I12" s="13"/>
      <c r="J12" s="13">
        <f t="shared" si="1"/>
        <v>5211.7841361</v>
      </c>
      <c r="K12" s="28">
        <f t="shared" si="2"/>
        <v>5211.7841361</v>
      </c>
      <c r="L12" s="28">
        <f t="shared" si="3"/>
        <v>5634.0987405999995</v>
      </c>
      <c r="M12" s="28">
        <f t="shared" si="4"/>
        <v>9442.970478</v>
      </c>
      <c r="N12" s="28"/>
      <c r="O12" s="13"/>
      <c r="P12" s="13">
        <f t="shared" si="5"/>
        <v>5801.620544699999</v>
      </c>
      <c r="Q12" s="13">
        <f t="shared" si="6"/>
        <v>5801.620544699999</v>
      </c>
      <c r="R12" s="28">
        <f t="shared" si="7"/>
        <v>6271.730016199999</v>
      </c>
      <c r="S12" s="28">
        <f t="shared" si="8"/>
        <v>10511.665506</v>
      </c>
      <c r="T12" s="28"/>
      <c r="U12" s="28"/>
      <c r="V12" s="13">
        <f t="shared" si="9"/>
        <v>2142.3355401</v>
      </c>
      <c r="W12" s="13">
        <f t="shared" si="10"/>
        <v>2142.3355401</v>
      </c>
      <c r="X12" s="28">
        <f t="shared" si="11"/>
        <v>2315.9305246</v>
      </c>
      <c r="Y12" s="28">
        <f t="shared" si="12"/>
        <v>3881.590398</v>
      </c>
      <c r="Z12" s="28"/>
      <c r="AA12" s="13"/>
      <c r="AB12" s="13">
        <f t="shared" si="13"/>
        <v>1600.4748147</v>
      </c>
      <c r="AC12" s="13">
        <f t="shared" si="14"/>
        <v>1600.4748147</v>
      </c>
      <c r="AD12" s="28">
        <f t="shared" si="15"/>
        <v>1730.1624362</v>
      </c>
      <c r="AE12" s="28">
        <f t="shared" si="16"/>
        <v>2899.820106</v>
      </c>
      <c r="AF12" s="13"/>
      <c r="AG12" s="13"/>
      <c r="AH12" s="13">
        <f t="shared" si="17"/>
        <v>158.8343409</v>
      </c>
      <c r="AI12" s="13">
        <f t="shared" si="18"/>
        <v>158.8343409</v>
      </c>
      <c r="AJ12" s="28">
        <f t="shared" si="19"/>
        <v>171.7048014</v>
      </c>
      <c r="AK12" s="28">
        <f t="shared" si="20"/>
        <v>287.783982</v>
      </c>
      <c r="AL12" s="28"/>
      <c r="AM12" s="13"/>
      <c r="AN12" s="13">
        <f t="shared" si="21"/>
        <v>2130.9242934</v>
      </c>
      <c r="AO12" s="13">
        <f t="shared" si="22"/>
        <v>2130.9242934</v>
      </c>
      <c r="AP12" s="28">
        <f t="shared" si="23"/>
        <v>2303.5946163999997</v>
      </c>
      <c r="AQ12" s="28">
        <f t="shared" si="24"/>
        <v>3860.9149319999997</v>
      </c>
      <c r="AR12" s="13"/>
      <c r="AS12" s="13"/>
      <c r="AT12" s="13">
        <f t="shared" si="25"/>
        <v>15569.254905900001</v>
      </c>
      <c r="AU12" s="13">
        <f t="shared" si="26"/>
        <v>15569.254905900001</v>
      </c>
      <c r="AV12" s="28">
        <f t="shared" si="27"/>
        <v>16830.8427914</v>
      </c>
      <c r="AW12" s="28">
        <f t="shared" si="28"/>
        <v>28209.152682</v>
      </c>
      <c r="AX12" s="28"/>
      <c r="AY12" s="13"/>
      <c r="AZ12" s="13">
        <f t="shared" si="29"/>
        <v>0.261876</v>
      </c>
      <c r="BA12" s="13">
        <f t="shared" si="30"/>
        <v>0.261876</v>
      </c>
      <c r="BB12" s="28"/>
      <c r="BC12" s="28"/>
      <c r="BD12" s="28"/>
      <c r="BE12" s="13"/>
      <c r="BF12" s="13">
        <f t="shared" si="31"/>
        <v>89.4568416</v>
      </c>
      <c r="BG12" s="13">
        <f t="shared" si="32"/>
        <v>89.4568416</v>
      </c>
      <c r="BH12" s="28">
        <f t="shared" si="33"/>
        <v>96.7055936</v>
      </c>
      <c r="BI12" s="28">
        <f t="shared" si="34"/>
        <v>162.082368</v>
      </c>
      <c r="BJ12" s="28"/>
      <c r="BK12" s="13"/>
      <c r="BL12" s="13">
        <f t="shared" si="35"/>
        <v>575.3088375</v>
      </c>
      <c r="BM12" s="13">
        <f t="shared" si="36"/>
        <v>575.3088375</v>
      </c>
      <c r="BN12" s="28">
        <f t="shared" si="37"/>
        <v>621.926525</v>
      </c>
      <c r="BO12" s="28">
        <f t="shared" si="38"/>
        <v>1042.37325</v>
      </c>
      <c r="BP12" s="28"/>
      <c r="BQ12" s="13"/>
      <c r="BR12" s="13">
        <f t="shared" si="39"/>
        <v>371.5824033</v>
      </c>
      <c r="BS12" s="13">
        <f t="shared" si="40"/>
        <v>371.5824033</v>
      </c>
      <c r="BT12" s="28">
        <f t="shared" si="41"/>
        <v>401.6919918</v>
      </c>
      <c r="BU12" s="28">
        <f t="shared" si="42"/>
        <v>673.251534</v>
      </c>
      <c r="BV12" s="13"/>
      <c r="BW12" s="13"/>
      <c r="BX12" s="13">
        <f t="shared" si="43"/>
        <v>1430.5893066</v>
      </c>
      <c r="BY12" s="13">
        <f t="shared" si="44"/>
        <v>1430.5893066</v>
      </c>
      <c r="BZ12" s="28">
        <f t="shared" si="45"/>
        <v>1546.5109836</v>
      </c>
      <c r="CA12" s="28">
        <f t="shared" si="46"/>
        <v>2592.013068</v>
      </c>
      <c r="CB12" s="28"/>
      <c r="CC12" s="13"/>
      <c r="CD12" s="13">
        <f t="shared" si="47"/>
        <v>91.1066604</v>
      </c>
      <c r="CE12" s="13">
        <f t="shared" si="48"/>
        <v>91.1066604</v>
      </c>
      <c r="CF12" s="28">
        <f t="shared" si="49"/>
        <v>98.4890984</v>
      </c>
      <c r="CG12" s="28">
        <f t="shared" si="50"/>
        <v>165.071592</v>
      </c>
      <c r="CH12" s="28"/>
      <c r="CI12" s="13"/>
      <c r="CJ12" s="13">
        <f t="shared" si="51"/>
        <v>246.58898849999997</v>
      </c>
      <c r="CK12" s="13">
        <f t="shared" si="52"/>
        <v>246.58898849999997</v>
      </c>
      <c r="CL12" s="28">
        <f t="shared" si="53"/>
        <v>266.570271</v>
      </c>
      <c r="CM12" s="28">
        <f t="shared" si="54"/>
        <v>446.78222999999997</v>
      </c>
      <c r="CN12" s="28"/>
      <c r="CO12" s="13"/>
      <c r="CP12" s="13">
        <f t="shared" si="55"/>
        <v>1038.5151063</v>
      </c>
      <c r="CQ12" s="13">
        <f t="shared" si="56"/>
        <v>1038.5151063</v>
      </c>
      <c r="CR12" s="28">
        <f t="shared" si="57"/>
        <v>1122.6667298</v>
      </c>
      <c r="CS12" s="28">
        <f t="shared" si="58"/>
        <v>1881.633474</v>
      </c>
      <c r="CT12" s="28"/>
      <c r="CU12" s="13"/>
      <c r="CV12" s="13">
        <f t="shared" si="59"/>
        <v>46.993648199999996</v>
      </c>
      <c r="CW12" s="13">
        <f t="shared" si="60"/>
        <v>46.993648199999996</v>
      </c>
      <c r="CX12" s="28">
        <f t="shared" si="61"/>
        <v>50.8015772</v>
      </c>
      <c r="CY12" s="28">
        <f t="shared" si="62"/>
        <v>85.145436</v>
      </c>
      <c r="CZ12" s="28"/>
      <c r="DA12" s="13"/>
      <c r="DB12" s="13">
        <f t="shared" si="63"/>
        <v>664.0586139000001</v>
      </c>
      <c r="DC12" s="13">
        <f t="shared" si="64"/>
        <v>664.0586139000001</v>
      </c>
      <c r="DD12" s="28">
        <f t="shared" si="65"/>
        <v>717.8677594000001</v>
      </c>
      <c r="DE12" s="28">
        <f t="shared" si="66"/>
        <v>1203.174522</v>
      </c>
      <c r="DF12" s="28"/>
      <c r="DG12" s="13"/>
      <c r="DH12" s="28">
        <f t="shared" si="67"/>
        <v>317.7603384</v>
      </c>
      <c r="DI12" s="13">
        <f t="shared" si="68"/>
        <v>317.7603384</v>
      </c>
      <c r="DJ12" s="28">
        <f t="shared" si="69"/>
        <v>343.5086864</v>
      </c>
      <c r="DK12" s="28">
        <f t="shared" si="70"/>
        <v>575.734032</v>
      </c>
      <c r="DL12" s="28"/>
      <c r="DM12" s="13"/>
      <c r="DN12" s="13">
        <f t="shared" si="71"/>
        <v>527.6997807</v>
      </c>
      <c r="DO12" s="13">
        <f t="shared" si="72"/>
        <v>527.6997807</v>
      </c>
      <c r="DP12" s="28">
        <f t="shared" si="73"/>
        <v>570.4596722</v>
      </c>
      <c r="DQ12" s="28">
        <f t="shared" si="74"/>
        <v>956.1127859999999</v>
      </c>
      <c r="DR12" s="28"/>
      <c r="DS12" s="13"/>
      <c r="DT12" s="13">
        <f t="shared" si="75"/>
        <v>1605.0576447000003</v>
      </c>
      <c r="DU12" s="13">
        <f t="shared" si="76"/>
        <v>1605.0576447000003</v>
      </c>
      <c r="DV12" s="28">
        <f t="shared" si="77"/>
        <v>1735.1166162000002</v>
      </c>
      <c r="DW12" s="28">
        <f t="shared" si="78"/>
        <v>2908.1235060000004</v>
      </c>
      <c r="DX12" s="28"/>
      <c r="DY12" s="13"/>
      <c r="DZ12" s="13">
        <f t="shared" si="79"/>
        <v>166.5727767</v>
      </c>
      <c r="EA12" s="13">
        <f t="shared" si="80"/>
        <v>166.5727767</v>
      </c>
      <c r="EB12" s="28">
        <f t="shared" si="81"/>
        <v>180.07028820000002</v>
      </c>
      <c r="EC12" s="28">
        <f t="shared" si="82"/>
        <v>301.804866</v>
      </c>
      <c r="ED12" s="28"/>
      <c r="EE12" s="13"/>
      <c r="EF12" s="13">
        <f t="shared" si="83"/>
        <v>84.1669464</v>
      </c>
      <c r="EG12" s="13">
        <f t="shared" si="84"/>
        <v>84.1669464</v>
      </c>
      <c r="EH12" s="28">
        <f t="shared" si="85"/>
        <v>90.9870544</v>
      </c>
      <c r="EI12" s="28">
        <f t="shared" si="86"/>
        <v>152.497872</v>
      </c>
      <c r="EJ12" s="28"/>
      <c r="EK12" s="13"/>
      <c r="EL12" s="13">
        <f t="shared" si="87"/>
        <v>22.357663499999997</v>
      </c>
      <c r="EM12" s="13">
        <f t="shared" si="88"/>
        <v>22.357663499999997</v>
      </c>
      <c r="EN12" s="28">
        <f t="shared" si="89"/>
        <v>24.169321</v>
      </c>
      <c r="EO12" s="28">
        <f t="shared" si="90"/>
        <v>40.50873</v>
      </c>
      <c r="EP12" s="28"/>
      <c r="EQ12" s="13"/>
      <c r="ER12" s="13">
        <f t="shared" si="91"/>
        <v>730.7584311</v>
      </c>
      <c r="ES12" s="13">
        <f t="shared" si="92"/>
        <v>730.7584311</v>
      </c>
      <c r="ET12" s="28">
        <f t="shared" si="93"/>
        <v>789.9723106</v>
      </c>
      <c r="EU12" s="28">
        <f t="shared" si="94"/>
        <v>1324.024578</v>
      </c>
      <c r="EV12" s="28"/>
      <c r="EW12" s="13"/>
      <c r="EX12" s="13">
        <f t="shared" si="95"/>
        <v>2982.7610931000004</v>
      </c>
      <c r="EY12" s="13">
        <f t="shared" si="96"/>
        <v>2982.7610931000004</v>
      </c>
      <c r="EZ12" s="28">
        <f t="shared" si="97"/>
        <v>3224.4563626</v>
      </c>
      <c r="FA12" s="28">
        <f t="shared" si="98"/>
        <v>5404.315338</v>
      </c>
      <c r="FB12" s="28"/>
      <c r="FC12" s="13"/>
      <c r="FD12" s="13">
        <f t="shared" si="99"/>
        <v>49.566579899999994</v>
      </c>
      <c r="FE12" s="13">
        <f t="shared" si="100"/>
        <v>49.566579899999994</v>
      </c>
      <c r="FF12" s="28">
        <f t="shared" si="101"/>
        <v>53.5829954</v>
      </c>
      <c r="FG12" s="28">
        <f t="shared" si="102"/>
        <v>89.807202</v>
      </c>
      <c r="FH12" s="28"/>
      <c r="FI12" s="13"/>
      <c r="FJ12" s="13">
        <f t="shared" si="103"/>
        <v>600.3245424</v>
      </c>
      <c r="FK12" s="13">
        <f t="shared" si="104"/>
        <v>600.3245424</v>
      </c>
      <c r="FL12" s="28">
        <f t="shared" si="105"/>
        <v>648.9692704</v>
      </c>
      <c r="FM12" s="28">
        <f t="shared" si="106"/>
        <v>1087.697952</v>
      </c>
      <c r="FN12" s="28"/>
      <c r="FO12" s="13"/>
      <c r="FP12" s="13">
        <f t="shared" si="107"/>
        <v>249.1881078</v>
      </c>
      <c r="FQ12" s="13">
        <f t="shared" si="108"/>
        <v>249.1881078</v>
      </c>
      <c r="FR12" s="28">
        <f t="shared" si="109"/>
        <v>269.3799988</v>
      </c>
      <c r="FS12" s="28">
        <f t="shared" si="110"/>
        <v>451.491444</v>
      </c>
      <c r="FT12" s="28"/>
    </row>
    <row r="13" spans="1:176" s="30" customFormat="1" ht="12.75">
      <c r="A13" s="29">
        <v>44652</v>
      </c>
      <c r="C13" s="20">
        <v>2460000</v>
      </c>
      <c r="D13" s="20">
        <v>65469</v>
      </c>
      <c r="E13" s="14">
        <f t="shared" si="0"/>
        <v>2525469</v>
      </c>
      <c r="F13" s="14">
        <v>70774</v>
      </c>
      <c r="G13" s="14">
        <v>118620</v>
      </c>
      <c r="H13" s="28"/>
      <c r="I13" s="13">
        <f t="shared" si="111"/>
        <v>195832.974</v>
      </c>
      <c r="J13" s="13">
        <f t="shared" si="1"/>
        <v>5211.7841361</v>
      </c>
      <c r="K13" s="28">
        <f t="shared" si="2"/>
        <v>201044.7581361</v>
      </c>
      <c r="L13" s="28">
        <f t="shared" si="3"/>
        <v>5634.0987405999995</v>
      </c>
      <c r="M13" s="28">
        <f t="shared" si="4"/>
        <v>9442.970478</v>
      </c>
      <c r="N13" s="28"/>
      <c r="O13" s="13">
        <f t="shared" si="112"/>
        <v>217996.098</v>
      </c>
      <c r="P13" s="13">
        <f t="shared" si="5"/>
        <v>5801.620544699999</v>
      </c>
      <c r="Q13" s="13">
        <f t="shared" si="6"/>
        <v>223797.7185447</v>
      </c>
      <c r="R13" s="28">
        <f t="shared" si="7"/>
        <v>6271.730016199999</v>
      </c>
      <c r="S13" s="28">
        <f t="shared" si="8"/>
        <v>10511.665506</v>
      </c>
      <c r="T13" s="28"/>
      <c r="U13" s="28">
        <f t="shared" si="113"/>
        <v>80498.33399999999</v>
      </c>
      <c r="V13" s="13">
        <f t="shared" si="9"/>
        <v>2142.3355401</v>
      </c>
      <c r="W13" s="13">
        <f t="shared" si="10"/>
        <v>82640.66954009999</v>
      </c>
      <c r="X13" s="28">
        <f t="shared" si="11"/>
        <v>2315.9305246</v>
      </c>
      <c r="Y13" s="28">
        <f t="shared" si="12"/>
        <v>3881.590398</v>
      </c>
      <c r="Z13" s="28"/>
      <c r="AA13" s="13">
        <f t="shared" si="114"/>
        <v>60137.898</v>
      </c>
      <c r="AB13" s="13">
        <f t="shared" si="13"/>
        <v>1600.4748147</v>
      </c>
      <c r="AC13" s="13">
        <f t="shared" si="14"/>
        <v>61738.3728147</v>
      </c>
      <c r="AD13" s="28">
        <f t="shared" si="15"/>
        <v>1730.1624362</v>
      </c>
      <c r="AE13" s="28">
        <f t="shared" si="16"/>
        <v>2899.820106</v>
      </c>
      <c r="AF13" s="13"/>
      <c r="AG13" s="13">
        <f t="shared" si="115"/>
        <v>5968.206</v>
      </c>
      <c r="AH13" s="13">
        <f t="shared" si="17"/>
        <v>158.8343409</v>
      </c>
      <c r="AI13" s="13">
        <f t="shared" si="18"/>
        <v>6127.0403409</v>
      </c>
      <c r="AJ13" s="28">
        <f t="shared" si="19"/>
        <v>171.7048014</v>
      </c>
      <c r="AK13" s="28">
        <f t="shared" si="20"/>
        <v>287.783982</v>
      </c>
      <c r="AL13" s="28"/>
      <c r="AM13" s="13">
        <f>C13*3.25486/100</f>
        <v>80069.556</v>
      </c>
      <c r="AN13" s="13">
        <f t="shared" si="21"/>
        <v>2130.9242934</v>
      </c>
      <c r="AO13" s="13">
        <f t="shared" si="22"/>
        <v>82200.4802934</v>
      </c>
      <c r="AP13" s="28">
        <f t="shared" si="23"/>
        <v>2303.5946163999997</v>
      </c>
      <c r="AQ13" s="28">
        <f t="shared" si="24"/>
        <v>3860.9149319999997</v>
      </c>
      <c r="AR13" s="13"/>
      <c r="AS13" s="13">
        <f>C13*23.78111/100</f>
        <v>585015.306</v>
      </c>
      <c r="AT13" s="13">
        <f t="shared" si="25"/>
        <v>15569.254905900001</v>
      </c>
      <c r="AU13" s="13">
        <f t="shared" si="26"/>
        <v>600584.5609059</v>
      </c>
      <c r="AV13" s="28">
        <f t="shared" si="27"/>
        <v>16830.8427914</v>
      </c>
      <c r="AW13" s="28">
        <f t="shared" si="28"/>
        <v>28209.152682</v>
      </c>
      <c r="AX13" s="28"/>
      <c r="AY13" s="13">
        <f>C13*0.0004/100</f>
        <v>9.84</v>
      </c>
      <c r="AZ13" s="13">
        <f t="shared" si="29"/>
        <v>0.261876</v>
      </c>
      <c r="BA13" s="13">
        <f t="shared" si="30"/>
        <v>10.101876</v>
      </c>
      <c r="BB13" s="28"/>
      <c r="BC13" s="28"/>
      <c r="BD13" s="28"/>
      <c r="BE13" s="13">
        <f>C13*0.13664/100</f>
        <v>3361.344</v>
      </c>
      <c r="BF13" s="13">
        <f t="shared" si="31"/>
        <v>89.4568416</v>
      </c>
      <c r="BG13" s="13">
        <f t="shared" si="32"/>
        <v>3450.8008416000002</v>
      </c>
      <c r="BH13" s="28">
        <f t="shared" si="33"/>
        <v>96.7055936</v>
      </c>
      <c r="BI13" s="28">
        <f t="shared" si="34"/>
        <v>162.082368</v>
      </c>
      <c r="BJ13" s="28"/>
      <c r="BK13" s="13">
        <f>C13*0.87875/100</f>
        <v>21617.25</v>
      </c>
      <c r="BL13" s="13">
        <f t="shared" si="35"/>
        <v>575.3088375</v>
      </c>
      <c r="BM13" s="13">
        <f t="shared" si="36"/>
        <v>22192.5588375</v>
      </c>
      <c r="BN13" s="28">
        <f t="shared" si="37"/>
        <v>621.926525</v>
      </c>
      <c r="BO13" s="28">
        <f t="shared" si="38"/>
        <v>1042.37325</v>
      </c>
      <c r="BP13" s="28"/>
      <c r="BQ13" s="13">
        <f>C13*0.56757/100</f>
        <v>13962.222</v>
      </c>
      <c r="BR13" s="13">
        <f t="shared" si="39"/>
        <v>371.5824033</v>
      </c>
      <c r="BS13" s="13">
        <f t="shared" si="40"/>
        <v>14333.8044033</v>
      </c>
      <c r="BT13" s="28">
        <f t="shared" si="41"/>
        <v>401.6919918</v>
      </c>
      <c r="BU13" s="28">
        <f t="shared" si="42"/>
        <v>673.251534</v>
      </c>
      <c r="BV13" s="13"/>
      <c r="BW13" s="13">
        <f>C13*2.18514/100</f>
        <v>53754.444</v>
      </c>
      <c r="BX13" s="13">
        <f t="shared" si="43"/>
        <v>1430.5893066</v>
      </c>
      <c r="BY13" s="13">
        <f t="shared" si="44"/>
        <v>55185.0333066</v>
      </c>
      <c r="BZ13" s="28">
        <f t="shared" si="45"/>
        <v>1546.5109836</v>
      </c>
      <c r="CA13" s="28">
        <f t="shared" si="46"/>
        <v>2592.013068</v>
      </c>
      <c r="CB13" s="28"/>
      <c r="CC13" s="13">
        <f>C13*0.13916/100</f>
        <v>3423.3360000000002</v>
      </c>
      <c r="CD13" s="13">
        <f t="shared" si="47"/>
        <v>91.1066604</v>
      </c>
      <c r="CE13" s="13">
        <f t="shared" si="48"/>
        <v>3514.4426604</v>
      </c>
      <c r="CF13" s="28">
        <f t="shared" si="49"/>
        <v>98.4890984</v>
      </c>
      <c r="CG13" s="28">
        <f t="shared" si="50"/>
        <v>165.071592</v>
      </c>
      <c r="CH13" s="28"/>
      <c r="CI13" s="13">
        <f>C13*0.37665/100</f>
        <v>9265.59</v>
      </c>
      <c r="CJ13" s="13">
        <f t="shared" si="51"/>
        <v>246.58898849999997</v>
      </c>
      <c r="CK13" s="13">
        <f t="shared" si="52"/>
        <v>9512.1789885</v>
      </c>
      <c r="CL13" s="28">
        <f t="shared" si="53"/>
        <v>266.570271</v>
      </c>
      <c r="CM13" s="28">
        <f t="shared" si="54"/>
        <v>446.78222999999997</v>
      </c>
      <c r="CN13" s="28"/>
      <c r="CO13" s="13">
        <f>C13*1.58627/100</f>
        <v>39022.242</v>
      </c>
      <c r="CP13" s="13">
        <f t="shared" si="55"/>
        <v>1038.5151063</v>
      </c>
      <c r="CQ13" s="13">
        <f t="shared" si="56"/>
        <v>40060.7571063</v>
      </c>
      <c r="CR13" s="28">
        <f t="shared" si="57"/>
        <v>1122.6667298</v>
      </c>
      <c r="CS13" s="28">
        <f t="shared" si="58"/>
        <v>1881.633474</v>
      </c>
      <c r="CT13" s="28"/>
      <c r="CU13" s="13">
        <f>C13*0.07178/100</f>
        <v>1765.7879999999998</v>
      </c>
      <c r="CV13" s="13">
        <f t="shared" si="59"/>
        <v>46.993648199999996</v>
      </c>
      <c r="CW13" s="13">
        <f t="shared" si="60"/>
        <v>1812.7816481999998</v>
      </c>
      <c r="CX13" s="28">
        <f t="shared" si="61"/>
        <v>50.8015772</v>
      </c>
      <c r="CY13" s="28">
        <f t="shared" si="62"/>
        <v>85.145436</v>
      </c>
      <c r="CZ13" s="28"/>
      <c r="DA13" s="13">
        <f>C13*1.01431/100</f>
        <v>24952.026</v>
      </c>
      <c r="DB13" s="13">
        <f t="shared" si="63"/>
        <v>664.0586139000001</v>
      </c>
      <c r="DC13" s="13">
        <f t="shared" si="64"/>
        <v>25616.084613900002</v>
      </c>
      <c r="DD13" s="28">
        <f t="shared" si="65"/>
        <v>717.8677594000001</v>
      </c>
      <c r="DE13" s="28">
        <f t="shared" si="66"/>
        <v>1203.174522</v>
      </c>
      <c r="DF13" s="28"/>
      <c r="DG13" s="13">
        <f>C13*0.48536/100</f>
        <v>11939.856000000002</v>
      </c>
      <c r="DH13" s="28">
        <f t="shared" si="67"/>
        <v>317.7603384</v>
      </c>
      <c r="DI13" s="13">
        <f t="shared" si="68"/>
        <v>12257.616338400001</v>
      </c>
      <c r="DJ13" s="28">
        <f t="shared" si="69"/>
        <v>343.5086864</v>
      </c>
      <c r="DK13" s="28">
        <f t="shared" si="70"/>
        <v>575.734032</v>
      </c>
      <c r="DL13" s="28"/>
      <c r="DM13" s="13">
        <f>C13*0.80603/100</f>
        <v>19828.338</v>
      </c>
      <c r="DN13" s="13">
        <f t="shared" si="71"/>
        <v>527.6997807</v>
      </c>
      <c r="DO13" s="13">
        <f t="shared" si="72"/>
        <v>20356.0377807</v>
      </c>
      <c r="DP13" s="28">
        <f t="shared" si="73"/>
        <v>570.4596722</v>
      </c>
      <c r="DQ13" s="28">
        <f t="shared" si="74"/>
        <v>956.1127859999999</v>
      </c>
      <c r="DR13" s="28"/>
      <c r="DS13" s="13">
        <f>C13*2.45163/100</f>
        <v>60310.098000000005</v>
      </c>
      <c r="DT13" s="13">
        <f t="shared" si="75"/>
        <v>1605.0576447000003</v>
      </c>
      <c r="DU13" s="13">
        <f t="shared" si="76"/>
        <v>61915.155644700004</v>
      </c>
      <c r="DV13" s="28">
        <f t="shared" si="77"/>
        <v>1735.1166162000002</v>
      </c>
      <c r="DW13" s="28">
        <f t="shared" si="78"/>
        <v>2908.1235060000004</v>
      </c>
      <c r="DX13" s="28"/>
      <c r="DY13" s="13">
        <f>C13*0.25443/100</f>
        <v>6258.977999999999</v>
      </c>
      <c r="DZ13" s="13">
        <f t="shared" si="79"/>
        <v>166.5727767</v>
      </c>
      <c r="EA13" s="13">
        <f t="shared" si="80"/>
        <v>6425.550776699999</v>
      </c>
      <c r="EB13" s="28">
        <f t="shared" si="81"/>
        <v>180.07028820000002</v>
      </c>
      <c r="EC13" s="28">
        <f t="shared" si="82"/>
        <v>301.804866</v>
      </c>
      <c r="ED13" s="28"/>
      <c r="EE13" s="13">
        <f>C13*0.12856/100</f>
        <v>3162.5760000000005</v>
      </c>
      <c r="EF13" s="13">
        <f t="shared" si="83"/>
        <v>84.1669464</v>
      </c>
      <c r="EG13" s="13">
        <f t="shared" si="84"/>
        <v>3246.7429464000006</v>
      </c>
      <c r="EH13" s="28">
        <f t="shared" si="85"/>
        <v>90.9870544</v>
      </c>
      <c r="EI13" s="28">
        <f t="shared" si="86"/>
        <v>152.497872</v>
      </c>
      <c r="EJ13" s="28"/>
      <c r="EK13" s="13">
        <f>C13*0.03415/100</f>
        <v>840.09</v>
      </c>
      <c r="EL13" s="13">
        <f t="shared" si="87"/>
        <v>22.357663499999997</v>
      </c>
      <c r="EM13" s="13">
        <f t="shared" si="88"/>
        <v>862.4476635</v>
      </c>
      <c r="EN13" s="28">
        <f t="shared" si="89"/>
        <v>24.169321</v>
      </c>
      <c r="EO13" s="28">
        <f t="shared" si="90"/>
        <v>40.50873</v>
      </c>
      <c r="EP13" s="28"/>
      <c r="EQ13" s="13">
        <f>C13*1.11619/100</f>
        <v>27458.273999999998</v>
      </c>
      <c r="ER13" s="13">
        <f t="shared" si="91"/>
        <v>730.7584311</v>
      </c>
      <c r="ES13" s="13">
        <f t="shared" si="92"/>
        <v>28189.032431099997</v>
      </c>
      <c r="ET13" s="28">
        <f t="shared" si="93"/>
        <v>789.9723106</v>
      </c>
      <c r="EU13" s="28">
        <f t="shared" si="94"/>
        <v>1324.024578</v>
      </c>
      <c r="EV13" s="28"/>
      <c r="EW13" s="13">
        <f>C13*4.55599/100</f>
        <v>112077.354</v>
      </c>
      <c r="EX13" s="13">
        <f t="shared" si="95"/>
        <v>2982.7610931000004</v>
      </c>
      <c r="EY13" s="13">
        <f t="shared" si="96"/>
        <v>115060.1150931</v>
      </c>
      <c r="EZ13" s="28">
        <f t="shared" si="97"/>
        <v>3224.4563626</v>
      </c>
      <c r="FA13" s="28">
        <f t="shared" si="98"/>
        <v>5404.315338</v>
      </c>
      <c r="FB13" s="28"/>
      <c r="FC13" s="13">
        <f>C13*0.07571/100</f>
        <v>1862.4660000000001</v>
      </c>
      <c r="FD13" s="13">
        <f t="shared" si="99"/>
        <v>49.566579899999994</v>
      </c>
      <c r="FE13" s="13">
        <f t="shared" si="100"/>
        <v>1912.0325799000002</v>
      </c>
      <c r="FF13" s="28">
        <f t="shared" si="101"/>
        <v>53.5829954</v>
      </c>
      <c r="FG13" s="28">
        <f t="shared" si="102"/>
        <v>89.807202</v>
      </c>
      <c r="FH13" s="28"/>
      <c r="FI13" s="13">
        <f>C13*0.91696/100</f>
        <v>22557.216</v>
      </c>
      <c r="FJ13" s="13">
        <f t="shared" si="103"/>
        <v>600.3245424</v>
      </c>
      <c r="FK13" s="13">
        <f t="shared" si="104"/>
        <v>23157.540542400002</v>
      </c>
      <c r="FL13" s="28">
        <f t="shared" si="105"/>
        <v>648.9692704</v>
      </c>
      <c r="FM13" s="28">
        <f t="shared" si="106"/>
        <v>1087.697952</v>
      </c>
      <c r="FN13" s="28"/>
      <c r="FO13" s="13">
        <f>C13*0.38062/100</f>
        <v>9363.252</v>
      </c>
      <c r="FP13" s="13">
        <f t="shared" si="107"/>
        <v>249.1881078</v>
      </c>
      <c r="FQ13" s="13">
        <f t="shared" si="108"/>
        <v>9612.440107800001</v>
      </c>
      <c r="FR13" s="28">
        <f t="shared" si="109"/>
        <v>269.3799988</v>
      </c>
      <c r="FS13" s="28">
        <f t="shared" si="110"/>
        <v>451.491444</v>
      </c>
      <c r="FT13" s="28"/>
    </row>
    <row r="14" spans="1:176" s="30" customFormat="1" ht="12.75">
      <c r="A14" s="29">
        <v>44835</v>
      </c>
      <c r="C14" s="20"/>
      <c r="D14" s="20">
        <v>34719</v>
      </c>
      <c r="E14" s="14">
        <f t="shared" si="0"/>
        <v>34719</v>
      </c>
      <c r="F14" s="14">
        <v>70774</v>
      </c>
      <c r="G14" s="14">
        <v>118620</v>
      </c>
      <c r="H14" s="28"/>
      <c r="I14" s="13"/>
      <c r="J14" s="13">
        <f t="shared" si="1"/>
        <v>2763.8719610999997</v>
      </c>
      <c r="K14" s="28">
        <f t="shared" si="2"/>
        <v>2763.8719610999997</v>
      </c>
      <c r="L14" s="28">
        <f t="shared" si="3"/>
        <v>5634.0987405999995</v>
      </c>
      <c r="M14" s="28">
        <f t="shared" si="4"/>
        <v>9442.970478</v>
      </c>
      <c r="N14" s="28"/>
      <c r="O14" s="13"/>
      <c r="P14" s="13">
        <f t="shared" si="5"/>
        <v>3076.6693197</v>
      </c>
      <c r="Q14" s="13">
        <f t="shared" si="6"/>
        <v>3076.6693197</v>
      </c>
      <c r="R14" s="28">
        <f t="shared" si="7"/>
        <v>6271.730016199999</v>
      </c>
      <c r="S14" s="28">
        <f t="shared" si="8"/>
        <v>10511.665506</v>
      </c>
      <c r="T14" s="28"/>
      <c r="U14" s="28"/>
      <c r="V14" s="13">
        <f t="shared" si="9"/>
        <v>1136.1063651</v>
      </c>
      <c r="W14" s="13">
        <f t="shared" si="10"/>
        <v>1136.1063651</v>
      </c>
      <c r="X14" s="28">
        <f t="shared" si="11"/>
        <v>2315.9305246</v>
      </c>
      <c r="Y14" s="28">
        <f t="shared" si="12"/>
        <v>3881.590398</v>
      </c>
      <c r="Z14" s="28"/>
      <c r="AA14" s="13"/>
      <c r="AB14" s="13">
        <f t="shared" si="13"/>
        <v>848.7510897</v>
      </c>
      <c r="AC14" s="13">
        <f t="shared" si="14"/>
        <v>848.7510897</v>
      </c>
      <c r="AD14" s="28">
        <f t="shared" si="15"/>
        <v>1730.1624362</v>
      </c>
      <c r="AE14" s="28">
        <f t="shared" si="16"/>
        <v>2899.820106</v>
      </c>
      <c r="AF14" s="13"/>
      <c r="AG14" s="13"/>
      <c r="AH14" s="13">
        <f t="shared" si="17"/>
        <v>84.2317659</v>
      </c>
      <c r="AI14" s="13">
        <f t="shared" si="18"/>
        <v>84.2317659</v>
      </c>
      <c r="AJ14" s="28">
        <f t="shared" si="19"/>
        <v>171.7048014</v>
      </c>
      <c r="AK14" s="28">
        <f t="shared" si="20"/>
        <v>287.783982</v>
      </c>
      <c r="AL14" s="28"/>
      <c r="AM14" s="13"/>
      <c r="AN14" s="13">
        <f t="shared" si="21"/>
        <v>1130.0548434</v>
      </c>
      <c r="AO14" s="13">
        <f t="shared" si="22"/>
        <v>1130.0548434</v>
      </c>
      <c r="AP14" s="28">
        <f t="shared" si="23"/>
        <v>2303.5946163999997</v>
      </c>
      <c r="AQ14" s="28">
        <f t="shared" si="24"/>
        <v>3860.9149319999997</v>
      </c>
      <c r="AR14" s="13"/>
      <c r="AS14" s="13"/>
      <c r="AT14" s="13">
        <f t="shared" si="25"/>
        <v>8256.563580900001</v>
      </c>
      <c r="AU14" s="13">
        <f t="shared" si="26"/>
        <v>8256.563580900001</v>
      </c>
      <c r="AV14" s="28">
        <f t="shared" si="27"/>
        <v>16830.8427914</v>
      </c>
      <c r="AW14" s="28">
        <f t="shared" si="28"/>
        <v>28209.152682</v>
      </c>
      <c r="AX14" s="28"/>
      <c r="AY14" s="13"/>
      <c r="AZ14" s="13">
        <f t="shared" si="29"/>
        <v>0.138876</v>
      </c>
      <c r="BA14" s="13">
        <f t="shared" si="30"/>
        <v>0.138876</v>
      </c>
      <c r="BB14" s="28"/>
      <c r="BC14" s="28"/>
      <c r="BD14" s="28"/>
      <c r="BE14" s="13"/>
      <c r="BF14" s="13">
        <f t="shared" si="31"/>
        <v>47.4400416</v>
      </c>
      <c r="BG14" s="13">
        <f t="shared" si="32"/>
        <v>47.4400416</v>
      </c>
      <c r="BH14" s="28">
        <f t="shared" si="33"/>
        <v>96.7055936</v>
      </c>
      <c r="BI14" s="28">
        <f t="shared" si="34"/>
        <v>162.082368</v>
      </c>
      <c r="BJ14" s="28"/>
      <c r="BK14" s="13"/>
      <c r="BL14" s="13">
        <f t="shared" si="35"/>
        <v>305.0932125</v>
      </c>
      <c r="BM14" s="13">
        <f t="shared" si="36"/>
        <v>305.0932125</v>
      </c>
      <c r="BN14" s="28">
        <f t="shared" si="37"/>
        <v>621.926525</v>
      </c>
      <c r="BO14" s="28">
        <f t="shared" si="38"/>
        <v>1042.37325</v>
      </c>
      <c r="BP14" s="28"/>
      <c r="BQ14" s="13"/>
      <c r="BR14" s="13">
        <f t="shared" si="39"/>
        <v>197.0546283</v>
      </c>
      <c r="BS14" s="13">
        <f t="shared" si="40"/>
        <v>197.0546283</v>
      </c>
      <c r="BT14" s="28">
        <f t="shared" si="41"/>
        <v>401.6919918</v>
      </c>
      <c r="BU14" s="28">
        <f t="shared" si="42"/>
        <v>673.251534</v>
      </c>
      <c r="BV14" s="13"/>
      <c r="BW14" s="13"/>
      <c r="BX14" s="13">
        <f t="shared" si="43"/>
        <v>758.6587566000001</v>
      </c>
      <c r="BY14" s="13">
        <f t="shared" si="44"/>
        <v>758.6587566000001</v>
      </c>
      <c r="BZ14" s="28">
        <f t="shared" si="45"/>
        <v>1546.5109836</v>
      </c>
      <c r="CA14" s="28">
        <f t="shared" si="46"/>
        <v>2592.013068</v>
      </c>
      <c r="CB14" s="28"/>
      <c r="CC14" s="13"/>
      <c r="CD14" s="13">
        <f t="shared" si="47"/>
        <v>48.3149604</v>
      </c>
      <c r="CE14" s="13">
        <f t="shared" si="48"/>
        <v>48.3149604</v>
      </c>
      <c r="CF14" s="28">
        <f t="shared" si="49"/>
        <v>98.4890984</v>
      </c>
      <c r="CG14" s="28">
        <f t="shared" si="50"/>
        <v>165.071592</v>
      </c>
      <c r="CH14" s="28"/>
      <c r="CI14" s="13"/>
      <c r="CJ14" s="13">
        <f t="shared" si="51"/>
        <v>130.7691135</v>
      </c>
      <c r="CK14" s="13">
        <f t="shared" si="52"/>
        <v>130.7691135</v>
      </c>
      <c r="CL14" s="28">
        <f t="shared" si="53"/>
        <v>266.570271</v>
      </c>
      <c r="CM14" s="28">
        <f t="shared" si="54"/>
        <v>446.78222999999997</v>
      </c>
      <c r="CN14" s="28"/>
      <c r="CO14" s="13"/>
      <c r="CP14" s="13">
        <f t="shared" si="55"/>
        <v>550.7370813</v>
      </c>
      <c r="CQ14" s="13">
        <f t="shared" si="56"/>
        <v>550.7370813</v>
      </c>
      <c r="CR14" s="28">
        <f t="shared" si="57"/>
        <v>1122.6667298</v>
      </c>
      <c r="CS14" s="28">
        <f t="shared" si="58"/>
        <v>1881.633474</v>
      </c>
      <c r="CT14" s="28"/>
      <c r="CU14" s="13"/>
      <c r="CV14" s="13">
        <f t="shared" si="59"/>
        <v>24.921298199999995</v>
      </c>
      <c r="CW14" s="13">
        <f t="shared" si="60"/>
        <v>24.921298199999995</v>
      </c>
      <c r="CX14" s="28">
        <f t="shared" si="61"/>
        <v>50.8015772</v>
      </c>
      <c r="CY14" s="28">
        <f t="shared" si="62"/>
        <v>85.145436</v>
      </c>
      <c r="CZ14" s="28"/>
      <c r="DA14" s="13"/>
      <c r="DB14" s="13">
        <f t="shared" si="63"/>
        <v>352.15828890000006</v>
      </c>
      <c r="DC14" s="13">
        <f t="shared" si="64"/>
        <v>352.15828890000006</v>
      </c>
      <c r="DD14" s="28">
        <f t="shared" si="65"/>
        <v>717.8677594000001</v>
      </c>
      <c r="DE14" s="28">
        <f t="shared" si="66"/>
        <v>1203.174522</v>
      </c>
      <c r="DF14" s="28"/>
      <c r="DG14" s="13"/>
      <c r="DH14" s="28">
        <f t="shared" si="67"/>
        <v>168.5121384</v>
      </c>
      <c r="DI14" s="13">
        <f t="shared" si="68"/>
        <v>168.5121384</v>
      </c>
      <c r="DJ14" s="28">
        <f t="shared" si="69"/>
        <v>343.5086864</v>
      </c>
      <c r="DK14" s="28">
        <f t="shared" si="70"/>
        <v>575.734032</v>
      </c>
      <c r="DL14" s="28"/>
      <c r="DM14" s="13"/>
      <c r="DN14" s="13">
        <f t="shared" si="71"/>
        <v>279.8455557</v>
      </c>
      <c r="DO14" s="13">
        <f t="shared" si="72"/>
        <v>279.8455557</v>
      </c>
      <c r="DP14" s="28">
        <f t="shared" si="73"/>
        <v>570.4596722</v>
      </c>
      <c r="DQ14" s="28">
        <f t="shared" si="74"/>
        <v>956.1127859999999</v>
      </c>
      <c r="DR14" s="28"/>
      <c r="DS14" s="13"/>
      <c r="DT14" s="13">
        <f t="shared" si="75"/>
        <v>851.1814197000001</v>
      </c>
      <c r="DU14" s="13">
        <f t="shared" si="76"/>
        <v>851.1814197000001</v>
      </c>
      <c r="DV14" s="28">
        <f t="shared" si="77"/>
        <v>1735.1166162000002</v>
      </c>
      <c r="DW14" s="28">
        <f t="shared" si="78"/>
        <v>2908.1235060000004</v>
      </c>
      <c r="DX14" s="28"/>
      <c r="DY14" s="13"/>
      <c r="DZ14" s="13">
        <f t="shared" si="79"/>
        <v>88.3355517</v>
      </c>
      <c r="EA14" s="13">
        <f t="shared" si="80"/>
        <v>88.3355517</v>
      </c>
      <c r="EB14" s="28">
        <f t="shared" si="81"/>
        <v>180.07028820000002</v>
      </c>
      <c r="EC14" s="28">
        <f t="shared" si="82"/>
        <v>301.804866</v>
      </c>
      <c r="ED14" s="28"/>
      <c r="EE14" s="13"/>
      <c r="EF14" s="13">
        <f t="shared" si="83"/>
        <v>44.634746400000004</v>
      </c>
      <c r="EG14" s="13">
        <f t="shared" si="84"/>
        <v>44.634746400000004</v>
      </c>
      <c r="EH14" s="28">
        <f t="shared" si="85"/>
        <v>90.9870544</v>
      </c>
      <c r="EI14" s="28">
        <f t="shared" si="86"/>
        <v>152.497872</v>
      </c>
      <c r="EJ14" s="28"/>
      <c r="EK14" s="13"/>
      <c r="EL14" s="13">
        <f t="shared" si="87"/>
        <v>11.8565385</v>
      </c>
      <c r="EM14" s="13">
        <f t="shared" si="88"/>
        <v>11.8565385</v>
      </c>
      <c r="EN14" s="28">
        <f t="shared" si="89"/>
        <v>24.169321</v>
      </c>
      <c r="EO14" s="28">
        <f t="shared" si="90"/>
        <v>40.50873</v>
      </c>
      <c r="EP14" s="28"/>
      <c r="EQ14" s="13"/>
      <c r="ER14" s="13">
        <f t="shared" si="91"/>
        <v>387.53000610000004</v>
      </c>
      <c r="ES14" s="13">
        <f t="shared" si="92"/>
        <v>387.53000610000004</v>
      </c>
      <c r="ET14" s="28">
        <f t="shared" si="93"/>
        <v>789.9723106</v>
      </c>
      <c r="EU14" s="28">
        <f t="shared" si="94"/>
        <v>1324.024578</v>
      </c>
      <c r="EV14" s="28"/>
      <c r="EW14" s="13"/>
      <c r="EX14" s="13">
        <f t="shared" si="95"/>
        <v>1581.7941681000002</v>
      </c>
      <c r="EY14" s="13">
        <f t="shared" si="96"/>
        <v>1581.7941681000002</v>
      </c>
      <c r="EZ14" s="28">
        <f t="shared" si="97"/>
        <v>3224.4563626</v>
      </c>
      <c r="FA14" s="28">
        <f t="shared" si="98"/>
        <v>5404.315338</v>
      </c>
      <c r="FB14" s="28"/>
      <c r="FC14" s="13"/>
      <c r="FD14" s="13">
        <f t="shared" si="99"/>
        <v>26.2857549</v>
      </c>
      <c r="FE14" s="13">
        <f t="shared" si="100"/>
        <v>26.2857549</v>
      </c>
      <c r="FF14" s="28">
        <f t="shared" si="101"/>
        <v>53.5829954</v>
      </c>
      <c r="FG14" s="28">
        <f t="shared" si="102"/>
        <v>89.807202</v>
      </c>
      <c r="FH14" s="28"/>
      <c r="FI14" s="13"/>
      <c r="FJ14" s="13">
        <f t="shared" si="103"/>
        <v>318.3593424</v>
      </c>
      <c r="FK14" s="13">
        <f t="shared" si="104"/>
        <v>318.3593424</v>
      </c>
      <c r="FL14" s="28">
        <f t="shared" si="105"/>
        <v>648.9692704</v>
      </c>
      <c r="FM14" s="28">
        <f t="shared" si="106"/>
        <v>1087.697952</v>
      </c>
      <c r="FN14" s="28"/>
      <c r="FO14" s="13"/>
      <c r="FP14" s="13">
        <f t="shared" si="107"/>
        <v>132.1474578</v>
      </c>
      <c r="FQ14" s="13">
        <f t="shared" si="108"/>
        <v>132.1474578</v>
      </c>
      <c r="FR14" s="28">
        <f t="shared" si="109"/>
        <v>269.3799988</v>
      </c>
      <c r="FS14" s="28">
        <f t="shared" si="110"/>
        <v>451.491444</v>
      </c>
      <c r="FT14" s="28"/>
    </row>
    <row r="15" spans="1:176" s="30" customFormat="1" ht="12.75">
      <c r="A15" s="29">
        <v>45017</v>
      </c>
      <c r="C15" s="20">
        <v>2525000</v>
      </c>
      <c r="D15" s="20">
        <v>34719</v>
      </c>
      <c r="E15" s="14">
        <f t="shared" si="0"/>
        <v>2559719</v>
      </c>
      <c r="F15" s="14">
        <v>70782</v>
      </c>
      <c r="G15" s="14">
        <v>118629</v>
      </c>
      <c r="H15" s="28"/>
      <c r="I15" s="13">
        <f t="shared" si="111"/>
        <v>201007.4225</v>
      </c>
      <c r="J15" s="13">
        <f t="shared" si="1"/>
        <v>2763.8719610999997</v>
      </c>
      <c r="K15" s="28">
        <f t="shared" si="2"/>
        <v>203771.29446109998</v>
      </c>
      <c r="L15" s="28">
        <f t="shared" si="3"/>
        <v>5634.7355958</v>
      </c>
      <c r="M15" s="28">
        <f t="shared" si="4"/>
        <v>9443.686940099999</v>
      </c>
      <c r="N15" s="28"/>
      <c r="O15" s="13">
        <f t="shared" si="112"/>
        <v>223756.1575</v>
      </c>
      <c r="P15" s="13">
        <f t="shared" si="5"/>
        <v>3076.6693197</v>
      </c>
      <c r="Q15" s="13">
        <f t="shared" si="6"/>
        <v>226832.8268197</v>
      </c>
      <c r="R15" s="28">
        <f t="shared" si="7"/>
        <v>6272.438946599999</v>
      </c>
      <c r="S15" s="28">
        <f t="shared" si="8"/>
        <v>10512.463052699999</v>
      </c>
      <c r="T15" s="28"/>
      <c r="U15" s="28">
        <f t="shared" si="113"/>
        <v>82625.3225</v>
      </c>
      <c r="V15" s="13">
        <f t="shared" si="9"/>
        <v>1136.1063651</v>
      </c>
      <c r="W15" s="13">
        <f t="shared" si="10"/>
        <v>83761.4288651</v>
      </c>
      <c r="X15" s="28">
        <f t="shared" si="11"/>
        <v>2316.1923078</v>
      </c>
      <c r="Y15" s="28">
        <f t="shared" si="12"/>
        <v>3881.8849041</v>
      </c>
      <c r="Z15" s="28"/>
      <c r="AA15" s="13">
        <f t="shared" si="114"/>
        <v>61726.9075</v>
      </c>
      <c r="AB15" s="13">
        <f t="shared" si="13"/>
        <v>848.7510897</v>
      </c>
      <c r="AC15" s="13">
        <f t="shared" si="14"/>
        <v>62575.658589700004</v>
      </c>
      <c r="AD15" s="28">
        <f t="shared" si="15"/>
        <v>1730.3580066</v>
      </c>
      <c r="AE15" s="28">
        <f t="shared" si="16"/>
        <v>2900.0401227</v>
      </c>
      <c r="AF15" s="13"/>
      <c r="AG15" s="13">
        <f t="shared" si="115"/>
        <v>6125.9025</v>
      </c>
      <c r="AH15" s="13">
        <f t="shared" si="17"/>
        <v>84.2317659</v>
      </c>
      <c r="AI15" s="13">
        <f t="shared" si="18"/>
        <v>6210.1342659</v>
      </c>
      <c r="AJ15" s="28">
        <f t="shared" si="19"/>
        <v>171.72421020000002</v>
      </c>
      <c r="AK15" s="28">
        <f t="shared" si="20"/>
        <v>287.8058169</v>
      </c>
      <c r="AL15" s="28"/>
      <c r="AM15" s="13">
        <f>C15*3.25486/100</f>
        <v>82185.215</v>
      </c>
      <c r="AN15" s="13">
        <f t="shared" si="21"/>
        <v>1130.0548434</v>
      </c>
      <c r="AO15" s="13">
        <f t="shared" si="22"/>
        <v>83315.26984339999</v>
      </c>
      <c r="AP15" s="28">
        <f t="shared" si="23"/>
        <v>2303.8550051999996</v>
      </c>
      <c r="AQ15" s="28">
        <f t="shared" si="24"/>
        <v>3861.2078693999997</v>
      </c>
      <c r="AR15" s="13"/>
      <c r="AS15" s="13">
        <f>C15*23.78111/100</f>
        <v>600473.0275000001</v>
      </c>
      <c r="AT15" s="13">
        <f t="shared" si="25"/>
        <v>8256.563580900001</v>
      </c>
      <c r="AU15" s="13">
        <f t="shared" si="26"/>
        <v>608729.5910809</v>
      </c>
      <c r="AV15" s="28">
        <f t="shared" si="27"/>
        <v>16832.7452802</v>
      </c>
      <c r="AW15" s="28">
        <f t="shared" si="28"/>
        <v>28211.2929819</v>
      </c>
      <c r="AX15" s="28"/>
      <c r="AY15" s="13">
        <f>C15*0.0004/100</f>
        <v>10.1</v>
      </c>
      <c r="AZ15" s="13">
        <f t="shared" si="29"/>
        <v>0.138876</v>
      </c>
      <c r="BA15" s="13">
        <f t="shared" si="30"/>
        <v>10.238876</v>
      </c>
      <c r="BB15" s="28">
        <v>7</v>
      </c>
      <c r="BC15" s="28">
        <v>12</v>
      </c>
      <c r="BD15" s="28"/>
      <c r="BE15" s="13">
        <f>C15*0.13664/100</f>
        <v>3450.16</v>
      </c>
      <c r="BF15" s="13">
        <f t="shared" si="31"/>
        <v>47.4400416</v>
      </c>
      <c r="BG15" s="13">
        <f t="shared" si="32"/>
        <v>3497.6000415999997</v>
      </c>
      <c r="BH15" s="28">
        <f t="shared" si="33"/>
        <v>96.7165248</v>
      </c>
      <c r="BI15" s="28">
        <f t="shared" si="34"/>
        <v>162.0946656</v>
      </c>
      <c r="BJ15" s="28"/>
      <c r="BK15" s="13">
        <f>C15*0.87875/100</f>
        <v>22188.4375</v>
      </c>
      <c r="BL15" s="13">
        <f t="shared" si="35"/>
        <v>305.0932125</v>
      </c>
      <c r="BM15" s="13">
        <f t="shared" si="36"/>
        <v>22493.5307125</v>
      </c>
      <c r="BN15" s="28">
        <f t="shared" si="37"/>
        <v>621.9968250000001</v>
      </c>
      <c r="BO15" s="28">
        <f t="shared" si="38"/>
        <v>1042.4523375</v>
      </c>
      <c r="BP15" s="28"/>
      <c r="BQ15" s="13">
        <f>C15*0.56757/100</f>
        <v>14331.1425</v>
      </c>
      <c r="BR15" s="13">
        <f t="shared" si="39"/>
        <v>197.0546283</v>
      </c>
      <c r="BS15" s="13">
        <f t="shared" si="40"/>
        <v>14528.1971283</v>
      </c>
      <c r="BT15" s="28">
        <f t="shared" si="41"/>
        <v>401.73739739999996</v>
      </c>
      <c r="BU15" s="28">
        <f t="shared" si="42"/>
        <v>673.3026153</v>
      </c>
      <c r="BV15" s="13"/>
      <c r="BW15" s="13">
        <f>C15*2.18514/100</f>
        <v>55174.785</v>
      </c>
      <c r="BX15" s="13">
        <f t="shared" si="43"/>
        <v>758.6587566000001</v>
      </c>
      <c r="BY15" s="13">
        <f t="shared" si="44"/>
        <v>55933.443756600005</v>
      </c>
      <c r="BZ15" s="28">
        <f t="shared" si="45"/>
        <v>1546.6857948</v>
      </c>
      <c r="CA15" s="28">
        <f t="shared" si="46"/>
        <v>2592.2097306</v>
      </c>
      <c r="CB15" s="28"/>
      <c r="CC15" s="13">
        <f>C15*0.13916/100</f>
        <v>3513.79</v>
      </c>
      <c r="CD15" s="13">
        <f t="shared" si="47"/>
        <v>48.3149604</v>
      </c>
      <c r="CE15" s="13">
        <f t="shared" si="48"/>
        <v>3562.1049604</v>
      </c>
      <c r="CF15" s="28">
        <f t="shared" si="49"/>
        <v>98.5002312</v>
      </c>
      <c r="CG15" s="28">
        <f t="shared" si="50"/>
        <v>165.0841164</v>
      </c>
      <c r="CH15" s="28"/>
      <c r="CI15" s="13">
        <f>C15*0.37665/100</f>
        <v>9510.4125</v>
      </c>
      <c r="CJ15" s="13">
        <f t="shared" si="51"/>
        <v>130.7691135</v>
      </c>
      <c r="CK15" s="13">
        <f t="shared" si="52"/>
        <v>9641.1816135</v>
      </c>
      <c r="CL15" s="28">
        <f t="shared" si="53"/>
        <v>266.600403</v>
      </c>
      <c r="CM15" s="28">
        <f t="shared" si="54"/>
        <v>446.8161285</v>
      </c>
      <c r="CN15" s="28"/>
      <c r="CO15" s="13">
        <f>C15*1.58627/100</f>
        <v>40053.3175</v>
      </c>
      <c r="CP15" s="13">
        <f t="shared" si="55"/>
        <v>550.7370813</v>
      </c>
      <c r="CQ15" s="13">
        <f t="shared" si="56"/>
        <v>40604.0545813</v>
      </c>
      <c r="CR15" s="28">
        <f t="shared" si="57"/>
        <v>1122.7936314</v>
      </c>
      <c r="CS15" s="28">
        <f t="shared" si="58"/>
        <v>1881.7762383000002</v>
      </c>
      <c r="CT15" s="28"/>
      <c r="CU15" s="13">
        <f>C15*0.07178/100</f>
        <v>1812.445</v>
      </c>
      <c r="CV15" s="13">
        <f t="shared" si="59"/>
        <v>24.921298199999995</v>
      </c>
      <c r="CW15" s="13">
        <f t="shared" si="60"/>
        <v>1837.3662981999998</v>
      </c>
      <c r="CX15" s="28">
        <f t="shared" si="61"/>
        <v>50.8073196</v>
      </c>
      <c r="CY15" s="28">
        <f t="shared" si="62"/>
        <v>85.1518962</v>
      </c>
      <c r="CZ15" s="28"/>
      <c r="DA15" s="13">
        <f>C15*1.01431/100</f>
        <v>25611.3275</v>
      </c>
      <c r="DB15" s="13">
        <f t="shared" si="63"/>
        <v>352.15828890000006</v>
      </c>
      <c r="DC15" s="13">
        <f t="shared" si="64"/>
        <v>25963.485788899998</v>
      </c>
      <c r="DD15" s="28">
        <f t="shared" si="65"/>
        <v>717.9489042</v>
      </c>
      <c r="DE15" s="28">
        <f t="shared" si="66"/>
        <v>1203.2658099</v>
      </c>
      <c r="DF15" s="28"/>
      <c r="DG15" s="13">
        <f>C15*0.48536/100</f>
        <v>12255.34</v>
      </c>
      <c r="DH15" s="28">
        <f t="shared" si="67"/>
        <v>168.5121384</v>
      </c>
      <c r="DI15" s="13">
        <f t="shared" si="68"/>
        <v>12423.8521384</v>
      </c>
      <c r="DJ15" s="28">
        <f t="shared" si="69"/>
        <v>343.54751519999996</v>
      </c>
      <c r="DK15" s="28">
        <f t="shared" si="70"/>
        <v>575.7777143999999</v>
      </c>
      <c r="DL15" s="28"/>
      <c r="DM15" s="13">
        <f>C15*0.80603/100</f>
        <v>20352.2575</v>
      </c>
      <c r="DN15" s="13">
        <f t="shared" si="71"/>
        <v>279.8455557</v>
      </c>
      <c r="DO15" s="13">
        <f t="shared" si="72"/>
        <v>20632.1030557</v>
      </c>
      <c r="DP15" s="28">
        <f t="shared" si="73"/>
        <v>570.5241546</v>
      </c>
      <c r="DQ15" s="28">
        <f t="shared" si="74"/>
        <v>956.1853286999999</v>
      </c>
      <c r="DR15" s="28"/>
      <c r="DS15" s="13">
        <f>C15*2.45163/100</f>
        <v>61903.65750000001</v>
      </c>
      <c r="DT15" s="13">
        <f t="shared" si="75"/>
        <v>851.1814197000001</v>
      </c>
      <c r="DU15" s="13">
        <f t="shared" si="76"/>
        <v>62754.83891970001</v>
      </c>
      <c r="DV15" s="28">
        <f t="shared" si="77"/>
        <v>1735.3127466</v>
      </c>
      <c r="DW15" s="28">
        <f t="shared" si="78"/>
        <v>2908.3441527</v>
      </c>
      <c r="DX15" s="28"/>
      <c r="DY15" s="13">
        <f>C15*0.25443/100</f>
        <v>6424.3575</v>
      </c>
      <c r="DZ15" s="13">
        <f t="shared" si="79"/>
        <v>88.3355517</v>
      </c>
      <c r="EA15" s="13">
        <f t="shared" si="80"/>
        <v>6512.6930517</v>
      </c>
      <c r="EB15" s="28">
        <f t="shared" si="81"/>
        <v>180.09064260000002</v>
      </c>
      <c r="EC15" s="28">
        <f t="shared" si="82"/>
        <v>301.82776470000005</v>
      </c>
      <c r="ED15" s="28"/>
      <c r="EE15" s="13">
        <f>C15*0.12856/100</f>
        <v>3246.14</v>
      </c>
      <c r="EF15" s="13">
        <f t="shared" si="83"/>
        <v>44.634746400000004</v>
      </c>
      <c r="EG15" s="13">
        <f t="shared" si="84"/>
        <v>3290.7747464</v>
      </c>
      <c r="EH15" s="28">
        <f t="shared" si="85"/>
        <v>90.9973392</v>
      </c>
      <c r="EI15" s="28">
        <f t="shared" si="86"/>
        <v>152.5094424</v>
      </c>
      <c r="EJ15" s="28"/>
      <c r="EK15" s="13">
        <f>C15*0.03415/100</f>
        <v>862.2875</v>
      </c>
      <c r="EL15" s="13">
        <f t="shared" si="87"/>
        <v>11.8565385</v>
      </c>
      <c r="EM15" s="13">
        <f t="shared" si="88"/>
        <v>874.1440385000001</v>
      </c>
      <c r="EN15" s="28">
        <f t="shared" si="89"/>
        <v>24.172053000000002</v>
      </c>
      <c r="EO15" s="28">
        <f t="shared" si="90"/>
        <v>40.5118035</v>
      </c>
      <c r="EP15" s="28"/>
      <c r="EQ15" s="13">
        <f>C15*1.11619/100</f>
        <v>28183.7975</v>
      </c>
      <c r="ER15" s="13">
        <f t="shared" si="91"/>
        <v>387.53000610000004</v>
      </c>
      <c r="ES15" s="13">
        <f t="shared" si="92"/>
        <v>28571.327506100002</v>
      </c>
      <c r="ET15" s="28">
        <f t="shared" si="93"/>
        <v>790.0616058</v>
      </c>
      <c r="EU15" s="28">
        <f t="shared" si="94"/>
        <v>1324.1250351</v>
      </c>
      <c r="EV15" s="28"/>
      <c r="EW15" s="13">
        <f>C15*4.55599/100</f>
        <v>115038.74750000001</v>
      </c>
      <c r="EX15" s="13">
        <f t="shared" si="95"/>
        <v>1581.7941681000002</v>
      </c>
      <c r="EY15" s="13">
        <f t="shared" si="96"/>
        <v>116620.5416681</v>
      </c>
      <c r="EZ15" s="28">
        <f t="shared" si="97"/>
        <v>3224.8208418</v>
      </c>
      <c r="FA15" s="28">
        <f t="shared" si="98"/>
        <v>5404.7253771</v>
      </c>
      <c r="FB15" s="28"/>
      <c r="FC15" s="13">
        <f>C15*0.07571/100</f>
        <v>1911.6775</v>
      </c>
      <c r="FD15" s="13">
        <f t="shared" si="99"/>
        <v>26.2857549</v>
      </c>
      <c r="FE15" s="13">
        <f t="shared" si="100"/>
        <v>1937.9632549</v>
      </c>
      <c r="FF15" s="28">
        <f t="shared" si="101"/>
        <v>53.589052200000005</v>
      </c>
      <c r="FG15" s="28">
        <f t="shared" si="102"/>
        <v>89.8140159</v>
      </c>
      <c r="FH15" s="28"/>
      <c r="FI15" s="13">
        <f>C15*0.91696/100</f>
        <v>23153.24</v>
      </c>
      <c r="FJ15" s="13">
        <f t="shared" si="103"/>
        <v>318.3593424</v>
      </c>
      <c r="FK15" s="13">
        <f t="shared" si="104"/>
        <v>23471.5993424</v>
      </c>
      <c r="FL15" s="28">
        <f t="shared" si="105"/>
        <v>649.0426272</v>
      </c>
      <c r="FM15" s="28">
        <f t="shared" si="106"/>
        <v>1087.7804784</v>
      </c>
      <c r="FN15" s="28"/>
      <c r="FO15" s="13">
        <f>C15*0.38062/100</f>
        <v>9610.655</v>
      </c>
      <c r="FP15" s="13">
        <f t="shared" si="107"/>
        <v>132.1474578</v>
      </c>
      <c r="FQ15" s="13">
        <f t="shared" si="108"/>
        <v>9742.8024578</v>
      </c>
      <c r="FR15" s="28">
        <f t="shared" si="109"/>
        <v>269.4104484</v>
      </c>
      <c r="FS15" s="28">
        <f t="shared" si="110"/>
        <v>451.5256998</v>
      </c>
      <c r="FT15" s="28"/>
    </row>
    <row r="16" spans="1:176" s="30" customFormat="1" ht="12.75">
      <c r="A16" s="29">
        <v>45200</v>
      </c>
      <c r="C16" s="20"/>
      <c r="D16" s="20"/>
      <c r="E16" s="14">
        <f t="shared" si="0"/>
        <v>0</v>
      </c>
      <c r="F16" s="14"/>
      <c r="G16" s="14"/>
      <c r="H16" s="28"/>
      <c r="I16" s="13"/>
      <c r="J16" s="13">
        <f t="shared" si="1"/>
        <v>0</v>
      </c>
      <c r="K16" s="28">
        <f t="shared" si="2"/>
        <v>0</v>
      </c>
      <c r="L16" s="28">
        <f t="shared" si="3"/>
        <v>0</v>
      </c>
      <c r="M16" s="28">
        <f t="shared" si="4"/>
        <v>0</v>
      </c>
      <c r="N16" s="28"/>
      <c r="O16" s="13"/>
      <c r="P16" s="13">
        <f t="shared" si="5"/>
        <v>0</v>
      </c>
      <c r="Q16" s="13">
        <f t="shared" si="6"/>
        <v>0</v>
      </c>
      <c r="R16" s="28">
        <f t="shared" si="7"/>
        <v>0</v>
      </c>
      <c r="S16" s="28">
        <f t="shared" si="8"/>
        <v>0</v>
      </c>
      <c r="T16" s="28"/>
      <c r="U16" s="28"/>
      <c r="V16" s="13">
        <f t="shared" si="9"/>
        <v>0</v>
      </c>
      <c r="W16" s="13">
        <f t="shared" si="10"/>
        <v>0</v>
      </c>
      <c r="X16" s="28">
        <f t="shared" si="11"/>
        <v>0</v>
      </c>
      <c r="Y16" s="28">
        <f t="shared" si="12"/>
        <v>0</v>
      </c>
      <c r="Z16" s="28"/>
      <c r="AA16" s="13"/>
      <c r="AB16" s="13">
        <f t="shared" si="13"/>
        <v>0</v>
      </c>
      <c r="AC16" s="13">
        <f t="shared" si="14"/>
        <v>0</v>
      </c>
      <c r="AD16" s="28">
        <f t="shared" si="15"/>
        <v>0</v>
      </c>
      <c r="AE16" s="28">
        <f t="shared" si="16"/>
        <v>0</v>
      </c>
      <c r="AF16" s="13"/>
      <c r="AG16" s="13"/>
      <c r="AH16" s="13">
        <f t="shared" si="17"/>
        <v>0</v>
      </c>
      <c r="AI16" s="13">
        <f t="shared" si="18"/>
        <v>0</v>
      </c>
      <c r="AJ16" s="28">
        <f t="shared" si="19"/>
        <v>0</v>
      </c>
      <c r="AK16" s="28">
        <f t="shared" si="20"/>
        <v>0</v>
      </c>
      <c r="AL16" s="28"/>
      <c r="AM16" s="13"/>
      <c r="AN16" s="13">
        <f t="shared" si="21"/>
        <v>0</v>
      </c>
      <c r="AO16" s="13">
        <f t="shared" si="22"/>
        <v>0</v>
      </c>
      <c r="AP16" s="28">
        <f t="shared" si="23"/>
        <v>0</v>
      </c>
      <c r="AQ16" s="28">
        <f t="shared" si="24"/>
        <v>0</v>
      </c>
      <c r="AR16" s="13"/>
      <c r="AS16" s="13"/>
      <c r="AT16" s="13">
        <f t="shared" si="25"/>
        <v>0</v>
      </c>
      <c r="AU16" s="13">
        <f t="shared" si="26"/>
        <v>0</v>
      </c>
      <c r="AV16" s="28">
        <f t="shared" si="27"/>
        <v>0</v>
      </c>
      <c r="AW16" s="28">
        <f t="shared" si="28"/>
        <v>0</v>
      </c>
      <c r="AX16" s="28"/>
      <c r="AY16" s="13"/>
      <c r="AZ16" s="13">
        <f t="shared" si="29"/>
        <v>0</v>
      </c>
      <c r="BA16" s="13">
        <f t="shared" si="30"/>
        <v>0</v>
      </c>
      <c r="BB16" s="28">
        <f>AZ$6*$F16</f>
        <v>0</v>
      </c>
      <c r="BC16" s="28">
        <f>AZ$6*$G16</f>
        <v>0</v>
      </c>
      <c r="BD16" s="28"/>
      <c r="BE16" s="13"/>
      <c r="BF16" s="13">
        <f t="shared" si="31"/>
        <v>0</v>
      </c>
      <c r="BG16" s="13">
        <f t="shared" si="32"/>
        <v>0</v>
      </c>
      <c r="BH16" s="28">
        <f t="shared" si="33"/>
        <v>0</v>
      </c>
      <c r="BI16" s="28">
        <f t="shared" si="34"/>
        <v>0</v>
      </c>
      <c r="BJ16" s="28"/>
      <c r="BK16" s="13"/>
      <c r="BL16" s="13">
        <f t="shared" si="35"/>
        <v>0</v>
      </c>
      <c r="BM16" s="13">
        <f t="shared" si="36"/>
        <v>0</v>
      </c>
      <c r="BN16" s="28">
        <f t="shared" si="37"/>
        <v>0</v>
      </c>
      <c r="BO16" s="28">
        <f t="shared" si="38"/>
        <v>0</v>
      </c>
      <c r="BP16" s="28"/>
      <c r="BQ16" s="13"/>
      <c r="BR16" s="13">
        <f t="shared" si="39"/>
        <v>0</v>
      </c>
      <c r="BS16" s="13">
        <f t="shared" si="40"/>
        <v>0</v>
      </c>
      <c r="BT16" s="28">
        <f t="shared" si="41"/>
        <v>0</v>
      </c>
      <c r="BU16" s="28">
        <f t="shared" si="42"/>
        <v>0</v>
      </c>
      <c r="BV16" s="13"/>
      <c r="BW16" s="13"/>
      <c r="BX16" s="13">
        <f t="shared" si="43"/>
        <v>0</v>
      </c>
      <c r="BY16" s="13">
        <f t="shared" si="44"/>
        <v>0</v>
      </c>
      <c r="BZ16" s="28">
        <f t="shared" si="45"/>
        <v>0</v>
      </c>
      <c r="CA16" s="28">
        <f t="shared" si="46"/>
        <v>0</v>
      </c>
      <c r="CB16" s="28"/>
      <c r="CC16" s="13"/>
      <c r="CD16" s="13">
        <f t="shared" si="47"/>
        <v>0</v>
      </c>
      <c r="CE16" s="13">
        <f t="shared" si="48"/>
        <v>0</v>
      </c>
      <c r="CF16" s="28">
        <f t="shared" si="49"/>
        <v>0</v>
      </c>
      <c r="CG16" s="28">
        <f t="shared" si="50"/>
        <v>0</v>
      </c>
      <c r="CH16" s="28"/>
      <c r="CI16" s="13"/>
      <c r="CJ16" s="13">
        <f t="shared" si="51"/>
        <v>0</v>
      </c>
      <c r="CK16" s="13">
        <f t="shared" si="52"/>
        <v>0</v>
      </c>
      <c r="CL16" s="28">
        <f t="shared" si="53"/>
        <v>0</v>
      </c>
      <c r="CM16" s="28">
        <f t="shared" si="54"/>
        <v>0</v>
      </c>
      <c r="CN16" s="28"/>
      <c r="CO16" s="13"/>
      <c r="CP16" s="13">
        <f t="shared" si="55"/>
        <v>0</v>
      </c>
      <c r="CQ16" s="13">
        <f t="shared" si="56"/>
        <v>0</v>
      </c>
      <c r="CR16" s="28">
        <f t="shared" si="57"/>
        <v>0</v>
      </c>
      <c r="CS16" s="28">
        <f t="shared" si="58"/>
        <v>0</v>
      </c>
      <c r="CT16" s="28"/>
      <c r="CU16" s="13"/>
      <c r="CV16" s="13">
        <f t="shared" si="59"/>
        <v>0</v>
      </c>
      <c r="CW16" s="13">
        <f t="shared" si="60"/>
        <v>0</v>
      </c>
      <c r="CX16" s="28">
        <f t="shared" si="61"/>
        <v>0</v>
      </c>
      <c r="CY16" s="28">
        <f t="shared" si="62"/>
        <v>0</v>
      </c>
      <c r="CZ16" s="28"/>
      <c r="DA16" s="13"/>
      <c r="DB16" s="13">
        <f t="shared" si="63"/>
        <v>0</v>
      </c>
      <c r="DC16" s="13">
        <f t="shared" si="64"/>
        <v>0</v>
      </c>
      <c r="DD16" s="28">
        <f t="shared" si="65"/>
        <v>0</v>
      </c>
      <c r="DE16" s="28">
        <f t="shared" si="66"/>
        <v>0</v>
      </c>
      <c r="DF16" s="28"/>
      <c r="DG16" s="13"/>
      <c r="DH16" s="28">
        <f t="shared" si="67"/>
        <v>0</v>
      </c>
      <c r="DI16" s="13">
        <f t="shared" si="68"/>
        <v>0</v>
      </c>
      <c r="DJ16" s="28">
        <f t="shared" si="69"/>
        <v>0</v>
      </c>
      <c r="DK16" s="28">
        <f t="shared" si="70"/>
        <v>0</v>
      </c>
      <c r="DL16" s="28"/>
      <c r="DM16" s="13"/>
      <c r="DN16" s="13">
        <f t="shared" si="71"/>
        <v>0</v>
      </c>
      <c r="DO16" s="13">
        <f t="shared" si="72"/>
        <v>0</v>
      </c>
      <c r="DP16" s="28">
        <f t="shared" si="73"/>
        <v>0</v>
      </c>
      <c r="DQ16" s="28">
        <f t="shared" si="74"/>
        <v>0</v>
      </c>
      <c r="DR16" s="28"/>
      <c r="DS16" s="13"/>
      <c r="DT16" s="13">
        <f t="shared" si="75"/>
        <v>0</v>
      </c>
      <c r="DU16" s="13">
        <f t="shared" si="76"/>
        <v>0</v>
      </c>
      <c r="DV16" s="28">
        <f t="shared" si="77"/>
        <v>0</v>
      </c>
      <c r="DW16" s="28">
        <f t="shared" si="78"/>
        <v>0</v>
      </c>
      <c r="DX16" s="28"/>
      <c r="DY16" s="13"/>
      <c r="DZ16" s="13">
        <f t="shared" si="79"/>
        <v>0</v>
      </c>
      <c r="EA16" s="13">
        <f t="shared" si="80"/>
        <v>0</v>
      </c>
      <c r="EB16" s="28">
        <f t="shared" si="81"/>
        <v>0</v>
      </c>
      <c r="EC16" s="28">
        <f t="shared" si="82"/>
        <v>0</v>
      </c>
      <c r="ED16" s="28"/>
      <c r="EE16" s="13"/>
      <c r="EF16" s="13">
        <f t="shared" si="83"/>
        <v>0</v>
      </c>
      <c r="EG16" s="13">
        <f t="shared" si="84"/>
        <v>0</v>
      </c>
      <c r="EH16" s="28">
        <f t="shared" si="85"/>
        <v>0</v>
      </c>
      <c r="EI16" s="28">
        <f t="shared" si="86"/>
        <v>0</v>
      </c>
      <c r="EJ16" s="28"/>
      <c r="EK16" s="13"/>
      <c r="EL16" s="13">
        <f t="shared" si="87"/>
        <v>0</v>
      </c>
      <c r="EM16" s="13">
        <f t="shared" si="88"/>
        <v>0</v>
      </c>
      <c r="EN16" s="28">
        <f t="shared" si="89"/>
        <v>0</v>
      </c>
      <c r="EO16" s="28">
        <f t="shared" si="90"/>
        <v>0</v>
      </c>
      <c r="EP16" s="28"/>
      <c r="EQ16" s="13"/>
      <c r="ER16" s="13">
        <f t="shared" si="91"/>
        <v>0</v>
      </c>
      <c r="ES16" s="13">
        <f t="shared" si="92"/>
        <v>0</v>
      </c>
      <c r="ET16" s="28">
        <f t="shared" si="93"/>
        <v>0</v>
      </c>
      <c r="EU16" s="28">
        <f t="shared" si="94"/>
        <v>0</v>
      </c>
      <c r="EV16" s="28"/>
      <c r="EW16" s="13"/>
      <c r="EX16" s="13">
        <f t="shared" si="95"/>
        <v>0</v>
      </c>
      <c r="EY16" s="13">
        <f t="shared" si="96"/>
        <v>0</v>
      </c>
      <c r="EZ16" s="28">
        <f t="shared" si="97"/>
        <v>0</v>
      </c>
      <c r="FA16" s="28">
        <f t="shared" si="98"/>
        <v>0</v>
      </c>
      <c r="FB16" s="28"/>
      <c r="FC16" s="13"/>
      <c r="FD16" s="13">
        <f t="shared" si="99"/>
        <v>0</v>
      </c>
      <c r="FE16" s="13">
        <f t="shared" si="100"/>
        <v>0</v>
      </c>
      <c r="FF16" s="28">
        <f t="shared" si="101"/>
        <v>0</v>
      </c>
      <c r="FG16" s="28">
        <f t="shared" si="102"/>
        <v>0</v>
      </c>
      <c r="FH16" s="28"/>
      <c r="FI16" s="13"/>
      <c r="FJ16" s="13">
        <f t="shared" si="103"/>
        <v>0</v>
      </c>
      <c r="FK16" s="13">
        <f t="shared" si="104"/>
        <v>0</v>
      </c>
      <c r="FL16" s="28">
        <f t="shared" si="105"/>
        <v>0</v>
      </c>
      <c r="FM16" s="28">
        <f t="shared" si="106"/>
        <v>0</v>
      </c>
      <c r="FN16" s="28"/>
      <c r="FO16" s="13"/>
      <c r="FP16" s="13">
        <f t="shared" si="107"/>
        <v>0</v>
      </c>
      <c r="FQ16" s="13">
        <f t="shared" si="108"/>
        <v>0</v>
      </c>
      <c r="FR16" s="28">
        <f t="shared" si="109"/>
        <v>0</v>
      </c>
      <c r="FS16" s="28">
        <f t="shared" si="110"/>
        <v>0</v>
      </c>
      <c r="FT16" s="28"/>
    </row>
    <row r="17" spans="1:176" s="30" customFormat="1" ht="12.75">
      <c r="A17" s="29">
        <v>45383</v>
      </c>
      <c r="C17" s="20"/>
      <c r="D17" s="20"/>
      <c r="E17" s="14">
        <f t="shared" si="0"/>
        <v>0</v>
      </c>
      <c r="F17" s="14"/>
      <c r="G17" s="14"/>
      <c r="H17" s="28"/>
      <c r="I17" s="13">
        <f t="shared" si="111"/>
        <v>0</v>
      </c>
      <c r="J17" s="13">
        <f t="shared" si="1"/>
        <v>0</v>
      </c>
      <c r="K17" s="28">
        <f t="shared" si="2"/>
        <v>0</v>
      </c>
      <c r="L17" s="28">
        <f t="shared" si="3"/>
        <v>0</v>
      </c>
      <c r="M17" s="28">
        <f t="shared" si="4"/>
        <v>0</v>
      </c>
      <c r="N17" s="28"/>
      <c r="O17" s="13">
        <f t="shared" si="112"/>
        <v>0</v>
      </c>
      <c r="P17" s="13">
        <f t="shared" si="5"/>
        <v>0</v>
      </c>
      <c r="Q17" s="13">
        <f t="shared" si="6"/>
        <v>0</v>
      </c>
      <c r="R17" s="28">
        <f t="shared" si="7"/>
        <v>0</v>
      </c>
      <c r="S17" s="28">
        <f t="shared" si="8"/>
        <v>0</v>
      </c>
      <c r="T17" s="28"/>
      <c r="U17" s="28">
        <f t="shared" si="113"/>
        <v>0</v>
      </c>
      <c r="V17" s="13">
        <f t="shared" si="9"/>
        <v>0</v>
      </c>
      <c r="W17" s="13">
        <f t="shared" si="10"/>
        <v>0</v>
      </c>
      <c r="X17" s="28">
        <f t="shared" si="11"/>
        <v>0</v>
      </c>
      <c r="Y17" s="28">
        <f t="shared" si="12"/>
        <v>0</v>
      </c>
      <c r="Z17" s="28"/>
      <c r="AA17" s="13">
        <f t="shared" si="114"/>
        <v>0</v>
      </c>
      <c r="AB17" s="13">
        <f t="shared" si="13"/>
        <v>0</v>
      </c>
      <c r="AC17" s="13">
        <f t="shared" si="14"/>
        <v>0</v>
      </c>
      <c r="AD17" s="28">
        <f t="shared" si="15"/>
        <v>0</v>
      </c>
      <c r="AE17" s="28">
        <f t="shared" si="16"/>
        <v>0</v>
      </c>
      <c r="AF17" s="13"/>
      <c r="AG17" s="13">
        <f t="shared" si="115"/>
        <v>0</v>
      </c>
      <c r="AH17" s="13">
        <f t="shared" si="17"/>
        <v>0</v>
      </c>
      <c r="AI17" s="13">
        <f t="shared" si="18"/>
        <v>0</v>
      </c>
      <c r="AJ17" s="28">
        <f t="shared" si="19"/>
        <v>0</v>
      </c>
      <c r="AK17" s="28">
        <f t="shared" si="20"/>
        <v>0</v>
      </c>
      <c r="AL17" s="28"/>
      <c r="AM17" s="13">
        <f>C17*3.25486/100</f>
        <v>0</v>
      </c>
      <c r="AN17" s="13">
        <f t="shared" si="21"/>
        <v>0</v>
      </c>
      <c r="AO17" s="13">
        <f t="shared" si="22"/>
        <v>0</v>
      </c>
      <c r="AP17" s="28">
        <f t="shared" si="23"/>
        <v>0</v>
      </c>
      <c r="AQ17" s="28">
        <f t="shared" si="24"/>
        <v>0</v>
      </c>
      <c r="AR17" s="13"/>
      <c r="AS17" s="13">
        <f>C17*23.78111/100</f>
        <v>0</v>
      </c>
      <c r="AT17" s="13">
        <f t="shared" si="25"/>
        <v>0</v>
      </c>
      <c r="AU17" s="13">
        <f t="shared" si="26"/>
        <v>0</v>
      </c>
      <c r="AV17" s="28">
        <f t="shared" si="27"/>
        <v>0</v>
      </c>
      <c r="AW17" s="28">
        <f t="shared" si="28"/>
        <v>0</v>
      </c>
      <c r="AX17" s="28"/>
      <c r="AY17" s="13">
        <f>C17*0.0004/100</f>
        <v>0</v>
      </c>
      <c r="AZ17" s="13">
        <f t="shared" si="29"/>
        <v>0</v>
      </c>
      <c r="BA17" s="13">
        <f t="shared" si="30"/>
        <v>0</v>
      </c>
      <c r="BB17" s="28">
        <f>AZ$6*$F17</f>
        <v>0</v>
      </c>
      <c r="BC17" s="28">
        <f>AZ$6*$G17</f>
        <v>0</v>
      </c>
      <c r="BD17" s="28"/>
      <c r="BE17" s="13">
        <f>C17*0.13664/100</f>
        <v>0</v>
      </c>
      <c r="BF17" s="13">
        <f t="shared" si="31"/>
        <v>0</v>
      </c>
      <c r="BG17" s="13">
        <f t="shared" si="32"/>
        <v>0</v>
      </c>
      <c r="BH17" s="28">
        <f t="shared" si="33"/>
        <v>0</v>
      </c>
      <c r="BI17" s="28">
        <f t="shared" si="34"/>
        <v>0</v>
      </c>
      <c r="BJ17" s="28"/>
      <c r="BK17" s="13">
        <f>C17*0.87875/100</f>
        <v>0</v>
      </c>
      <c r="BL17" s="13">
        <f t="shared" si="35"/>
        <v>0</v>
      </c>
      <c r="BM17" s="13">
        <f t="shared" si="36"/>
        <v>0</v>
      </c>
      <c r="BN17" s="28">
        <f t="shared" si="37"/>
        <v>0</v>
      </c>
      <c r="BO17" s="28">
        <f t="shared" si="38"/>
        <v>0</v>
      </c>
      <c r="BP17" s="28"/>
      <c r="BQ17" s="13">
        <f>C17*0.56757/100</f>
        <v>0</v>
      </c>
      <c r="BR17" s="13">
        <f t="shared" si="39"/>
        <v>0</v>
      </c>
      <c r="BS17" s="13">
        <f t="shared" si="40"/>
        <v>0</v>
      </c>
      <c r="BT17" s="28">
        <f t="shared" si="41"/>
        <v>0</v>
      </c>
      <c r="BU17" s="28">
        <f t="shared" si="42"/>
        <v>0</v>
      </c>
      <c r="BV17" s="13"/>
      <c r="BW17" s="13">
        <f>C17*2.18514/100</f>
        <v>0</v>
      </c>
      <c r="BX17" s="13">
        <f t="shared" si="43"/>
        <v>0</v>
      </c>
      <c r="BY17" s="13">
        <f t="shared" si="44"/>
        <v>0</v>
      </c>
      <c r="BZ17" s="28">
        <f t="shared" si="45"/>
        <v>0</v>
      </c>
      <c r="CA17" s="28">
        <f t="shared" si="46"/>
        <v>0</v>
      </c>
      <c r="CB17" s="28"/>
      <c r="CC17" s="13">
        <f>C17*0.13916/100</f>
        <v>0</v>
      </c>
      <c r="CD17" s="13">
        <f t="shared" si="47"/>
        <v>0</v>
      </c>
      <c r="CE17" s="13">
        <f t="shared" si="48"/>
        <v>0</v>
      </c>
      <c r="CF17" s="28">
        <f t="shared" si="49"/>
        <v>0</v>
      </c>
      <c r="CG17" s="28">
        <f t="shared" si="50"/>
        <v>0</v>
      </c>
      <c r="CH17" s="28"/>
      <c r="CI17" s="13">
        <f>C17*0.37665/100</f>
        <v>0</v>
      </c>
      <c r="CJ17" s="13">
        <f t="shared" si="51"/>
        <v>0</v>
      </c>
      <c r="CK17" s="13">
        <f t="shared" si="52"/>
        <v>0</v>
      </c>
      <c r="CL17" s="28">
        <f t="shared" si="53"/>
        <v>0</v>
      </c>
      <c r="CM17" s="28">
        <f t="shared" si="54"/>
        <v>0</v>
      </c>
      <c r="CN17" s="28"/>
      <c r="CO17" s="13">
        <f>C17*1.58627/100</f>
        <v>0</v>
      </c>
      <c r="CP17" s="13">
        <f t="shared" si="55"/>
        <v>0</v>
      </c>
      <c r="CQ17" s="13">
        <f t="shared" si="56"/>
        <v>0</v>
      </c>
      <c r="CR17" s="28">
        <f t="shared" si="57"/>
        <v>0</v>
      </c>
      <c r="CS17" s="28">
        <f t="shared" si="58"/>
        <v>0</v>
      </c>
      <c r="CT17" s="28"/>
      <c r="CU17" s="13">
        <f>C17*0.07178/100</f>
        <v>0</v>
      </c>
      <c r="CV17" s="13">
        <f t="shared" si="59"/>
        <v>0</v>
      </c>
      <c r="CW17" s="13">
        <f t="shared" si="60"/>
        <v>0</v>
      </c>
      <c r="CX17" s="28">
        <f t="shared" si="61"/>
        <v>0</v>
      </c>
      <c r="CY17" s="28">
        <f t="shared" si="62"/>
        <v>0</v>
      </c>
      <c r="CZ17" s="28"/>
      <c r="DA17" s="13">
        <f>C17*1.01431/100</f>
        <v>0</v>
      </c>
      <c r="DB17" s="13">
        <f t="shared" si="63"/>
        <v>0</v>
      </c>
      <c r="DC17" s="13">
        <f t="shared" si="64"/>
        <v>0</v>
      </c>
      <c r="DD17" s="28">
        <f t="shared" si="65"/>
        <v>0</v>
      </c>
      <c r="DE17" s="28">
        <f t="shared" si="66"/>
        <v>0</v>
      </c>
      <c r="DF17" s="28"/>
      <c r="DG17" s="13">
        <f>C17*0.48536/100</f>
        <v>0</v>
      </c>
      <c r="DH17" s="28">
        <f t="shared" si="67"/>
        <v>0</v>
      </c>
      <c r="DI17" s="13">
        <f t="shared" si="68"/>
        <v>0</v>
      </c>
      <c r="DJ17" s="28">
        <f t="shared" si="69"/>
        <v>0</v>
      </c>
      <c r="DK17" s="28">
        <f t="shared" si="70"/>
        <v>0</v>
      </c>
      <c r="DL17" s="28"/>
      <c r="DM17" s="13">
        <f>C17*0.80603/100</f>
        <v>0</v>
      </c>
      <c r="DN17" s="13">
        <f t="shared" si="71"/>
        <v>0</v>
      </c>
      <c r="DO17" s="13">
        <f t="shared" si="72"/>
        <v>0</v>
      </c>
      <c r="DP17" s="28">
        <f t="shared" si="73"/>
        <v>0</v>
      </c>
      <c r="DQ17" s="28">
        <f t="shared" si="74"/>
        <v>0</v>
      </c>
      <c r="DR17" s="28"/>
      <c r="DS17" s="13">
        <f>C17*2.45163/100</f>
        <v>0</v>
      </c>
      <c r="DT17" s="13">
        <f t="shared" si="75"/>
        <v>0</v>
      </c>
      <c r="DU17" s="13">
        <f t="shared" si="76"/>
        <v>0</v>
      </c>
      <c r="DV17" s="28">
        <f t="shared" si="77"/>
        <v>0</v>
      </c>
      <c r="DW17" s="28">
        <f t="shared" si="78"/>
        <v>0</v>
      </c>
      <c r="DX17" s="28"/>
      <c r="DY17" s="13">
        <f>C17*0.25443/100</f>
        <v>0</v>
      </c>
      <c r="DZ17" s="13">
        <f t="shared" si="79"/>
        <v>0</v>
      </c>
      <c r="EA17" s="13">
        <f t="shared" si="80"/>
        <v>0</v>
      </c>
      <c r="EB17" s="28">
        <f t="shared" si="81"/>
        <v>0</v>
      </c>
      <c r="EC17" s="28">
        <f t="shared" si="82"/>
        <v>0</v>
      </c>
      <c r="ED17" s="28"/>
      <c r="EE17" s="13">
        <f>C17*0.12856/100</f>
        <v>0</v>
      </c>
      <c r="EF17" s="13">
        <f t="shared" si="83"/>
        <v>0</v>
      </c>
      <c r="EG17" s="13">
        <f t="shared" si="84"/>
        <v>0</v>
      </c>
      <c r="EH17" s="28">
        <f t="shared" si="85"/>
        <v>0</v>
      </c>
      <c r="EI17" s="28">
        <f t="shared" si="86"/>
        <v>0</v>
      </c>
      <c r="EJ17" s="28"/>
      <c r="EK17" s="13">
        <f>C17*0.03415/100</f>
        <v>0</v>
      </c>
      <c r="EL17" s="13">
        <f t="shared" si="87"/>
        <v>0</v>
      </c>
      <c r="EM17" s="13">
        <f t="shared" si="88"/>
        <v>0</v>
      </c>
      <c r="EN17" s="28">
        <f t="shared" si="89"/>
        <v>0</v>
      </c>
      <c r="EO17" s="28">
        <f t="shared" si="90"/>
        <v>0</v>
      </c>
      <c r="EP17" s="28"/>
      <c r="EQ17" s="13">
        <f>C17*1.11619/100</f>
        <v>0</v>
      </c>
      <c r="ER17" s="13">
        <f t="shared" si="91"/>
        <v>0</v>
      </c>
      <c r="ES17" s="13">
        <f t="shared" si="92"/>
        <v>0</v>
      </c>
      <c r="ET17" s="28">
        <f t="shared" si="93"/>
        <v>0</v>
      </c>
      <c r="EU17" s="28">
        <f t="shared" si="94"/>
        <v>0</v>
      </c>
      <c r="EV17" s="28"/>
      <c r="EW17" s="13">
        <f>C17*4.55599/100</f>
        <v>0</v>
      </c>
      <c r="EX17" s="13">
        <f t="shared" si="95"/>
        <v>0</v>
      </c>
      <c r="EY17" s="13">
        <f t="shared" si="96"/>
        <v>0</v>
      </c>
      <c r="EZ17" s="28">
        <f t="shared" si="97"/>
        <v>0</v>
      </c>
      <c r="FA17" s="28">
        <f t="shared" si="98"/>
        <v>0</v>
      </c>
      <c r="FB17" s="28"/>
      <c r="FC17" s="13">
        <f>C17*0.07571/100</f>
        <v>0</v>
      </c>
      <c r="FD17" s="13">
        <f t="shared" si="99"/>
        <v>0</v>
      </c>
      <c r="FE17" s="13">
        <f t="shared" si="100"/>
        <v>0</v>
      </c>
      <c r="FF17" s="28">
        <f t="shared" si="101"/>
        <v>0</v>
      </c>
      <c r="FG17" s="28">
        <f t="shared" si="102"/>
        <v>0</v>
      </c>
      <c r="FH17" s="28"/>
      <c r="FI17" s="13">
        <f>C17*0.91696/100</f>
        <v>0</v>
      </c>
      <c r="FJ17" s="13">
        <f t="shared" si="103"/>
        <v>0</v>
      </c>
      <c r="FK17" s="13">
        <f t="shared" si="104"/>
        <v>0</v>
      </c>
      <c r="FL17" s="28">
        <f t="shared" si="105"/>
        <v>0</v>
      </c>
      <c r="FM17" s="28">
        <f t="shared" si="106"/>
        <v>0</v>
      </c>
      <c r="FN17" s="28"/>
      <c r="FO17" s="13">
        <f>C17*0.38062/100</f>
        <v>0</v>
      </c>
      <c r="FP17" s="13">
        <f t="shared" si="107"/>
        <v>0</v>
      </c>
      <c r="FQ17" s="13">
        <f t="shared" si="108"/>
        <v>0</v>
      </c>
      <c r="FR17" s="28">
        <f t="shared" si="109"/>
        <v>0</v>
      </c>
      <c r="FS17" s="28">
        <f t="shared" si="110"/>
        <v>0</v>
      </c>
      <c r="FT17" s="28"/>
    </row>
    <row r="18" ht="12.75">
      <c r="U18" s="28"/>
    </row>
    <row r="19" spans="1:175" ht="13.5" thickBot="1">
      <c r="A19" s="11" t="s">
        <v>0</v>
      </c>
      <c r="C19" s="27">
        <f>SUM(C8:C18)</f>
        <v>9655000</v>
      </c>
      <c r="D19" s="27">
        <f>SUM(D8:D18)</f>
        <v>744252</v>
      </c>
      <c r="E19" s="27">
        <f>SUM(E8:E18)</f>
        <v>10399252</v>
      </c>
      <c r="F19" s="27">
        <f>SUM(F8:F18)</f>
        <v>566200</v>
      </c>
      <c r="G19" s="27">
        <f>SUM(G8:G18)</f>
        <v>948969</v>
      </c>
      <c r="I19" s="27">
        <f>SUM(I8:I18)</f>
        <v>768604.6194999999</v>
      </c>
      <c r="J19" s="27">
        <f>SUM(J8:J18)</f>
        <v>59247.594538800004</v>
      </c>
      <c r="K19" s="27">
        <f>SUM(K8:K18)</f>
        <v>827852.2140388</v>
      </c>
      <c r="L19" s="27">
        <f>SUM(L8:L18)</f>
        <v>45073.426779999994</v>
      </c>
      <c r="M19" s="27">
        <f>SUM(M8:M18)</f>
        <v>75544.4802861</v>
      </c>
      <c r="O19" s="27">
        <f>SUM(O8:O18)</f>
        <v>855590.3765</v>
      </c>
      <c r="P19" s="27">
        <f>SUM(P8:P18)</f>
        <v>65952.85850759999</v>
      </c>
      <c r="Q19" s="27">
        <f>SUM(Q8:Q18)</f>
        <v>921543.2350075999</v>
      </c>
      <c r="R19" s="27">
        <f>SUM(R8:R18)</f>
        <v>50174.54905999999</v>
      </c>
      <c r="S19" s="27">
        <f>SUM(S8:S18)</f>
        <v>84094.12159469999</v>
      </c>
      <c r="U19" s="27">
        <f>SUM(U8:U18)</f>
        <v>315939.5995</v>
      </c>
      <c r="V19" s="27">
        <f>SUM(V8:V18)</f>
        <v>24354.0837708</v>
      </c>
      <c r="W19" s="27">
        <f>SUM(W8:W18)</f>
        <v>340293.6832708</v>
      </c>
      <c r="X19" s="27">
        <f>SUM(X8:X18)</f>
        <v>18527.70598</v>
      </c>
      <c r="Y19" s="27">
        <f>SUM(Y8:Y18)</f>
        <v>31053.017690099998</v>
      </c>
      <c r="AA19" s="27">
        <f>SUM(AA8:AA18)</f>
        <v>236029.0265</v>
      </c>
      <c r="AB19" s="27">
        <f>SUM(AB8:AB18)</f>
        <v>18194.2076676</v>
      </c>
      <c r="AC19" s="27">
        <f>SUM(AC8:AC18)</f>
        <v>254223.23416760002</v>
      </c>
      <c r="AD19" s="27">
        <f>SUM(AD8:AD18)</f>
        <v>13841.49506</v>
      </c>
      <c r="AE19" s="27">
        <f>SUM(AE8:AE18)</f>
        <v>23198.7808647</v>
      </c>
      <c r="AF19" s="20"/>
      <c r="AG19" s="27">
        <f>SUM(AG8:AG18)</f>
        <v>23423.9955</v>
      </c>
      <c r="AH19" s="27">
        <f>SUM(AH8:AH18)</f>
        <v>1805.6297771999998</v>
      </c>
      <c r="AI19" s="27">
        <f>SUM(AI8:AI18)</f>
        <v>25229.6252772</v>
      </c>
      <c r="AJ19" s="27">
        <f>SUM(AJ8:AJ18)</f>
        <v>1373.65782</v>
      </c>
      <c r="AK19" s="27">
        <f>SUM(AK8:AK18)</f>
        <v>2302.2936908999995</v>
      </c>
      <c r="AM19" s="27">
        <f>SUM(AM8:AM18)</f>
        <v>314256.733</v>
      </c>
      <c r="AN19" s="27">
        <f>SUM(AN8:AN18)</f>
        <v>24224.3606472</v>
      </c>
      <c r="AO19" s="27">
        <f>SUM(AO8:AO18)</f>
        <v>338481.09364720003</v>
      </c>
      <c r="AP19" s="27">
        <f>SUM(AP8:AP18)</f>
        <v>18429.01732</v>
      </c>
      <c r="AQ19" s="27">
        <f>SUM(AQ8:AQ18)</f>
        <v>30887.6123934</v>
      </c>
      <c r="AR19" s="27"/>
      <c r="AS19" s="27">
        <f>SUM(AS8:AS18)</f>
        <v>2296066.1705</v>
      </c>
      <c r="AT19" s="27">
        <f>SUM(AT8:AT18)</f>
        <v>176991.38679719996</v>
      </c>
      <c r="AU19" s="27">
        <f>SUM(AU8:AU18)</f>
        <v>2473057.5572972</v>
      </c>
      <c r="AV19" s="27">
        <f>SUM(AV8:AV18)</f>
        <v>134648.64482000002</v>
      </c>
      <c r="AW19" s="27">
        <f>SUM(AW8:AW18)</f>
        <v>225675.36175590003</v>
      </c>
      <c r="AY19" s="27">
        <f>SUM(AY8:AY18)</f>
        <v>38.62</v>
      </c>
      <c r="AZ19" s="27">
        <f>SUM(AZ8:AZ18)</f>
        <v>2.9770079999999997</v>
      </c>
      <c r="BA19" s="27">
        <f>SUM(BA8:BA18)</f>
        <v>41.597008</v>
      </c>
      <c r="BB19" s="27">
        <f>SUM(BB8:BB18)</f>
        <v>7</v>
      </c>
      <c r="BC19" s="27">
        <f>SUM(BC8:BC18)</f>
        <v>12</v>
      </c>
      <c r="BE19" s="27">
        <f>SUM(BE8:BE18)</f>
        <v>13192.592</v>
      </c>
      <c r="BF19" s="27">
        <f>SUM(BF8:BF18)</f>
        <v>1016.9459327999999</v>
      </c>
      <c r="BG19" s="27">
        <f>SUM(BG8:BG18)</f>
        <v>14209.537932800002</v>
      </c>
      <c r="BH19" s="27">
        <f>SUM(BH8:BH18)</f>
        <v>773.6556800000001</v>
      </c>
      <c r="BI19" s="27">
        <f>SUM(BI8:BI18)</f>
        <v>1296.6712416</v>
      </c>
      <c r="BK19" s="27">
        <f>SUM(BK8:BK18)</f>
        <v>84843.3125</v>
      </c>
      <c r="BL19" s="27">
        <f>SUM(BL8:BL18)</f>
        <v>6540.114449999999</v>
      </c>
      <c r="BM19" s="27">
        <f>SUM(BM8:BM18)</f>
        <v>91383.42695</v>
      </c>
      <c r="BN19" s="27">
        <f>SUM(BN8:BN18)</f>
        <v>4975.4825</v>
      </c>
      <c r="BO19" s="27">
        <f>SUM(BO8:BO18)</f>
        <v>8339.065087500003</v>
      </c>
      <c r="BQ19" s="27">
        <f>SUM(BQ8:BQ18)</f>
        <v>54798.8835</v>
      </c>
      <c r="BR19" s="27">
        <f>SUM(BR8:BR18)</f>
        <v>4224.1510763999995</v>
      </c>
      <c r="BS19" s="27">
        <f>SUM(BS8:BS18)</f>
        <v>59023.03457640001</v>
      </c>
      <c r="BT19" s="27">
        <f>SUM(BT8:BT18)</f>
        <v>3213.5813399999997</v>
      </c>
      <c r="BU19" s="27">
        <f>SUM(BU8:BU18)</f>
        <v>5386.0633533</v>
      </c>
      <c r="BV19" s="20"/>
      <c r="BW19" s="27">
        <f>SUM(BW8:BW18)</f>
        <v>210975.26700000002</v>
      </c>
      <c r="BX19" s="27">
        <f>SUM(BX8:BX18)</f>
        <v>16262.948152800001</v>
      </c>
      <c r="BY19" s="27">
        <f>SUM(BY8:BY18)</f>
        <v>227238.2151528</v>
      </c>
      <c r="BZ19" s="27">
        <f>SUM(BZ8:BZ18)</f>
        <v>12372.262679999998</v>
      </c>
      <c r="CA19" s="27">
        <f>SUM(CA8:CA18)</f>
        <v>20736.3012066</v>
      </c>
      <c r="CC19" s="27">
        <f>SUM(CC8:CC18)</f>
        <v>13435.898000000001</v>
      </c>
      <c r="CD19" s="27">
        <f>SUM(CD8:CD18)</f>
        <v>1035.7010832</v>
      </c>
      <c r="CE19" s="27">
        <f>SUM(CE8:CE18)</f>
        <v>14471.599083199999</v>
      </c>
      <c r="CF19" s="27">
        <f>SUM(CF8:CF18)</f>
        <v>787.9239200000001</v>
      </c>
      <c r="CG19" s="27">
        <f>SUM(CG8:CG18)</f>
        <v>1320.5852604000002</v>
      </c>
      <c r="CI19" s="27">
        <f>SUM(CI8:CI18)</f>
        <v>36365.5575</v>
      </c>
      <c r="CJ19" s="27">
        <f>SUM(CJ8:CJ18)</f>
        <v>2803.225158</v>
      </c>
      <c r="CK19" s="27">
        <f>SUM(CK8:CK18)</f>
        <v>39168.782658</v>
      </c>
      <c r="CL19" s="27">
        <f>SUM(CL8:CL18)</f>
        <v>2132.5923000000003</v>
      </c>
      <c r="CM19" s="27">
        <f>SUM(CM8:CM18)</f>
        <v>3574.2917384999996</v>
      </c>
      <c r="CO19" s="27">
        <f>SUM(CO8:CO18)</f>
        <v>153154.3685</v>
      </c>
      <c r="CP19" s="27">
        <f>SUM(CP8:CP18)</f>
        <v>11805.8462004</v>
      </c>
      <c r="CQ19" s="27">
        <f>SUM(CQ8:CQ18)</f>
        <v>164960.2147004</v>
      </c>
      <c r="CR19" s="27">
        <f>SUM(CR8:CR18)</f>
        <v>8981.46074</v>
      </c>
      <c r="CS19" s="27">
        <f>SUM(CS8:CS18)</f>
        <v>15053.2105563</v>
      </c>
      <c r="CU19" s="27">
        <f>SUM(CU8:CU18)</f>
        <v>6930.3589999999995</v>
      </c>
      <c r="CV19" s="27">
        <f>SUM(CV8:CV18)</f>
        <v>534.2240856</v>
      </c>
      <c r="CW19" s="27">
        <f>SUM(CW8:CW18)</f>
        <v>7464.583085599999</v>
      </c>
      <c r="CX19" s="27">
        <f>SUM(CX8:CX18)</f>
        <v>406.41836</v>
      </c>
      <c r="CY19" s="27">
        <f>SUM(CY8:CY18)</f>
        <v>681.1699482</v>
      </c>
      <c r="DA19" s="27">
        <f>SUM(DA8:DA18)</f>
        <v>97931.6305</v>
      </c>
      <c r="DB19" s="27">
        <f>SUM(DB8:DB18)</f>
        <v>7549.0224612</v>
      </c>
      <c r="DC19" s="27">
        <f>SUM(DC8:DC18)</f>
        <v>105480.6529612</v>
      </c>
      <c r="DD19" s="27">
        <f>SUM(DD8:DD18)</f>
        <v>5743.023220000001</v>
      </c>
      <c r="DE19" s="27">
        <f>SUM(DE8:DE18)</f>
        <v>9625.4874639</v>
      </c>
      <c r="DG19" s="27">
        <f>SUM(DG8:DG18)</f>
        <v>46861.508</v>
      </c>
      <c r="DH19" s="27">
        <f>SUM(DH8:DH18)</f>
        <v>3612.3015071999994</v>
      </c>
      <c r="DI19" s="27">
        <f>SUM(DI8:DI18)</f>
        <v>50473.8095072</v>
      </c>
      <c r="DJ19" s="27">
        <f>SUM(DJ8:DJ18)</f>
        <v>2748.10832</v>
      </c>
      <c r="DK19" s="27">
        <f>SUM(DK8:DK18)</f>
        <v>4605.9159383999995</v>
      </c>
      <c r="DM19" s="27">
        <f>SUM(DM8:DM18)</f>
        <v>77822.19649999999</v>
      </c>
      <c r="DN19" s="27">
        <f>SUM(DN8:DN18)</f>
        <v>5998.894395599999</v>
      </c>
      <c r="DO19" s="27">
        <f>SUM(DO8:DO18)</f>
        <v>83821.0908956</v>
      </c>
      <c r="DP19" s="27">
        <f>SUM(DP8:DP18)</f>
        <v>4563.74186</v>
      </c>
      <c r="DQ19" s="27">
        <f>SUM(DQ8:DQ18)</f>
        <v>7648.974830699999</v>
      </c>
      <c r="DS19" s="27">
        <f>SUM(DS8:DS18)</f>
        <v>236704.8765</v>
      </c>
      <c r="DT19" s="27">
        <f>SUM(DT8:DT18)</f>
        <v>18246.3053076</v>
      </c>
      <c r="DU19" s="27">
        <f>SUM(DU8:DU18)</f>
        <v>254951.18180760005</v>
      </c>
      <c r="DV19" s="27">
        <f>SUM(DV8:DV18)</f>
        <v>13881.129060000003</v>
      </c>
      <c r="DW19" s="27">
        <f>SUM(DW8:DW18)</f>
        <v>23265.208694700003</v>
      </c>
      <c r="DY19" s="27">
        <f>SUM(DY8:DY18)</f>
        <v>24565.216499999995</v>
      </c>
      <c r="DZ19" s="27">
        <f>SUM(DZ8:DZ18)</f>
        <v>1893.6003636</v>
      </c>
      <c r="EA19" s="27">
        <f>SUM(EA8:EA18)</f>
        <v>26458.816863599997</v>
      </c>
      <c r="EB19" s="27">
        <f>SUM(EB8:EB18)</f>
        <v>1440.58266</v>
      </c>
      <c r="EC19" s="27">
        <f>SUM(EC8:EC18)</f>
        <v>2414.4618267</v>
      </c>
      <c r="EE19" s="27">
        <f>SUM(EE8:EE18)</f>
        <v>12412.468</v>
      </c>
      <c r="EF19" s="27">
        <f>SUM(EF8:EF18)</f>
        <v>956.8103712000003</v>
      </c>
      <c r="EG19" s="27">
        <f>SUM(EG8:EG18)</f>
        <v>13369.2783712</v>
      </c>
      <c r="EH19" s="27">
        <f>SUM(EH8:EH18)</f>
        <v>727.9067200000002</v>
      </c>
      <c r="EI19" s="27">
        <f>SUM(EI8:EI18)</f>
        <v>1219.9945464000002</v>
      </c>
      <c r="EK19" s="27">
        <f>SUM(EK8:EK18)</f>
        <v>3297.1825</v>
      </c>
      <c r="EL19" s="27">
        <f>SUM(EL8:EL18)</f>
        <v>254.162058</v>
      </c>
      <c r="EM19" s="27">
        <f>SUM(EM8:EM18)</f>
        <v>3551.3445580000002</v>
      </c>
      <c r="EN19" s="27">
        <f>SUM(EN8:EN18)</f>
        <v>193.3573</v>
      </c>
      <c r="EO19" s="27">
        <f>SUM(EO8:EO18)</f>
        <v>324.0729135</v>
      </c>
      <c r="EQ19" s="27">
        <f>SUM(EQ8:EQ18)</f>
        <v>107768.14450000001</v>
      </c>
      <c r="ER19" s="27">
        <f>SUM(ER8:ER18)</f>
        <v>8307.2663988</v>
      </c>
      <c r="ES19" s="27">
        <f>SUM(ES8:ES18)</f>
        <v>116075.4108988</v>
      </c>
      <c r="ET19" s="27">
        <f>SUM(ET8:ET18)</f>
        <v>6319.8677800000005</v>
      </c>
      <c r="EU19" s="27">
        <f>SUM(EU8:EU18)</f>
        <v>10592.297081100001</v>
      </c>
      <c r="EW19" s="27">
        <f>SUM(EW8:EW18)</f>
        <v>439880.8345</v>
      </c>
      <c r="EX19" s="27">
        <f>SUM(EX8:EX18)</f>
        <v>33908.04669480001</v>
      </c>
      <c r="EY19" s="27">
        <f>SUM(EY8:EY18)</f>
        <v>473788.8811948</v>
      </c>
      <c r="EZ19" s="27">
        <f>SUM(EZ8:EZ18)</f>
        <v>25796.015379999997</v>
      </c>
      <c r="FA19" s="27">
        <f>SUM(FA8:FA18)</f>
        <v>43234.9327431</v>
      </c>
      <c r="FC19" s="27">
        <f>SUM(FC8:FC18)</f>
        <v>7309.8005</v>
      </c>
      <c r="FD19" s="27">
        <f>SUM(FD8:FD18)</f>
        <v>563.4731892000001</v>
      </c>
      <c r="FE19" s="27">
        <f>SUM(FE8:FE18)</f>
        <v>7873.273689199999</v>
      </c>
      <c r="FF19" s="27">
        <f>SUM(FF8:FF18)</f>
        <v>428.6700200000001</v>
      </c>
      <c r="FG19" s="27">
        <f>SUM(FG8:FG18)</f>
        <v>718.4644298999999</v>
      </c>
      <c r="FI19" s="27">
        <f>SUM(FI8:FI18)</f>
        <v>88532.488</v>
      </c>
      <c r="FJ19" s="27">
        <f>SUM(FJ8:FJ18)</f>
        <v>6824.493139199999</v>
      </c>
      <c r="FK19" s="27">
        <f>SUM(FK8:FK18)</f>
        <v>95356.9811392</v>
      </c>
      <c r="FL19" s="27">
        <f>SUM(FL8:FL18)</f>
        <v>5191.827520000001</v>
      </c>
      <c r="FM19" s="27">
        <f>SUM(FM8:FM18)</f>
        <v>8701.666142400001</v>
      </c>
      <c r="FO19" s="27">
        <f>SUM(FO8:FO18)</f>
        <v>36748.861</v>
      </c>
      <c r="FP19" s="27">
        <f>SUM(FP8:FP18)</f>
        <v>2832.771962400001</v>
      </c>
      <c r="FQ19" s="27">
        <f>SUM(FQ8:FQ18)</f>
        <v>39581.63296240001</v>
      </c>
      <c r="FR19" s="27">
        <f>SUM(FR8:FR18)</f>
        <v>2155.0704400000004</v>
      </c>
      <c r="FS19" s="27">
        <f>SUM(FS8:FS18)</f>
        <v>3611.9658078000007</v>
      </c>
    </row>
    <row r="20" ht="13.5" thickTop="1"/>
    <row r="31" spans="1:7" ht="12.75">
      <c r="A31"/>
      <c r="C31"/>
      <c r="D31"/>
      <c r="E31"/>
      <c r="F31"/>
      <c r="G31"/>
    </row>
    <row r="32" spans="1:7" ht="12.75">
      <c r="A32"/>
      <c r="C32"/>
      <c r="D32"/>
      <c r="E32"/>
      <c r="F32"/>
      <c r="G32"/>
    </row>
    <row r="33" spans="1:176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</row>
    <row r="34" spans="1:176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</row>
    <row r="35" spans="1:176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</row>
    <row r="36" spans="1:176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</row>
    <row r="37" spans="1:176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</row>
    <row r="38" spans="1:176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</row>
    <row r="39" spans="1:176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</row>
    <row r="40" spans="1:176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</row>
    <row r="41" spans="1:176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</row>
    <row r="42" spans="1:176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</row>
    <row r="43" spans="1:176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</row>
    <row r="44" spans="1:176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</row>
    <row r="45" spans="1:176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</row>
    <row r="46" spans="1:176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</row>
    <row r="47" spans="1:176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</row>
    <row r="48" spans="1:176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</row>
    <row r="49" spans="1:17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1:176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76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spans="1:176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spans="1:176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  <row r="58" spans="8:176" ht="12.75"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</row>
    <row r="59" spans="8:176" ht="12.75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</row>
  </sheetData>
  <sheetProtection/>
  <printOptions/>
  <pageMargins left="0.75" right="0.75" top="1" bottom="1" header="0.3" footer="0.3"/>
  <pageSetup horizontalDpi="600" verticalDpi="600" orientation="landscape" scale="73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R59"/>
  <sheetViews>
    <sheetView zoomScale="150" zoomScaleNormal="150" zoomScalePageLayoutView="0" workbookViewId="0" topLeftCell="A1">
      <selection activeCell="C12" sqref="C12"/>
    </sheetView>
  </sheetViews>
  <sheetFormatPr defaultColWidth="13.7109375" defaultRowHeight="12.75"/>
  <cols>
    <col min="1" max="1" width="9.7109375" style="2" customWidth="1"/>
    <col min="2" max="2" width="3.7109375" style="13" customWidth="1"/>
    <col min="3" max="6" width="13.7109375" style="13" customWidth="1"/>
    <col min="7" max="7" width="16.7109375" style="13" customWidth="1"/>
    <col min="8" max="8" width="3.7109375" style="13" customWidth="1"/>
    <col min="9" max="12" width="13.7109375" style="13" customWidth="1"/>
    <col min="13" max="13" width="15.7109375" style="13" customWidth="1"/>
    <col min="14" max="14" width="3.7109375" style="13" customWidth="1"/>
    <col min="15" max="18" width="13.7109375" style="0" customWidth="1"/>
    <col min="19" max="19" width="16.28125" style="0" customWidth="1"/>
    <col min="20" max="20" width="3.7109375" style="13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.75">
      <c r="A1" s="22"/>
      <c r="C1" s="23"/>
      <c r="O1" s="23" t="s">
        <v>6</v>
      </c>
      <c r="U1" s="23"/>
      <c r="AG1" s="23" t="s">
        <v>6</v>
      </c>
      <c r="AM1" s="23"/>
      <c r="AY1" s="23" t="s">
        <v>6</v>
      </c>
      <c r="BE1" s="23"/>
      <c r="BQ1" s="23" t="s">
        <v>6</v>
      </c>
      <c r="BW1" s="23"/>
      <c r="CI1" s="23" t="s">
        <v>6</v>
      </c>
      <c r="CO1" s="23"/>
      <c r="DA1" s="23" t="s">
        <v>6</v>
      </c>
      <c r="DG1" s="23"/>
      <c r="DR1" s="23" t="s">
        <v>6</v>
      </c>
    </row>
    <row r="2" spans="1:122" ht="12.75">
      <c r="A2" s="22"/>
      <c r="C2" s="23"/>
      <c r="O2" s="23" t="s">
        <v>5</v>
      </c>
      <c r="U2" s="23"/>
      <c r="AG2" s="23" t="s">
        <v>5</v>
      </c>
      <c r="AM2" s="23"/>
      <c r="AY2" s="23" t="s">
        <v>5</v>
      </c>
      <c r="BE2" s="23"/>
      <c r="BQ2" s="23" t="s">
        <v>5</v>
      </c>
      <c r="BW2" s="23"/>
      <c r="CI2" s="23" t="s">
        <v>5</v>
      </c>
      <c r="CO2" s="23"/>
      <c r="DA2" s="23" t="s">
        <v>5</v>
      </c>
      <c r="DG2" s="23"/>
      <c r="DR2" s="23" t="s">
        <v>5</v>
      </c>
    </row>
    <row r="3" spans="1:122" ht="12.75">
      <c r="A3" s="22"/>
      <c r="C3" s="23"/>
      <c r="O3" s="23" t="s">
        <v>64</v>
      </c>
      <c r="P3" s="1"/>
      <c r="U3" s="23"/>
      <c r="AG3" s="23" t="str">
        <f>O3</f>
        <v>2004 Series A Bond Funded Projects After 2011B</v>
      </c>
      <c r="AM3" s="23"/>
      <c r="AY3" s="23" t="str">
        <f>AG3</f>
        <v>2004 Series A Bond Funded Projects After 2011B</v>
      </c>
      <c r="BE3" s="23"/>
      <c r="BQ3" s="23" t="str">
        <f>AY3</f>
        <v>2004 Series A Bond Funded Projects After 2011B</v>
      </c>
      <c r="BW3" s="23"/>
      <c r="CI3" s="23" t="str">
        <f>BQ3</f>
        <v>2004 Series A Bond Funded Projects After 2011B</v>
      </c>
      <c r="CO3" s="23"/>
      <c r="DA3" s="23" t="str">
        <f>CI3</f>
        <v>2004 Series A Bond Funded Projects After 2011B</v>
      </c>
      <c r="DG3" s="23"/>
      <c r="DR3" s="23" t="str">
        <f>DA3</f>
        <v>2004 Series A Bond Funded Projects After 2011B</v>
      </c>
    </row>
    <row r="4" ht="12.75">
      <c r="A4" s="22"/>
    </row>
    <row r="5" spans="1:120" ht="12.75">
      <c r="A5" s="4" t="s">
        <v>1</v>
      </c>
      <c r="C5" s="41" t="s">
        <v>65</v>
      </c>
      <c r="D5" s="42"/>
      <c r="E5" s="43"/>
      <c r="F5" s="19"/>
      <c r="G5" s="19"/>
      <c r="I5" s="15" t="s">
        <v>31</v>
      </c>
      <c r="J5" s="16"/>
      <c r="K5" s="17"/>
      <c r="L5" s="19"/>
      <c r="M5" s="19"/>
      <c r="O5" s="15" t="s">
        <v>37</v>
      </c>
      <c r="P5" s="16"/>
      <c r="Q5" s="17"/>
      <c r="R5" s="19"/>
      <c r="S5" s="19"/>
      <c r="U5" s="5" t="s">
        <v>19</v>
      </c>
      <c r="V5" s="6"/>
      <c r="W5" s="7"/>
      <c r="X5" s="19"/>
      <c r="Y5" s="19"/>
      <c r="AA5" s="5" t="s">
        <v>29</v>
      </c>
      <c r="AB5" s="6"/>
      <c r="AC5" s="7"/>
      <c r="AD5" s="19"/>
      <c r="AE5" s="19"/>
      <c r="AG5" s="5" t="s">
        <v>20</v>
      </c>
      <c r="AH5" s="6"/>
      <c r="AI5" s="7"/>
      <c r="AJ5" s="19"/>
      <c r="AK5" s="19"/>
      <c r="AM5" s="5" t="s">
        <v>21</v>
      </c>
      <c r="AN5" s="6"/>
      <c r="AO5" s="7"/>
      <c r="AP5" s="19"/>
      <c r="AQ5" s="19"/>
      <c r="AS5" s="5" t="s">
        <v>22</v>
      </c>
      <c r="AT5" s="6"/>
      <c r="AU5" s="7"/>
      <c r="AV5" s="19"/>
      <c r="AW5" s="19"/>
      <c r="AY5" s="5" t="s">
        <v>23</v>
      </c>
      <c r="AZ5" s="6"/>
      <c r="BA5" s="7"/>
      <c r="BB5" s="19"/>
      <c r="BC5" s="19"/>
      <c r="BE5" s="5" t="s">
        <v>48</v>
      </c>
      <c r="BF5" s="6"/>
      <c r="BG5" s="7"/>
      <c r="BH5" s="19"/>
      <c r="BI5" s="19"/>
      <c r="BK5" s="5" t="s">
        <v>24</v>
      </c>
      <c r="BL5" s="6"/>
      <c r="BM5" s="7"/>
      <c r="BN5" s="19"/>
      <c r="BO5" s="19"/>
      <c r="BQ5" s="5" t="s">
        <v>49</v>
      </c>
      <c r="BR5" s="6"/>
      <c r="BS5" s="7"/>
      <c r="BT5" s="19"/>
      <c r="BU5" s="19"/>
      <c r="BW5" s="5" t="s">
        <v>25</v>
      </c>
      <c r="BX5" s="6"/>
      <c r="BY5" s="7"/>
      <c r="BZ5" s="19"/>
      <c r="CA5" s="19"/>
      <c r="CC5" s="32" t="s">
        <v>27</v>
      </c>
      <c r="CD5" s="6"/>
      <c r="CE5" s="7"/>
      <c r="CF5" s="19"/>
      <c r="CG5" s="19"/>
      <c r="CI5" s="5" t="s">
        <v>50</v>
      </c>
      <c r="CJ5" s="6"/>
      <c r="CK5" s="7"/>
      <c r="CL5" s="19"/>
      <c r="CM5" s="19"/>
      <c r="CO5" s="5" t="s">
        <v>51</v>
      </c>
      <c r="CP5" s="6"/>
      <c r="CQ5" s="7"/>
      <c r="CR5" s="19"/>
      <c r="CS5" s="19"/>
      <c r="CU5" s="5" t="s">
        <v>52</v>
      </c>
      <c r="CV5" s="6"/>
      <c r="CW5" s="7"/>
      <c r="CX5" s="19"/>
      <c r="CY5" s="19"/>
      <c r="DA5" s="5" t="s">
        <v>53</v>
      </c>
      <c r="DB5" s="6"/>
      <c r="DC5" s="7"/>
      <c r="DD5" s="19"/>
      <c r="DE5" s="19"/>
      <c r="DG5" s="5" t="s">
        <v>54</v>
      </c>
      <c r="DH5" s="6"/>
      <c r="DI5" s="7"/>
      <c r="DJ5" s="19"/>
      <c r="DK5" s="19"/>
      <c r="DM5" s="32" t="s">
        <v>7</v>
      </c>
      <c r="DN5" s="6"/>
      <c r="DO5" s="7"/>
      <c r="DP5" s="19"/>
    </row>
    <row r="6" spans="1:120" s="1" customFormat="1" ht="12.75">
      <c r="A6" s="24" t="s">
        <v>2</v>
      </c>
      <c r="B6" s="13"/>
      <c r="C6" s="49" t="s">
        <v>66</v>
      </c>
      <c r="D6" s="44"/>
      <c r="E6" s="45"/>
      <c r="F6" s="19" t="s">
        <v>55</v>
      </c>
      <c r="G6" s="19" t="s">
        <v>55</v>
      </c>
      <c r="H6" s="13"/>
      <c r="I6" s="18"/>
      <c r="J6" s="37">
        <v>0.6798012</v>
      </c>
      <c r="K6" s="17"/>
      <c r="L6" s="19" t="s">
        <v>55</v>
      </c>
      <c r="M6" s="19" t="s">
        <v>55</v>
      </c>
      <c r="N6" s="13"/>
      <c r="O6" s="18"/>
      <c r="P6" s="31">
        <f>V6+AB6+AH6+AN6+AT6+AZ6+BF6+BL6+BR6+BX6+CD6+CJ6+CP6+CV6+DB6+DH6+DN6</f>
        <v>0.3201988</v>
      </c>
      <c r="Q6" s="17"/>
      <c r="R6" s="19" t="s">
        <v>55</v>
      </c>
      <c r="S6" s="19" t="s">
        <v>55</v>
      </c>
      <c r="T6" s="13"/>
      <c r="U6" s="25"/>
      <c r="V6" s="12">
        <v>0.0028849</v>
      </c>
      <c r="W6" s="26"/>
      <c r="X6" s="19" t="s">
        <v>55</v>
      </c>
      <c r="Y6" s="19" t="s">
        <v>55</v>
      </c>
      <c r="AA6" s="25"/>
      <c r="AB6" s="12">
        <v>0.0121511</v>
      </c>
      <c r="AC6" s="26"/>
      <c r="AD6" s="19" t="s">
        <v>55</v>
      </c>
      <c r="AE6" s="19" t="s">
        <v>55</v>
      </c>
      <c r="AG6" s="25"/>
      <c r="AH6" s="12">
        <v>0.0051763</v>
      </c>
      <c r="AI6" s="26"/>
      <c r="AJ6" s="19" t="s">
        <v>55</v>
      </c>
      <c r="AK6" s="19" t="s">
        <v>55</v>
      </c>
      <c r="AM6" s="25"/>
      <c r="AN6" s="12">
        <v>0.001659</v>
      </c>
      <c r="AO6" s="26"/>
      <c r="AP6" s="19" t="s">
        <v>55</v>
      </c>
      <c r="AQ6" s="19" t="s">
        <v>55</v>
      </c>
      <c r="AS6" s="25"/>
      <c r="AT6" s="12">
        <v>0.0005119</v>
      </c>
      <c r="AU6" s="26"/>
      <c r="AV6" s="19" t="s">
        <v>55</v>
      </c>
      <c r="AW6" s="19" t="s">
        <v>55</v>
      </c>
      <c r="AY6" s="25"/>
      <c r="AZ6" s="12">
        <v>0.0109472</v>
      </c>
      <c r="BA6" s="26"/>
      <c r="BB6" s="19" t="s">
        <v>55</v>
      </c>
      <c r="BC6" s="19" t="s">
        <v>55</v>
      </c>
      <c r="BE6" s="25"/>
      <c r="BF6" s="12">
        <v>0.0001911</v>
      </c>
      <c r="BG6" s="26"/>
      <c r="BH6" s="19" t="s">
        <v>55</v>
      </c>
      <c r="BI6" s="19" t="s">
        <v>55</v>
      </c>
      <c r="BK6" s="25"/>
      <c r="BL6" s="12">
        <v>0.0424642</v>
      </c>
      <c r="BM6" s="26"/>
      <c r="BN6" s="19" t="s">
        <v>55</v>
      </c>
      <c r="BO6" s="19" t="s">
        <v>55</v>
      </c>
      <c r="BQ6" s="25"/>
      <c r="BR6" s="12">
        <v>0.0015092</v>
      </c>
      <c r="BS6" s="26"/>
      <c r="BT6" s="19" t="s">
        <v>55</v>
      </c>
      <c r="BU6" s="19" t="s">
        <v>55</v>
      </c>
      <c r="BW6" s="25"/>
      <c r="BX6" s="12">
        <v>0.0450865</v>
      </c>
      <c r="BY6" s="26"/>
      <c r="BZ6" s="19" t="s">
        <v>55</v>
      </c>
      <c r="CA6" s="19" t="s">
        <v>55</v>
      </c>
      <c r="CC6" s="25"/>
      <c r="CD6" s="12">
        <v>0.0134749</v>
      </c>
      <c r="CE6" s="26"/>
      <c r="CF6" s="19" t="s">
        <v>55</v>
      </c>
      <c r="CG6" s="19" t="s">
        <v>55</v>
      </c>
      <c r="CI6" s="25"/>
      <c r="CJ6" s="12">
        <v>0.0011948</v>
      </c>
      <c r="CK6" s="26"/>
      <c r="CL6" s="19" t="s">
        <v>55</v>
      </c>
      <c r="CM6" s="19" t="s">
        <v>55</v>
      </c>
      <c r="CO6" s="25"/>
      <c r="CP6" s="12">
        <v>0.0003698</v>
      </c>
      <c r="CQ6" s="26"/>
      <c r="CR6" s="19" t="s">
        <v>55</v>
      </c>
      <c r="CS6" s="19" t="s">
        <v>55</v>
      </c>
      <c r="CU6" s="25"/>
      <c r="CV6" s="12">
        <v>0.0013432</v>
      </c>
      <c r="CW6" s="26"/>
      <c r="CX6" s="19" t="s">
        <v>55</v>
      </c>
      <c r="CY6" s="19" t="s">
        <v>55</v>
      </c>
      <c r="DA6" s="25"/>
      <c r="DB6" s="12">
        <v>0.0026052</v>
      </c>
      <c r="DC6" s="26"/>
      <c r="DD6" s="19" t="s">
        <v>55</v>
      </c>
      <c r="DE6" s="19" t="s">
        <v>55</v>
      </c>
      <c r="DG6" s="25"/>
      <c r="DH6" s="12">
        <v>0.1786295</v>
      </c>
      <c r="DI6" s="26"/>
      <c r="DJ6" s="19" t="s">
        <v>55</v>
      </c>
      <c r="DK6" s="19" t="s">
        <v>55</v>
      </c>
      <c r="DM6" s="25"/>
      <c r="DN6" s="12"/>
      <c r="DO6" s="26"/>
      <c r="DP6" s="19" t="s">
        <v>55</v>
      </c>
    </row>
    <row r="7" spans="1:120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9" t="s">
        <v>3</v>
      </c>
      <c r="V7" s="9" t="s">
        <v>4</v>
      </c>
      <c r="W7" s="9" t="s">
        <v>0</v>
      </c>
      <c r="X7" s="19" t="s">
        <v>56</v>
      </c>
      <c r="Y7" s="48" t="s">
        <v>62</v>
      </c>
      <c r="AA7" s="9" t="s">
        <v>3</v>
      </c>
      <c r="AB7" s="9" t="s">
        <v>4</v>
      </c>
      <c r="AC7" s="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</row>
    <row r="8" spans="1:120" s="30" customFormat="1" ht="12.75">
      <c r="A8" s="29">
        <v>43739</v>
      </c>
      <c r="B8" s="28"/>
      <c r="C8" s="20"/>
      <c r="D8" s="20">
        <v>49263</v>
      </c>
      <c r="E8" s="14">
        <f aca="true" t="shared" si="0" ref="E8:E17">C8+D8</f>
        <v>49263</v>
      </c>
      <c r="F8" s="14">
        <v>25501</v>
      </c>
      <c r="G8" s="14">
        <v>37787</v>
      </c>
      <c r="H8" s="28"/>
      <c r="I8" s="28">
        <f>'2011B Academic'!I8</f>
        <v>0</v>
      </c>
      <c r="J8" s="28">
        <f>'2011B Academic'!J8</f>
        <v>33489.04651560001</v>
      </c>
      <c r="K8" s="28">
        <f aca="true" t="shared" si="1" ref="K8:K17">I8+J8</f>
        <v>33489.04651560001</v>
      </c>
      <c r="L8" s="28">
        <f>'2011B Academic'!L8</f>
        <v>17335.610401200003</v>
      </c>
      <c r="M8" s="28">
        <f>'2011B Academic'!M8</f>
        <v>25687.647944400003</v>
      </c>
      <c r="N8" s="28"/>
      <c r="O8" s="13"/>
      <c r="P8" s="20">
        <f aca="true" t="shared" si="2" ref="P8:P17">V8+AB8+AH8+AN8+AT8+AZ8+BF8+BL8+BR8+BX8+CD8+CJ8+CP8+CV8+DB8+DH8+DN8</f>
        <v>15773.9534844</v>
      </c>
      <c r="Q8" s="13">
        <f aca="true" t="shared" si="3" ref="Q8:Q17">O8+P8</f>
        <v>15773.9534844</v>
      </c>
      <c r="R8" s="13">
        <f aca="true" t="shared" si="4" ref="R8:S17">X8+AD8+AJ8+AP8+AV8+BB8+BH8+BN8+BT8+BZ8+CF8+CL8+CR8+CX8+DD8+DJ8+DP8</f>
        <v>8165.3895988</v>
      </c>
      <c r="S8" s="20">
        <f t="shared" si="4"/>
        <v>12099.3520556</v>
      </c>
      <c r="T8" s="28"/>
      <c r="U8" s="28"/>
      <c r="V8" s="20">
        <f aca="true" t="shared" si="5" ref="V8:V17">D8*0.28849/100</f>
        <v>142.11882870000002</v>
      </c>
      <c r="W8" s="28">
        <f aca="true" t="shared" si="6" ref="W8:W17">U8+V8</f>
        <v>142.11882870000002</v>
      </c>
      <c r="X8" s="28">
        <f aca="true" t="shared" si="7" ref="X8:X17">V$6*$F8</f>
        <v>73.56783490000001</v>
      </c>
      <c r="Y8" s="28">
        <f aca="true" t="shared" si="8" ref="Y8:Y17">V$6*$G8</f>
        <v>109.0117163</v>
      </c>
      <c r="AA8" s="28"/>
      <c r="AB8" s="28">
        <f aca="true" t="shared" si="9" ref="AB8:AB17">D8*1.21511/100</f>
        <v>598.5996393</v>
      </c>
      <c r="AC8" s="13">
        <f aca="true" t="shared" si="10" ref="AC8:AC17">AA8+AB8</f>
        <v>598.5996393</v>
      </c>
      <c r="AD8" s="28">
        <f aca="true" t="shared" si="11" ref="AD8:AD17">AB$6*$F8</f>
        <v>309.8652011</v>
      </c>
      <c r="AE8" s="28">
        <f aca="true" t="shared" si="12" ref="AE8:AE17">AB$6*$G8</f>
        <v>459.1536157</v>
      </c>
      <c r="AG8" s="28"/>
      <c r="AH8" s="28">
        <f aca="true" t="shared" si="13" ref="AH8:AH17">D8*0.51763/100</f>
        <v>255.0000669</v>
      </c>
      <c r="AI8" s="13">
        <f aca="true" t="shared" si="14" ref="AI8:AI17">AG8+AH8</f>
        <v>255.0000669</v>
      </c>
      <c r="AJ8" s="28">
        <f aca="true" t="shared" si="15" ref="AJ8:AJ17">AH$6*$F8</f>
        <v>132.0008263</v>
      </c>
      <c r="AK8" s="28">
        <f aca="true" t="shared" si="16" ref="AK8:AK17">AH$6*$G8</f>
        <v>195.5968481</v>
      </c>
      <c r="AM8" s="38"/>
      <c r="AN8" s="38">
        <f aca="true" t="shared" si="17" ref="AN8:AN17">D8*0.1659/100</f>
        <v>81.727317</v>
      </c>
      <c r="AO8" s="3">
        <f aca="true" t="shared" si="18" ref="AO8:AO17">AM8+AN8</f>
        <v>81.727317</v>
      </c>
      <c r="AP8" s="28">
        <f aca="true" t="shared" si="19" ref="AP8:AP17">AN$6*$F8</f>
        <v>42.306159</v>
      </c>
      <c r="AQ8" s="28">
        <f aca="true" t="shared" si="20" ref="AQ8:AQ17">AN$6*$G8</f>
        <v>62.688633</v>
      </c>
      <c r="AR8" s="28"/>
      <c r="AS8" s="28"/>
      <c r="AT8" s="28">
        <f aca="true" t="shared" si="21" ref="AT8:AT17">D8*0.05119/100</f>
        <v>25.2177297</v>
      </c>
      <c r="AU8" s="13">
        <f aca="true" t="shared" si="22" ref="AU8:AU17">AS8+AT8</f>
        <v>25.2177297</v>
      </c>
      <c r="AV8" s="28">
        <f aca="true" t="shared" si="23" ref="AV8:AV17">AT$6*$F8</f>
        <v>13.053961900000001</v>
      </c>
      <c r="AW8" s="28">
        <f aca="true" t="shared" si="24" ref="AW8:AW17">AT$6*$G8</f>
        <v>19.343165300000003</v>
      </c>
      <c r="AX8" s="28"/>
      <c r="AY8" s="28"/>
      <c r="AZ8" s="28">
        <f aca="true" t="shared" si="25" ref="AZ8:AZ17">D8*1.09472/100</f>
        <v>539.2919135999999</v>
      </c>
      <c r="BA8" s="13">
        <f aca="true" t="shared" si="26" ref="BA8:BA17">AY8+AZ8</f>
        <v>539.2919135999999</v>
      </c>
      <c r="BB8" s="28">
        <f aca="true" t="shared" si="27" ref="BB8:BB17">AZ$6*$F8</f>
        <v>279.1645472</v>
      </c>
      <c r="BC8" s="28">
        <f aca="true" t="shared" si="28" ref="BC8:BC17">AZ$6*$G8</f>
        <v>413.6618464</v>
      </c>
      <c r="BD8" s="28"/>
      <c r="BE8" s="28"/>
      <c r="BF8" s="28">
        <f aca="true" t="shared" si="29" ref="BF8:BF17">D8*0.01911/100</f>
        <v>9.4141593</v>
      </c>
      <c r="BG8" s="13">
        <f aca="true" t="shared" si="30" ref="BG8:BG17">BE8+BF8</f>
        <v>9.4141593</v>
      </c>
      <c r="BH8" s="28">
        <f aca="true" t="shared" si="31" ref="BH8:BH17">BF$6*$F8</f>
        <v>4.8732411</v>
      </c>
      <c r="BI8" s="28">
        <f aca="true" t="shared" si="32" ref="BI8:BI17">BF$6*$G8</f>
        <v>7.2210957</v>
      </c>
      <c r="BJ8" s="28"/>
      <c r="BK8" s="28"/>
      <c r="BL8" s="28">
        <f aca="true" t="shared" si="33" ref="BL8:BL17">D8*4.24642/100</f>
        <v>2091.9138846</v>
      </c>
      <c r="BM8" s="13">
        <f aca="true" t="shared" si="34" ref="BM8:BM17">BK8+BL8</f>
        <v>2091.9138846</v>
      </c>
      <c r="BN8" s="28">
        <f aca="true" t="shared" si="35" ref="BN8:BN17">BL$6*$F8</f>
        <v>1082.8795642</v>
      </c>
      <c r="BO8" s="28">
        <f aca="true" t="shared" si="36" ref="BO8:BO17">BL$6*$G8</f>
        <v>1604.5947254</v>
      </c>
      <c r="BP8" s="28"/>
      <c r="BQ8" s="28"/>
      <c r="BR8" s="28">
        <f aca="true" t="shared" si="37" ref="BR8:BR17">D8*0.15092/100</f>
        <v>74.3477196</v>
      </c>
      <c r="BS8" s="13">
        <f aca="true" t="shared" si="38" ref="BS8:BS17">BQ8+BR8</f>
        <v>74.3477196</v>
      </c>
      <c r="BT8" s="28">
        <f aca="true" t="shared" si="39" ref="BT8:BT17">BR$6*$F8</f>
        <v>38.4861092</v>
      </c>
      <c r="BU8" s="28">
        <f aca="true" t="shared" si="40" ref="BU8:BU17">BR$6*$G8</f>
        <v>57.0281404</v>
      </c>
      <c r="BV8" s="28"/>
      <c r="BW8" s="28"/>
      <c r="BX8" s="28">
        <f aca="true" t="shared" si="41" ref="BX8:BX17">D8*4.50865/100</f>
        <v>2221.0962495000003</v>
      </c>
      <c r="BY8" s="13">
        <f aca="true" t="shared" si="42" ref="BY8:BY17">BW8+BX8</f>
        <v>2221.0962495000003</v>
      </c>
      <c r="BZ8" s="28">
        <f aca="true" t="shared" si="43" ref="BZ8:BZ17">BX$6*$F8</f>
        <v>1149.7508365</v>
      </c>
      <c r="CA8" s="28">
        <f aca="true" t="shared" si="44" ref="CA8:CA17">BX$6*$G8</f>
        <v>1703.6835755</v>
      </c>
      <c r="CB8" s="28"/>
      <c r="CC8" s="28"/>
      <c r="CD8" s="28">
        <f aca="true" t="shared" si="45" ref="CD8:CD17">D8*1.34749/100</f>
        <v>663.8139987000001</v>
      </c>
      <c r="CE8" s="13">
        <f aca="true" t="shared" si="46" ref="CE8:CE17">CC8+CD8</f>
        <v>663.8139987000001</v>
      </c>
      <c r="CF8" s="28">
        <f aca="true" t="shared" si="47" ref="CF8:CF17">CD$6*$F8</f>
        <v>343.6234249</v>
      </c>
      <c r="CG8" s="28">
        <f aca="true" t="shared" si="48" ref="CG8:CG17">CD$6*$G8</f>
        <v>509.1760463</v>
      </c>
      <c r="CH8" s="28"/>
      <c r="CI8" s="28"/>
      <c r="CJ8" s="28">
        <f aca="true" t="shared" si="49" ref="CJ8:CJ17">D8*0.11948/100</f>
        <v>58.8594324</v>
      </c>
      <c r="CK8" s="13">
        <f aca="true" t="shared" si="50" ref="CK8:CK17">CI8+CJ8</f>
        <v>58.8594324</v>
      </c>
      <c r="CL8" s="28">
        <f aca="true" t="shared" si="51" ref="CL8:CL17">CJ$6*$F8</f>
        <v>30.468594799999998</v>
      </c>
      <c r="CM8" s="28">
        <f aca="true" t="shared" si="52" ref="CM8:CM17">CJ$6*$G8</f>
        <v>45.147907599999996</v>
      </c>
      <c r="CN8" s="28"/>
      <c r="CO8" s="28"/>
      <c r="CP8" s="28">
        <f aca="true" t="shared" si="53" ref="CP8:CP17">D8*0.03698/100</f>
        <v>18.217457399999997</v>
      </c>
      <c r="CQ8" s="13">
        <f aca="true" t="shared" si="54" ref="CQ8:CQ17">CO8+CP8</f>
        <v>18.217457399999997</v>
      </c>
      <c r="CR8" s="28">
        <f aca="true" t="shared" si="55" ref="CR8:CR17">CP$6*$F8</f>
        <v>9.4302698</v>
      </c>
      <c r="CS8" s="28">
        <f aca="true" t="shared" si="56" ref="CS8:CS17">CP$6*$G8</f>
        <v>13.9736326</v>
      </c>
      <c r="CT8" s="28"/>
      <c r="CU8" s="28"/>
      <c r="CV8" s="28">
        <f aca="true" t="shared" si="57" ref="CV8:CV17">D8*0.13432/100</f>
        <v>66.1700616</v>
      </c>
      <c r="CW8" s="13">
        <f aca="true" t="shared" si="58" ref="CW8:CW17">CU8+CV8</f>
        <v>66.1700616</v>
      </c>
      <c r="CX8" s="28">
        <f aca="true" t="shared" si="59" ref="CX8:CX17">CV$6*$F8</f>
        <v>34.2529432</v>
      </c>
      <c r="CY8" s="28">
        <f aca="true" t="shared" si="60" ref="CY8:CY17">CV$6*$G8</f>
        <v>50.75549839999999</v>
      </c>
      <c r="CZ8" s="28"/>
      <c r="DA8" s="28"/>
      <c r="DB8" s="28">
        <f aca="true" t="shared" si="61" ref="DB8:DB17">D8*0.26052/100</f>
        <v>128.3399676</v>
      </c>
      <c r="DC8" s="13">
        <f aca="true" t="shared" si="62" ref="DC8:DC17">DA8+DB8</f>
        <v>128.3399676</v>
      </c>
      <c r="DD8" s="28">
        <f aca="true" t="shared" si="63" ref="DD8:DD17">DB$6*$F8</f>
        <v>66.4352052</v>
      </c>
      <c r="DE8" s="28">
        <f aca="true" t="shared" si="64" ref="DE8:DE17">DB$6*$G8</f>
        <v>98.4426924</v>
      </c>
      <c r="DF8" s="28"/>
      <c r="DG8" s="28"/>
      <c r="DH8" s="28">
        <f aca="true" t="shared" si="65" ref="DH8:DH17">D8*17.86295/100</f>
        <v>8799.8250585</v>
      </c>
      <c r="DI8" s="13">
        <f aca="true" t="shared" si="66" ref="DI8:DI17">DG8+DH8</f>
        <v>8799.8250585</v>
      </c>
      <c r="DJ8" s="28">
        <f aca="true" t="shared" si="67" ref="DJ8:DJ17">DH$6*$F8</f>
        <v>4555.2308795</v>
      </c>
      <c r="DK8" s="28">
        <f aca="true" t="shared" si="68" ref="DK8:DK17">DH$6*$G8</f>
        <v>6749.8729164999995</v>
      </c>
      <c r="DL8" s="28"/>
      <c r="DM8" s="13"/>
      <c r="DN8" s="13"/>
      <c r="DO8" s="13">
        <f aca="true" t="shared" si="69" ref="DO8:DO17">DM8+DN8</f>
        <v>0</v>
      </c>
      <c r="DP8" s="13"/>
    </row>
    <row r="9" spans="1:120" s="30" customFormat="1" ht="12.75">
      <c r="A9" s="29">
        <v>43922</v>
      </c>
      <c r="B9" s="28"/>
      <c r="C9" s="20"/>
      <c r="D9" s="20">
        <v>49263</v>
      </c>
      <c r="E9" s="14">
        <f t="shared" si="0"/>
        <v>49263</v>
      </c>
      <c r="F9" s="14">
        <v>25501</v>
      </c>
      <c r="G9" s="14">
        <v>37787</v>
      </c>
      <c r="H9" s="28"/>
      <c r="I9" s="28">
        <f>'2011B Academic'!I9</f>
        <v>0</v>
      </c>
      <c r="J9" s="28">
        <f>'2011B Academic'!J9</f>
        <v>33489.04651560001</v>
      </c>
      <c r="K9" s="28">
        <f t="shared" si="1"/>
        <v>33489.04651560001</v>
      </c>
      <c r="L9" s="28">
        <f>'2011B Academic'!L9</f>
        <v>17335.610401200003</v>
      </c>
      <c r="M9" s="28">
        <f>'2011B Academic'!M9</f>
        <v>25687.647944400003</v>
      </c>
      <c r="N9" s="28"/>
      <c r="O9" s="13">
        <f>U9+AA9+AG9+AM9+AS9+AY9+BE9+BK9+BQ9+BW9+CC9+CI9+CO9+CU9+DA9+DG9+DM9</f>
        <v>0</v>
      </c>
      <c r="P9" s="20">
        <f t="shared" si="2"/>
        <v>15773.9534844</v>
      </c>
      <c r="Q9" s="13">
        <f t="shared" si="3"/>
        <v>15773.9534844</v>
      </c>
      <c r="R9" s="13">
        <f t="shared" si="4"/>
        <v>8165.3895988</v>
      </c>
      <c r="S9" s="20">
        <f t="shared" si="4"/>
        <v>12099.3520556</v>
      </c>
      <c r="T9" s="28"/>
      <c r="U9" s="28">
        <f aca="true" t="shared" si="70" ref="U9:U17">C9*0.28849/100</f>
        <v>0</v>
      </c>
      <c r="V9" s="20">
        <f t="shared" si="5"/>
        <v>142.11882870000002</v>
      </c>
      <c r="W9" s="28">
        <f t="shared" si="6"/>
        <v>142.11882870000002</v>
      </c>
      <c r="X9" s="28">
        <f t="shared" si="7"/>
        <v>73.56783490000001</v>
      </c>
      <c r="Y9" s="28">
        <f t="shared" si="8"/>
        <v>109.0117163</v>
      </c>
      <c r="AA9" s="28">
        <f aca="true" t="shared" si="71" ref="AA9:AA17">C9*1.21511/100</f>
        <v>0</v>
      </c>
      <c r="AB9" s="28">
        <f t="shared" si="9"/>
        <v>598.5996393</v>
      </c>
      <c r="AC9" s="13">
        <f t="shared" si="10"/>
        <v>598.5996393</v>
      </c>
      <c r="AD9" s="28">
        <f t="shared" si="11"/>
        <v>309.8652011</v>
      </c>
      <c r="AE9" s="28">
        <f t="shared" si="12"/>
        <v>459.1536157</v>
      </c>
      <c r="AG9" s="28">
        <f aca="true" t="shared" si="72" ref="AG9:AG17">C9*0.51763/100</f>
        <v>0</v>
      </c>
      <c r="AH9" s="28">
        <f t="shared" si="13"/>
        <v>255.0000669</v>
      </c>
      <c r="AI9" s="13">
        <f t="shared" si="14"/>
        <v>255.0000669</v>
      </c>
      <c r="AJ9" s="28">
        <f t="shared" si="15"/>
        <v>132.0008263</v>
      </c>
      <c r="AK9" s="28">
        <f t="shared" si="16"/>
        <v>195.5968481</v>
      </c>
      <c r="AM9" s="38">
        <f aca="true" t="shared" si="73" ref="AM9:AM17">C9*0.1659/100</f>
        <v>0</v>
      </c>
      <c r="AN9" s="38">
        <f t="shared" si="17"/>
        <v>81.727317</v>
      </c>
      <c r="AO9" s="3">
        <f t="shared" si="18"/>
        <v>81.727317</v>
      </c>
      <c r="AP9" s="28">
        <f t="shared" si="19"/>
        <v>42.306159</v>
      </c>
      <c r="AQ9" s="28">
        <f t="shared" si="20"/>
        <v>62.688633</v>
      </c>
      <c r="AR9" s="28"/>
      <c r="AS9" s="28">
        <f aca="true" t="shared" si="74" ref="AS9:AS17">C9*0.05119/100</f>
        <v>0</v>
      </c>
      <c r="AT9" s="28">
        <f t="shared" si="21"/>
        <v>25.2177297</v>
      </c>
      <c r="AU9" s="13">
        <f t="shared" si="22"/>
        <v>25.2177297</v>
      </c>
      <c r="AV9" s="28">
        <f t="shared" si="23"/>
        <v>13.053961900000001</v>
      </c>
      <c r="AW9" s="28">
        <f t="shared" si="24"/>
        <v>19.343165300000003</v>
      </c>
      <c r="AX9" s="28"/>
      <c r="AY9" s="28">
        <f aca="true" t="shared" si="75" ref="AY9:AY17">C9*1.09472/100</f>
        <v>0</v>
      </c>
      <c r="AZ9" s="28">
        <f t="shared" si="25"/>
        <v>539.2919135999999</v>
      </c>
      <c r="BA9" s="13">
        <f t="shared" si="26"/>
        <v>539.2919135999999</v>
      </c>
      <c r="BB9" s="28">
        <f t="shared" si="27"/>
        <v>279.1645472</v>
      </c>
      <c r="BC9" s="28">
        <f t="shared" si="28"/>
        <v>413.6618464</v>
      </c>
      <c r="BD9" s="28"/>
      <c r="BE9" s="28">
        <f aca="true" t="shared" si="76" ref="BE9:BE17">C9*0.01911/100</f>
        <v>0</v>
      </c>
      <c r="BF9" s="28">
        <f t="shared" si="29"/>
        <v>9.4141593</v>
      </c>
      <c r="BG9" s="13">
        <f t="shared" si="30"/>
        <v>9.4141593</v>
      </c>
      <c r="BH9" s="28">
        <f t="shared" si="31"/>
        <v>4.8732411</v>
      </c>
      <c r="BI9" s="28">
        <f t="shared" si="32"/>
        <v>7.2210957</v>
      </c>
      <c r="BJ9" s="28"/>
      <c r="BK9" s="28">
        <f aca="true" t="shared" si="77" ref="BK9:BK17">C9*4.24642/100</f>
        <v>0</v>
      </c>
      <c r="BL9" s="28">
        <f t="shared" si="33"/>
        <v>2091.9138846</v>
      </c>
      <c r="BM9" s="13">
        <f t="shared" si="34"/>
        <v>2091.9138846</v>
      </c>
      <c r="BN9" s="28">
        <f t="shared" si="35"/>
        <v>1082.8795642</v>
      </c>
      <c r="BO9" s="28">
        <f t="shared" si="36"/>
        <v>1604.5947254</v>
      </c>
      <c r="BP9" s="28"/>
      <c r="BQ9" s="28">
        <f aca="true" t="shared" si="78" ref="BQ9:BQ17">C9*0.15092/100</f>
        <v>0</v>
      </c>
      <c r="BR9" s="28">
        <f t="shared" si="37"/>
        <v>74.3477196</v>
      </c>
      <c r="BS9" s="13">
        <f t="shared" si="38"/>
        <v>74.3477196</v>
      </c>
      <c r="BT9" s="28">
        <f t="shared" si="39"/>
        <v>38.4861092</v>
      </c>
      <c r="BU9" s="28">
        <f t="shared" si="40"/>
        <v>57.0281404</v>
      </c>
      <c r="BV9" s="28"/>
      <c r="BW9" s="28">
        <f aca="true" t="shared" si="79" ref="BW9:BW17">C9*4.50865/100</f>
        <v>0</v>
      </c>
      <c r="BX9" s="28">
        <f t="shared" si="41"/>
        <v>2221.0962495000003</v>
      </c>
      <c r="BY9" s="13">
        <f t="shared" si="42"/>
        <v>2221.0962495000003</v>
      </c>
      <c r="BZ9" s="28">
        <f t="shared" si="43"/>
        <v>1149.7508365</v>
      </c>
      <c r="CA9" s="28">
        <f t="shared" si="44"/>
        <v>1703.6835755</v>
      </c>
      <c r="CB9" s="28"/>
      <c r="CC9" s="28">
        <f aca="true" t="shared" si="80" ref="CC9:CC17">C9*1.34749/100</f>
        <v>0</v>
      </c>
      <c r="CD9" s="28">
        <f t="shared" si="45"/>
        <v>663.8139987000001</v>
      </c>
      <c r="CE9" s="13">
        <f t="shared" si="46"/>
        <v>663.8139987000001</v>
      </c>
      <c r="CF9" s="28">
        <f t="shared" si="47"/>
        <v>343.6234249</v>
      </c>
      <c r="CG9" s="28">
        <f t="shared" si="48"/>
        <v>509.1760463</v>
      </c>
      <c r="CH9" s="28"/>
      <c r="CI9" s="28">
        <f aca="true" t="shared" si="81" ref="CI9:CI17">C9*0.11948/100</f>
        <v>0</v>
      </c>
      <c r="CJ9" s="28">
        <f t="shared" si="49"/>
        <v>58.8594324</v>
      </c>
      <c r="CK9" s="13">
        <f t="shared" si="50"/>
        <v>58.8594324</v>
      </c>
      <c r="CL9" s="28">
        <f t="shared" si="51"/>
        <v>30.468594799999998</v>
      </c>
      <c r="CM9" s="28">
        <f t="shared" si="52"/>
        <v>45.147907599999996</v>
      </c>
      <c r="CN9" s="28"/>
      <c r="CO9" s="28">
        <f aca="true" t="shared" si="82" ref="CO9:CO17">C9*0.03698/100</f>
        <v>0</v>
      </c>
      <c r="CP9" s="28">
        <f t="shared" si="53"/>
        <v>18.217457399999997</v>
      </c>
      <c r="CQ9" s="13">
        <f t="shared" si="54"/>
        <v>18.217457399999997</v>
      </c>
      <c r="CR9" s="28">
        <f t="shared" si="55"/>
        <v>9.4302698</v>
      </c>
      <c r="CS9" s="28">
        <f t="shared" si="56"/>
        <v>13.9736326</v>
      </c>
      <c r="CT9" s="28"/>
      <c r="CU9" s="28">
        <f aca="true" t="shared" si="83" ref="CU9:CU17">C9*0.13432/100</f>
        <v>0</v>
      </c>
      <c r="CV9" s="28">
        <f t="shared" si="57"/>
        <v>66.1700616</v>
      </c>
      <c r="CW9" s="13">
        <f t="shared" si="58"/>
        <v>66.1700616</v>
      </c>
      <c r="CX9" s="28">
        <f t="shared" si="59"/>
        <v>34.2529432</v>
      </c>
      <c r="CY9" s="28">
        <f t="shared" si="60"/>
        <v>50.75549839999999</v>
      </c>
      <c r="CZ9" s="28"/>
      <c r="DA9" s="28">
        <f aca="true" t="shared" si="84" ref="DA9:DA17">C9*0.26052/100</f>
        <v>0</v>
      </c>
      <c r="DB9" s="28">
        <f t="shared" si="61"/>
        <v>128.3399676</v>
      </c>
      <c r="DC9" s="13">
        <f t="shared" si="62"/>
        <v>128.3399676</v>
      </c>
      <c r="DD9" s="28">
        <f t="shared" si="63"/>
        <v>66.4352052</v>
      </c>
      <c r="DE9" s="28">
        <f t="shared" si="64"/>
        <v>98.4426924</v>
      </c>
      <c r="DF9" s="28"/>
      <c r="DG9" s="28">
        <f aca="true" t="shared" si="85" ref="DG9:DG17">C9*17.86295/100</f>
        <v>0</v>
      </c>
      <c r="DH9" s="28">
        <f t="shared" si="65"/>
        <v>8799.8250585</v>
      </c>
      <c r="DI9" s="13">
        <f t="shared" si="66"/>
        <v>8799.8250585</v>
      </c>
      <c r="DJ9" s="28">
        <f t="shared" si="67"/>
        <v>4555.2308795</v>
      </c>
      <c r="DK9" s="28">
        <f t="shared" si="68"/>
        <v>6749.8729164999995</v>
      </c>
      <c r="DL9" s="28"/>
      <c r="DM9" s="13"/>
      <c r="DN9" s="13"/>
      <c r="DO9" s="13">
        <f t="shared" si="69"/>
        <v>0</v>
      </c>
      <c r="DP9" s="13"/>
    </row>
    <row r="10" spans="1:120" s="30" customFormat="1" ht="12.75">
      <c r="A10" s="29">
        <v>44105</v>
      </c>
      <c r="B10" s="28"/>
      <c r="C10" s="20"/>
      <c r="D10" s="20">
        <v>49263</v>
      </c>
      <c r="E10" s="14">
        <f t="shared" si="0"/>
        <v>49263</v>
      </c>
      <c r="F10" s="14">
        <v>25501</v>
      </c>
      <c r="G10" s="14">
        <v>37787</v>
      </c>
      <c r="H10" s="28"/>
      <c r="I10" s="28">
        <f>'2011B Academic'!I10</f>
        <v>0</v>
      </c>
      <c r="J10" s="28">
        <f>'2011B Academic'!J10</f>
        <v>33489.04651560001</v>
      </c>
      <c r="K10" s="28">
        <f t="shared" si="1"/>
        <v>33489.04651560001</v>
      </c>
      <c r="L10" s="28">
        <f>'2011B Academic'!L10</f>
        <v>17335.610401200003</v>
      </c>
      <c r="M10" s="28">
        <f>'2011B Academic'!M10</f>
        <v>25687.647944400003</v>
      </c>
      <c r="N10" s="28"/>
      <c r="O10" s="13"/>
      <c r="P10" s="20">
        <f t="shared" si="2"/>
        <v>15773.9534844</v>
      </c>
      <c r="Q10" s="13">
        <f t="shared" si="3"/>
        <v>15773.9534844</v>
      </c>
      <c r="R10" s="13">
        <f t="shared" si="4"/>
        <v>8165.3895988</v>
      </c>
      <c r="S10" s="20">
        <f t="shared" si="4"/>
        <v>12099.3520556</v>
      </c>
      <c r="T10" s="28"/>
      <c r="U10" s="28"/>
      <c r="V10" s="20">
        <f t="shared" si="5"/>
        <v>142.11882870000002</v>
      </c>
      <c r="W10" s="28">
        <f t="shared" si="6"/>
        <v>142.11882870000002</v>
      </c>
      <c r="X10" s="28">
        <f t="shared" si="7"/>
        <v>73.56783490000001</v>
      </c>
      <c r="Y10" s="28">
        <f t="shared" si="8"/>
        <v>109.0117163</v>
      </c>
      <c r="AA10" s="28"/>
      <c r="AB10" s="28">
        <f t="shared" si="9"/>
        <v>598.5996393</v>
      </c>
      <c r="AC10" s="13">
        <f t="shared" si="10"/>
        <v>598.5996393</v>
      </c>
      <c r="AD10" s="28">
        <f t="shared" si="11"/>
        <v>309.8652011</v>
      </c>
      <c r="AE10" s="28">
        <f t="shared" si="12"/>
        <v>459.1536157</v>
      </c>
      <c r="AG10" s="28"/>
      <c r="AH10" s="28">
        <f t="shared" si="13"/>
        <v>255.0000669</v>
      </c>
      <c r="AI10" s="13">
        <f t="shared" si="14"/>
        <v>255.0000669</v>
      </c>
      <c r="AJ10" s="28">
        <f t="shared" si="15"/>
        <v>132.0008263</v>
      </c>
      <c r="AK10" s="28">
        <f t="shared" si="16"/>
        <v>195.5968481</v>
      </c>
      <c r="AM10" s="38"/>
      <c r="AN10" s="38">
        <f t="shared" si="17"/>
        <v>81.727317</v>
      </c>
      <c r="AO10" s="3">
        <f t="shared" si="18"/>
        <v>81.727317</v>
      </c>
      <c r="AP10" s="28">
        <f t="shared" si="19"/>
        <v>42.306159</v>
      </c>
      <c r="AQ10" s="28">
        <f t="shared" si="20"/>
        <v>62.688633</v>
      </c>
      <c r="AR10" s="28"/>
      <c r="AS10" s="28"/>
      <c r="AT10" s="28">
        <f t="shared" si="21"/>
        <v>25.2177297</v>
      </c>
      <c r="AU10" s="13">
        <f t="shared" si="22"/>
        <v>25.2177297</v>
      </c>
      <c r="AV10" s="28">
        <f t="shared" si="23"/>
        <v>13.053961900000001</v>
      </c>
      <c r="AW10" s="28">
        <f t="shared" si="24"/>
        <v>19.343165300000003</v>
      </c>
      <c r="AX10" s="28"/>
      <c r="AY10" s="28"/>
      <c r="AZ10" s="28">
        <f t="shared" si="25"/>
        <v>539.2919135999999</v>
      </c>
      <c r="BA10" s="13">
        <f t="shared" si="26"/>
        <v>539.2919135999999</v>
      </c>
      <c r="BB10" s="28">
        <f t="shared" si="27"/>
        <v>279.1645472</v>
      </c>
      <c r="BC10" s="28">
        <f t="shared" si="28"/>
        <v>413.6618464</v>
      </c>
      <c r="BD10" s="28"/>
      <c r="BE10" s="28"/>
      <c r="BF10" s="28">
        <f t="shared" si="29"/>
        <v>9.4141593</v>
      </c>
      <c r="BG10" s="13">
        <f t="shared" si="30"/>
        <v>9.4141593</v>
      </c>
      <c r="BH10" s="28">
        <f t="shared" si="31"/>
        <v>4.8732411</v>
      </c>
      <c r="BI10" s="28">
        <f t="shared" si="32"/>
        <v>7.2210957</v>
      </c>
      <c r="BJ10" s="28"/>
      <c r="BK10" s="28"/>
      <c r="BL10" s="28">
        <f t="shared" si="33"/>
        <v>2091.9138846</v>
      </c>
      <c r="BM10" s="13">
        <f t="shared" si="34"/>
        <v>2091.9138846</v>
      </c>
      <c r="BN10" s="28">
        <f t="shared" si="35"/>
        <v>1082.8795642</v>
      </c>
      <c r="BO10" s="28">
        <f t="shared" si="36"/>
        <v>1604.5947254</v>
      </c>
      <c r="BP10" s="28"/>
      <c r="BQ10" s="28"/>
      <c r="BR10" s="28">
        <f t="shared" si="37"/>
        <v>74.3477196</v>
      </c>
      <c r="BS10" s="13">
        <f t="shared" si="38"/>
        <v>74.3477196</v>
      </c>
      <c r="BT10" s="28">
        <f t="shared" si="39"/>
        <v>38.4861092</v>
      </c>
      <c r="BU10" s="28">
        <f t="shared" si="40"/>
        <v>57.0281404</v>
      </c>
      <c r="BV10" s="28"/>
      <c r="BW10" s="28"/>
      <c r="BX10" s="28">
        <f t="shared" si="41"/>
        <v>2221.0962495000003</v>
      </c>
      <c r="BY10" s="13">
        <f t="shared" si="42"/>
        <v>2221.0962495000003</v>
      </c>
      <c r="BZ10" s="28">
        <f t="shared" si="43"/>
        <v>1149.7508365</v>
      </c>
      <c r="CA10" s="28">
        <f t="shared" si="44"/>
        <v>1703.6835755</v>
      </c>
      <c r="CB10" s="28"/>
      <c r="CC10" s="28"/>
      <c r="CD10" s="28">
        <f t="shared" si="45"/>
        <v>663.8139987000001</v>
      </c>
      <c r="CE10" s="13">
        <f t="shared" si="46"/>
        <v>663.8139987000001</v>
      </c>
      <c r="CF10" s="28">
        <f t="shared" si="47"/>
        <v>343.6234249</v>
      </c>
      <c r="CG10" s="28">
        <f t="shared" si="48"/>
        <v>509.1760463</v>
      </c>
      <c r="CH10" s="28"/>
      <c r="CI10" s="28"/>
      <c r="CJ10" s="28">
        <f t="shared" si="49"/>
        <v>58.8594324</v>
      </c>
      <c r="CK10" s="13">
        <f t="shared" si="50"/>
        <v>58.8594324</v>
      </c>
      <c r="CL10" s="28">
        <f t="shared" si="51"/>
        <v>30.468594799999998</v>
      </c>
      <c r="CM10" s="28">
        <f t="shared" si="52"/>
        <v>45.147907599999996</v>
      </c>
      <c r="CN10" s="28"/>
      <c r="CO10" s="28"/>
      <c r="CP10" s="28">
        <f t="shared" si="53"/>
        <v>18.217457399999997</v>
      </c>
      <c r="CQ10" s="13">
        <f t="shared" si="54"/>
        <v>18.217457399999997</v>
      </c>
      <c r="CR10" s="28">
        <f t="shared" si="55"/>
        <v>9.4302698</v>
      </c>
      <c r="CS10" s="28">
        <f t="shared" si="56"/>
        <v>13.9736326</v>
      </c>
      <c r="CT10" s="28"/>
      <c r="CU10" s="28"/>
      <c r="CV10" s="28">
        <f t="shared" si="57"/>
        <v>66.1700616</v>
      </c>
      <c r="CW10" s="13">
        <f t="shared" si="58"/>
        <v>66.1700616</v>
      </c>
      <c r="CX10" s="28">
        <f t="shared" si="59"/>
        <v>34.2529432</v>
      </c>
      <c r="CY10" s="28">
        <f t="shared" si="60"/>
        <v>50.75549839999999</v>
      </c>
      <c r="CZ10" s="28"/>
      <c r="DA10" s="28"/>
      <c r="DB10" s="28">
        <f t="shared" si="61"/>
        <v>128.3399676</v>
      </c>
      <c r="DC10" s="13">
        <f t="shared" si="62"/>
        <v>128.3399676</v>
      </c>
      <c r="DD10" s="28">
        <f t="shared" si="63"/>
        <v>66.4352052</v>
      </c>
      <c r="DE10" s="28">
        <f t="shared" si="64"/>
        <v>98.4426924</v>
      </c>
      <c r="DF10" s="28"/>
      <c r="DG10" s="28"/>
      <c r="DH10" s="28">
        <f t="shared" si="65"/>
        <v>8799.8250585</v>
      </c>
      <c r="DI10" s="13">
        <f t="shared" si="66"/>
        <v>8799.8250585</v>
      </c>
      <c r="DJ10" s="28">
        <f t="shared" si="67"/>
        <v>4555.2308795</v>
      </c>
      <c r="DK10" s="28">
        <f t="shared" si="68"/>
        <v>6749.8729164999995</v>
      </c>
      <c r="DL10" s="28"/>
      <c r="DM10" s="13"/>
      <c r="DN10" s="13"/>
      <c r="DO10" s="13">
        <f t="shared" si="69"/>
        <v>0</v>
      </c>
      <c r="DP10" s="13"/>
    </row>
    <row r="11" spans="1:120" s="30" customFormat="1" ht="12.75">
      <c r="A11" s="29">
        <v>44287</v>
      </c>
      <c r="B11" s="28"/>
      <c r="C11" s="20"/>
      <c r="D11" s="20">
        <v>49263</v>
      </c>
      <c r="E11" s="14">
        <f t="shared" si="0"/>
        <v>49263</v>
      </c>
      <c r="F11" s="14">
        <v>25501</v>
      </c>
      <c r="G11" s="14">
        <v>37787</v>
      </c>
      <c r="H11" s="28"/>
      <c r="I11" s="28">
        <f>'2011B Academic'!I11</f>
        <v>0</v>
      </c>
      <c r="J11" s="28">
        <f>'2011B Academic'!J11</f>
        <v>33489.04651560001</v>
      </c>
      <c r="K11" s="28">
        <f t="shared" si="1"/>
        <v>33489.04651560001</v>
      </c>
      <c r="L11" s="28">
        <f>'2011B Academic'!L11</f>
        <v>17335.610401200003</v>
      </c>
      <c r="M11" s="28">
        <f>'2011B Academic'!M11</f>
        <v>25687.647944400003</v>
      </c>
      <c r="N11" s="28"/>
      <c r="O11" s="13">
        <f>U11+AA11+AG11+AM11+AS11+AY11+BE11+BK11+BQ11+BW11+CC11+CI11+CO11+CU11+DA11+DG11+DM11</f>
        <v>0</v>
      </c>
      <c r="P11" s="20">
        <f t="shared" si="2"/>
        <v>15773.9534844</v>
      </c>
      <c r="Q11" s="13">
        <f t="shared" si="3"/>
        <v>15773.9534844</v>
      </c>
      <c r="R11" s="13">
        <f t="shared" si="4"/>
        <v>8165.3895988</v>
      </c>
      <c r="S11" s="20">
        <f t="shared" si="4"/>
        <v>12099.3520556</v>
      </c>
      <c r="T11" s="28"/>
      <c r="U11" s="28">
        <f t="shared" si="70"/>
        <v>0</v>
      </c>
      <c r="V11" s="20">
        <f t="shared" si="5"/>
        <v>142.11882870000002</v>
      </c>
      <c r="W11" s="28">
        <f t="shared" si="6"/>
        <v>142.11882870000002</v>
      </c>
      <c r="X11" s="28">
        <f t="shared" si="7"/>
        <v>73.56783490000001</v>
      </c>
      <c r="Y11" s="28">
        <f t="shared" si="8"/>
        <v>109.0117163</v>
      </c>
      <c r="AA11" s="28">
        <f t="shared" si="71"/>
        <v>0</v>
      </c>
      <c r="AB11" s="28">
        <f t="shared" si="9"/>
        <v>598.5996393</v>
      </c>
      <c r="AC11" s="13">
        <f t="shared" si="10"/>
        <v>598.5996393</v>
      </c>
      <c r="AD11" s="28">
        <f t="shared" si="11"/>
        <v>309.8652011</v>
      </c>
      <c r="AE11" s="28">
        <f t="shared" si="12"/>
        <v>459.1536157</v>
      </c>
      <c r="AG11" s="28">
        <f t="shared" si="72"/>
        <v>0</v>
      </c>
      <c r="AH11" s="28">
        <f t="shared" si="13"/>
        <v>255.0000669</v>
      </c>
      <c r="AI11" s="13">
        <f t="shared" si="14"/>
        <v>255.0000669</v>
      </c>
      <c r="AJ11" s="28">
        <f t="shared" si="15"/>
        <v>132.0008263</v>
      </c>
      <c r="AK11" s="28">
        <f t="shared" si="16"/>
        <v>195.5968481</v>
      </c>
      <c r="AM11" s="38">
        <f t="shared" si="73"/>
        <v>0</v>
      </c>
      <c r="AN11" s="38">
        <f t="shared" si="17"/>
        <v>81.727317</v>
      </c>
      <c r="AO11" s="3">
        <f t="shared" si="18"/>
        <v>81.727317</v>
      </c>
      <c r="AP11" s="28">
        <f t="shared" si="19"/>
        <v>42.306159</v>
      </c>
      <c r="AQ11" s="28">
        <f t="shared" si="20"/>
        <v>62.688633</v>
      </c>
      <c r="AR11" s="28"/>
      <c r="AS11" s="28">
        <f t="shared" si="74"/>
        <v>0</v>
      </c>
      <c r="AT11" s="28">
        <f t="shared" si="21"/>
        <v>25.2177297</v>
      </c>
      <c r="AU11" s="13">
        <f t="shared" si="22"/>
        <v>25.2177297</v>
      </c>
      <c r="AV11" s="28">
        <f t="shared" si="23"/>
        <v>13.053961900000001</v>
      </c>
      <c r="AW11" s="28">
        <f t="shared" si="24"/>
        <v>19.343165300000003</v>
      </c>
      <c r="AX11" s="28"/>
      <c r="AY11" s="28">
        <f t="shared" si="75"/>
        <v>0</v>
      </c>
      <c r="AZ11" s="28">
        <f t="shared" si="25"/>
        <v>539.2919135999999</v>
      </c>
      <c r="BA11" s="13">
        <f t="shared" si="26"/>
        <v>539.2919135999999</v>
      </c>
      <c r="BB11" s="28">
        <f t="shared" si="27"/>
        <v>279.1645472</v>
      </c>
      <c r="BC11" s="28">
        <f t="shared" si="28"/>
        <v>413.6618464</v>
      </c>
      <c r="BD11" s="28"/>
      <c r="BE11" s="28">
        <f t="shared" si="76"/>
        <v>0</v>
      </c>
      <c r="BF11" s="28">
        <f t="shared" si="29"/>
        <v>9.4141593</v>
      </c>
      <c r="BG11" s="13">
        <f t="shared" si="30"/>
        <v>9.4141593</v>
      </c>
      <c r="BH11" s="28">
        <f t="shared" si="31"/>
        <v>4.8732411</v>
      </c>
      <c r="BI11" s="28">
        <f t="shared" si="32"/>
        <v>7.2210957</v>
      </c>
      <c r="BJ11" s="28"/>
      <c r="BK11" s="28">
        <f t="shared" si="77"/>
        <v>0</v>
      </c>
      <c r="BL11" s="28">
        <f t="shared" si="33"/>
        <v>2091.9138846</v>
      </c>
      <c r="BM11" s="13">
        <f t="shared" si="34"/>
        <v>2091.9138846</v>
      </c>
      <c r="BN11" s="28">
        <f t="shared" si="35"/>
        <v>1082.8795642</v>
      </c>
      <c r="BO11" s="28">
        <f t="shared" si="36"/>
        <v>1604.5947254</v>
      </c>
      <c r="BP11" s="28"/>
      <c r="BQ11" s="28">
        <f t="shared" si="78"/>
        <v>0</v>
      </c>
      <c r="BR11" s="28">
        <f t="shared" si="37"/>
        <v>74.3477196</v>
      </c>
      <c r="BS11" s="13">
        <f t="shared" si="38"/>
        <v>74.3477196</v>
      </c>
      <c r="BT11" s="28">
        <f t="shared" si="39"/>
        <v>38.4861092</v>
      </c>
      <c r="BU11" s="28">
        <f t="shared" si="40"/>
        <v>57.0281404</v>
      </c>
      <c r="BV11" s="28"/>
      <c r="BW11" s="28">
        <f t="shared" si="79"/>
        <v>0</v>
      </c>
      <c r="BX11" s="28">
        <f t="shared" si="41"/>
        <v>2221.0962495000003</v>
      </c>
      <c r="BY11" s="13">
        <f t="shared" si="42"/>
        <v>2221.0962495000003</v>
      </c>
      <c r="BZ11" s="28">
        <f t="shared" si="43"/>
        <v>1149.7508365</v>
      </c>
      <c r="CA11" s="28">
        <f t="shared" si="44"/>
        <v>1703.6835755</v>
      </c>
      <c r="CB11" s="28"/>
      <c r="CC11" s="28">
        <f t="shared" si="80"/>
        <v>0</v>
      </c>
      <c r="CD11" s="28">
        <f t="shared" si="45"/>
        <v>663.8139987000001</v>
      </c>
      <c r="CE11" s="13">
        <f t="shared" si="46"/>
        <v>663.8139987000001</v>
      </c>
      <c r="CF11" s="28">
        <f t="shared" si="47"/>
        <v>343.6234249</v>
      </c>
      <c r="CG11" s="28">
        <f t="shared" si="48"/>
        <v>509.1760463</v>
      </c>
      <c r="CH11" s="28"/>
      <c r="CI11" s="28">
        <f t="shared" si="81"/>
        <v>0</v>
      </c>
      <c r="CJ11" s="28">
        <f t="shared" si="49"/>
        <v>58.8594324</v>
      </c>
      <c r="CK11" s="13">
        <f t="shared" si="50"/>
        <v>58.8594324</v>
      </c>
      <c r="CL11" s="28">
        <f t="shared" si="51"/>
        <v>30.468594799999998</v>
      </c>
      <c r="CM11" s="28">
        <f t="shared" si="52"/>
        <v>45.147907599999996</v>
      </c>
      <c r="CN11" s="28"/>
      <c r="CO11" s="28">
        <f t="shared" si="82"/>
        <v>0</v>
      </c>
      <c r="CP11" s="28">
        <f t="shared" si="53"/>
        <v>18.217457399999997</v>
      </c>
      <c r="CQ11" s="13">
        <f t="shared" si="54"/>
        <v>18.217457399999997</v>
      </c>
      <c r="CR11" s="28">
        <f t="shared" si="55"/>
        <v>9.4302698</v>
      </c>
      <c r="CS11" s="28">
        <f t="shared" si="56"/>
        <v>13.9736326</v>
      </c>
      <c r="CT11" s="28"/>
      <c r="CU11" s="28">
        <f t="shared" si="83"/>
        <v>0</v>
      </c>
      <c r="CV11" s="28">
        <f t="shared" si="57"/>
        <v>66.1700616</v>
      </c>
      <c r="CW11" s="13">
        <f t="shared" si="58"/>
        <v>66.1700616</v>
      </c>
      <c r="CX11" s="28">
        <f t="shared" si="59"/>
        <v>34.2529432</v>
      </c>
      <c r="CY11" s="28">
        <f t="shared" si="60"/>
        <v>50.75549839999999</v>
      </c>
      <c r="CZ11" s="28"/>
      <c r="DA11" s="28">
        <f t="shared" si="84"/>
        <v>0</v>
      </c>
      <c r="DB11" s="28">
        <f t="shared" si="61"/>
        <v>128.3399676</v>
      </c>
      <c r="DC11" s="13">
        <f t="shared" si="62"/>
        <v>128.3399676</v>
      </c>
      <c r="DD11" s="28">
        <f t="shared" si="63"/>
        <v>66.4352052</v>
      </c>
      <c r="DE11" s="28">
        <f t="shared" si="64"/>
        <v>98.4426924</v>
      </c>
      <c r="DF11" s="28"/>
      <c r="DG11" s="28">
        <f t="shared" si="85"/>
        <v>0</v>
      </c>
      <c r="DH11" s="28">
        <f t="shared" si="65"/>
        <v>8799.8250585</v>
      </c>
      <c r="DI11" s="13">
        <f t="shared" si="66"/>
        <v>8799.8250585</v>
      </c>
      <c r="DJ11" s="28">
        <f t="shared" si="67"/>
        <v>4555.2308795</v>
      </c>
      <c r="DK11" s="28">
        <f t="shared" si="68"/>
        <v>6749.8729164999995</v>
      </c>
      <c r="DL11" s="28"/>
      <c r="DM11" s="13"/>
      <c r="DN11" s="13"/>
      <c r="DO11" s="13">
        <f t="shared" si="69"/>
        <v>0</v>
      </c>
      <c r="DP11" s="13"/>
    </row>
    <row r="12" spans="1:120" s="30" customFormat="1" ht="12.75">
      <c r="A12" s="29">
        <v>44470</v>
      </c>
      <c r="B12" s="28"/>
      <c r="C12" s="20"/>
      <c r="D12" s="20">
        <v>49263</v>
      </c>
      <c r="E12" s="14">
        <f t="shared" si="0"/>
        <v>49263</v>
      </c>
      <c r="F12" s="14">
        <v>25501</v>
      </c>
      <c r="G12" s="14">
        <v>37787</v>
      </c>
      <c r="H12" s="28"/>
      <c r="I12" s="28">
        <f>'2011B Academic'!I12</f>
        <v>0</v>
      </c>
      <c r="J12" s="28">
        <f>'2011B Academic'!J12</f>
        <v>33489.04651560001</v>
      </c>
      <c r="K12" s="28">
        <f t="shared" si="1"/>
        <v>33489.04651560001</v>
      </c>
      <c r="L12" s="28">
        <f>'2011B Academic'!L12</f>
        <v>17335.610401200003</v>
      </c>
      <c r="M12" s="28">
        <f>'2011B Academic'!M12</f>
        <v>25687.647944400003</v>
      </c>
      <c r="N12" s="28"/>
      <c r="O12" s="13"/>
      <c r="P12" s="20">
        <f t="shared" si="2"/>
        <v>15773.9534844</v>
      </c>
      <c r="Q12" s="13">
        <f t="shared" si="3"/>
        <v>15773.9534844</v>
      </c>
      <c r="R12" s="13">
        <f t="shared" si="4"/>
        <v>8165.3895988</v>
      </c>
      <c r="S12" s="20">
        <f t="shared" si="4"/>
        <v>12099.3520556</v>
      </c>
      <c r="T12" s="28"/>
      <c r="U12" s="28"/>
      <c r="V12" s="20">
        <f t="shared" si="5"/>
        <v>142.11882870000002</v>
      </c>
      <c r="W12" s="28">
        <f t="shared" si="6"/>
        <v>142.11882870000002</v>
      </c>
      <c r="X12" s="28">
        <f t="shared" si="7"/>
        <v>73.56783490000001</v>
      </c>
      <c r="Y12" s="28">
        <f t="shared" si="8"/>
        <v>109.0117163</v>
      </c>
      <c r="AA12" s="28"/>
      <c r="AB12" s="28">
        <f t="shared" si="9"/>
        <v>598.5996393</v>
      </c>
      <c r="AC12" s="13">
        <f t="shared" si="10"/>
        <v>598.5996393</v>
      </c>
      <c r="AD12" s="28">
        <f t="shared" si="11"/>
        <v>309.8652011</v>
      </c>
      <c r="AE12" s="28">
        <f t="shared" si="12"/>
        <v>459.1536157</v>
      </c>
      <c r="AG12" s="28"/>
      <c r="AH12" s="28">
        <f t="shared" si="13"/>
        <v>255.0000669</v>
      </c>
      <c r="AI12" s="13">
        <f t="shared" si="14"/>
        <v>255.0000669</v>
      </c>
      <c r="AJ12" s="28">
        <f t="shared" si="15"/>
        <v>132.0008263</v>
      </c>
      <c r="AK12" s="28">
        <f t="shared" si="16"/>
        <v>195.5968481</v>
      </c>
      <c r="AM12" s="38"/>
      <c r="AN12" s="38">
        <f t="shared" si="17"/>
        <v>81.727317</v>
      </c>
      <c r="AO12" s="3">
        <f t="shared" si="18"/>
        <v>81.727317</v>
      </c>
      <c r="AP12" s="28">
        <f t="shared" si="19"/>
        <v>42.306159</v>
      </c>
      <c r="AQ12" s="28">
        <f t="shared" si="20"/>
        <v>62.688633</v>
      </c>
      <c r="AR12" s="28"/>
      <c r="AS12" s="28"/>
      <c r="AT12" s="28">
        <f t="shared" si="21"/>
        <v>25.2177297</v>
      </c>
      <c r="AU12" s="13">
        <f t="shared" si="22"/>
        <v>25.2177297</v>
      </c>
      <c r="AV12" s="28">
        <f t="shared" si="23"/>
        <v>13.053961900000001</v>
      </c>
      <c r="AW12" s="28">
        <f t="shared" si="24"/>
        <v>19.343165300000003</v>
      </c>
      <c r="AX12" s="28"/>
      <c r="AY12" s="28"/>
      <c r="AZ12" s="28">
        <f t="shared" si="25"/>
        <v>539.2919135999999</v>
      </c>
      <c r="BA12" s="13">
        <f t="shared" si="26"/>
        <v>539.2919135999999</v>
      </c>
      <c r="BB12" s="28">
        <f t="shared" si="27"/>
        <v>279.1645472</v>
      </c>
      <c r="BC12" s="28">
        <f t="shared" si="28"/>
        <v>413.6618464</v>
      </c>
      <c r="BD12" s="28"/>
      <c r="BE12" s="28"/>
      <c r="BF12" s="28">
        <f t="shared" si="29"/>
        <v>9.4141593</v>
      </c>
      <c r="BG12" s="13">
        <f t="shared" si="30"/>
        <v>9.4141593</v>
      </c>
      <c r="BH12" s="28">
        <f t="shared" si="31"/>
        <v>4.8732411</v>
      </c>
      <c r="BI12" s="28">
        <f t="shared" si="32"/>
        <v>7.2210957</v>
      </c>
      <c r="BJ12" s="28"/>
      <c r="BK12" s="28"/>
      <c r="BL12" s="28">
        <f t="shared" si="33"/>
        <v>2091.9138846</v>
      </c>
      <c r="BM12" s="13">
        <f t="shared" si="34"/>
        <v>2091.9138846</v>
      </c>
      <c r="BN12" s="28">
        <f t="shared" si="35"/>
        <v>1082.8795642</v>
      </c>
      <c r="BO12" s="28">
        <f t="shared" si="36"/>
        <v>1604.5947254</v>
      </c>
      <c r="BP12" s="28"/>
      <c r="BQ12" s="28"/>
      <c r="BR12" s="28">
        <f t="shared" si="37"/>
        <v>74.3477196</v>
      </c>
      <c r="BS12" s="13">
        <f t="shared" si="38"/>
        <v>74.3477196</v>
      </c>
      <c r="BT12" s="28">
        <f t="shared" si="39"/>
        <v>38.4861092</v>
      </c>
      <c r="BU12" s="28">
        <f t="shared" si="40"/>
        <v>57.0281404</v>
      </c>
      <c r="BV12" s="28"/>
      <c r="BW12" s="28"/>
      <c r="BX12" s="28">
        <f t="shared" si="41"/>
        <v>2221.0962495000003</v>
      </c>
      <c r="BY12" s="13">
        <f t="shared" si="42"/>
        <v>2221.0962495000003</v>
      </c>
      <c r="BZ12" s="28">
        <f t="shared" si="43"/>
        <v>1149.7508365</v>
      </c>
      <c r="CA12" s="28">
        <f t="shared" si="44"/>
        <v>1703.6835755</v>
      </c>
      <c r="CB12" s="28"/>
      <c r="CC12" s="28"/>
      <c r="CD12" s="28">
        <f t="shared" si="45"/>
        <v>663.8139987000001</v>
      </c>
      <c r="CE12" s="13">
        <f t="shared" si="46"/>
        <v>663.8139987000001</v>
      </c>
      <c r="CF12" s="28">
        <f t="shared" si="47"/>
        <v>343.6234249</v>
      </c>
      <c r="CG12" s="28">
        <f t="shared" si="48"/>
        <v>509.1760463</v>
      </c>
      <c r="CH12" s="28"/>
      <c r="CI12" s="28"/>
      <c r="CJ12" s="28">
        <f t="shared" si="49"/>
        <v>58.8594324</v>
      </c>
      <c r="CK12" s="13">
        <f t="shared" si="50"/>
        <v>58.8594324</v>
      </c>
      <c r="CL12" s="28">
        <f t="shared" si="51"/>
        <v>30.468594799999998</v>
      </c>
      <c r="CM12" s="28">
        <f t="shared" si="52"/>
        <v>45.147907599999996</v>
      </c>
      <c r="CN12" s="28"/>
      <c r="CO12" s="28"/>
      <c r="CP12" s="28">
        <f t="shared" si="53"/>
        <v>18.217457399999997</v>
      </c>
      <c r="CQ12" s="13">
        <f t="shared" si="54"/>
        <v>18.217457399999997</v>
      </c>
      <c r="CR12" s="28">
        <f t="shared" si="55"/>
        <v>9.4302698</v>
      </c>
      <c r="CS12" s="28">
        <f t="shared" si="56"/>
        <v>13.9736326</v>
      </c>
      <c r="CT12" s="28"/>
      <c r="CU12" s="28"/>
      <c r="CV12" s="28">
        <f t="shared" si="57"/>
        <v>66.1700616</v>
      </c>
      <c r="CW12" s="13">
        <f t="shared" si="58"/>
        <v>66.1700616</v>
      </c>
      <c r="CX12" s="28">
        <f t="shared" si="59"/>
        <v>34.2529432</v>
      </c>
      <c r="CY12" s="28">
        <f t="shared" si="60"/>
        <v>50.75549839999999</v>
      </c>
      <c r="CZ12" s="28"/>
      <c r="DA12" s="28"/>
      <c r="DB12" s="28">
        <f t="shared" si="61"/>
        <v>128.3399676</v>
      </c>
      <c r="DC12" s="13">
        <f t="shared" si="62"/>
        <v>128.3399676</v>
      </c>
      <c r="DD12" s="28">
        <f t="shared" si="63"/>
        <v>66.4352052</v>
      </c>
      <c r="DE12" s="28">
        <f t="shared" si="64"/>
        <v>98.4426924</v>
      </c>
      <c r="DF12" s="28"/>
      <c r="DG12" s="28"/>
      <c r="DH12" s="28">
        <f t="shared" si="65"/>
        <v>8799.8250585</v>
      </c>
      <c r="DI12" s="13">
        <f t="shared" si="66"/>
        <v>8799.8250585</v>
      </c>
      <c r="DJ12" s="28">
        <f t="shared" si="67"/>
        <v>4555.2308795</v>
      </c>
      <c r="DK12" s="28">
        <f t="shared" si="68"/>
        <v>6749.8729164999995</v>
      </c>
      <c r="DL12" s="28"/>
      <c r="DM12" s="13"/>
      <c r="DN12" s="13"/>
      <c r="DO12" s="13">
        <f t="shared" si="69"/>
        <v>0</v>
      </c>
      <c r="DP12" s="13"/>
    </row>
    <row r="13" spans="1:120" s="30" customFormat="1" ht="12.75">
      <c r="A13" s="29">
        <v>44652</v>
      </c>
      <c r="B13" s="28"/>
      <c r="C13" s="20"/>
      <c r="D13" s="20">
        <v>49263</v>
      </c>
      <c r="E13" s="14">
        <f t="shared" si="0"/>
        <v>49263</v>
      </c>
      <c r="F13" s="14">
        <v>25501</v>
      </c>
      <c r="G13" s="14">
        <v>37787</v>
      </c>
      <c r="H13" s="28"/>
      <c r="I13" s="28">
        <f>'2011B Academic'!I13</f>
        <v>0</v>
      </c>
      <c r="J13" s="28">
        <f>'2011B Academic'!J13</f>
        <v>33489.04651560001</v>
      </c>
      <c r="K13" s="28">
        <f t="shared" si="1"/>
        <v>33489.04651560001</v>
      </c>
      <c r="L13" s="28">
        <f>'2011B Academic'!L13</f>
        <v>17335.610401200003</v>
      </c>
      <c r="M13" s="28">
        <f>'2011B Academic'!M13</f>
        <v>25687.647944400003</v>
      </c>
      <c r="N13" s="28"/>
      <c r="O13" s="13">
        <f>U13+AA13+AG13+AM13+AS13+AY13+BE13+BK13+BQ13+BW13+CC13+CI13+CO13+CU13+DA13+DG13+DM13</f>
        <v>0</v>
      </c>
      <c r="P13" s="20">
        <f t="shared" si="2"/>
        <v>15773.9534844</v>
      </c>
      <c r="Q13" s="13">
        <f t="shared" si="3"/>
        <v>15773.9534844</v>
      </c>
      <c r="R13" s="13">
        <f t="shared" si="4"/>
        <v>8165.3895988</v>
      </c>
      <c r="S13" s="20">
        <f t="shared" si="4"/>
        <v>12099.3520556</v>
      </c>
      <c r="T13" s="28"/>
      <c r="U13" s="28">
        <f t="shared" si="70"/>
        <v>0</v>
      </c>
      <c r="V13" s="20">
        <f t="shared" si="5"/>
        <v>142.11882870000002</v>
      </c>
      <c r="W13" s="28">
        <f t="shared" si="6"/>
        <v>142.11882870000002</v>
      </c>
      <c r="X13" s="28">
        <f t="shared" si="7"/>
        <v>73.56783490000001</v>
      </c>
      <c r="Y13" s="28">
        <f t="shared" si="8"/>
        <v>109.0117163</v>
      </c>
      <c r="AA13" s="28">
        <f t="shared" si="71"/>
        <v>0</v>
      </c>
      <c r="AB13" s="28">
        <f t="shared" si="9"/>
        <v>598.5996393</v>
      </c>
      <c r="AC13" s="13">
        <f t="shared" si="10"/>
        <v>598.5996393</v>
      </c>
      <c r="AD13" s="28">
        <f t="shared" si="11"/>
        <v>309.8652011</v>
      </c>
      <c r="AE13" s="28">
        <f t="shared" si="12"/>
        <v>459.1536157</v>
      </c>
      <c r="AG13" s="28">
        <f t="shared" si="72"/>
        <v>0</v>
      </c>
      <c r="AH13" s="28">
        <f t="shared" si="13"/>
        <v>255.0000669</v>
      </c>
      <c r="AI13" s="13">
        <f t="shared" si="14"/>
        <v>255.0000669</v>
      </c>
      <c r="AJ13" s="28">
        <f t="shared" si="15"/>
        <v>132.0008263</v>
      </c>
      <c r="AK13" s="28">
        <f t="shared" si="16"/>
        <v>195.5968481</v>
      </c>
      <c r="AM13" s="38">
        <f t="shared" si="73"/>
        <v>0</v>
      </c>
      <c r="AN13" s="38">
        <f t="shared" si="17"/>
        <v>81.727317</v>
      </c>
      <c r="AO13" s="3">
        <f t="shared" si="18"/>
        <v>81.727317</v>
      </c>
      <c r="AP13" s="28">
        <f t="shared" si="19"/>
        <v>42.306159</v>
      </c>
      <c r="AQ13" s="28">
        <f t="shared" si="20"/>
        <v>62.688633</v>
      </c>
      <c r="AR13" s="28"/>
      <c r="AS13" s="28">
        <f t="shared" si="74"/>
        <v>0</v>
      </c>
      <c r="AT13" s="28">
        <f t="shared" si="21"/>
        <v>25.2177297</v>
      </c>
      <c r="AU13" s="13">
        <f t="shared" si="22"/>
        <v>25.2177297</v>
      </c>
      <c r="AV13" s="28">
        <f t="shared" si="23"/>
        <v>13.053961900000001</v>
      </c>
      <c r="AW13" s="28">
        <f t="shared" si="24"/>
        <v>19.343165300000003</v>
      </c>
      <c r="AX13" s="28"/>
      <c r="AY13" s="28">
        <f t="shared" si="75"/>
        <v>0</v>
      </c>
      <c r="AZ13" s="28">
        <f t="shared" si="25"/>
        <v>539.2919135999999</v>
      </c>
      <c r="BA13" s="13">
        <f t="shared" si="26"/>
        <v>539.2919135999999</v>
      </c>
      <c r="BB13" s="28">
        <f t="shared" si="27"/>
        <v>279.1645472</v>
      </c>
      <c r="BC13" s="28">
        <f t="shared" si="28"/>
        <v>413.6618464</v>
      </c>
      <c r="BD13" s="28"/>
      <c r="BE13" s="28">
        <f t="shared" si="76"/>
        <v>0</v>
      </c>
      <c r="BF13" s="28">
        <f t="shared" si="29"/>
        <v>9.4141593</v>
      </c>
      <c r="BG13" s="13">
        <f t="shared" si="30"/>
        <v>9.4141593</v>
      </c>
      <c r="BH13" s="28">
        <f t="shared" si="31"/>
        <v>4.8732411</v>
      </c>
      <c r="BI13" s="28">
        <f t="shared" si="32"/>
        <v>7.2210957</v>
      </c>
      <c r="BJ13" s="28"/>
      <c r="BK13" s="28">
        <f t="shared" si="77"/>
        <v>0</v>
      </c>
      <c r="BL13" s="28">
        <f t="shared" si="33"/>
        <v>2091.9138846</v>
      </c>
      <c r="BM13" s="13">
        <f t="shared" si="34"/>
        <v>2091.9138846</v>
      </c>
      <c r="BN13" s="28">
        <f t="shared" si="35"/>
        <v>1082.8795642</v>
      </c>
      <c r="BO13" s="28">
        <f t="shared" si="36"/>
        <v>1604.5947254</v>
      </c>
      <c r="BP13" s="28"/>
      <c r="BQ13" s="28">
        <f t="shared" si="78"/>
        <v>0</v>
      </c>
      <c r="BR13" s="28">
        <f t="shared" si="37"/>
        <v>74.3477196</v>
      </c>
      <c r="BS13" s="13">
        <f t="shared" si="38"/>
        <v>74.3477196</v>
      </c>
      <c r="BT13" s="28">
        <f t="shared" si="39"/>
        <v>38.4861092</v>
      </c>
      <c r="BU13" s="28">
        <f t="shared" si="40"/>
        <v>57.0281404</v>
      </c>
      <c r="BV13" s="28"/>
      <c r="BW13" s="28">
        <f t="shared" si="79"/>
        <v>0</v>
      </c>
      <c r="BX13" s="28">
        <f t="shared" si="41"/>
        <v>2221.0962495000003</v>
      </c>
      <c r="BY13" s="13">
        <f t="shared" si="42"/>
        <v>2221.0962495000003</v>
      </c>
      <c r="BZ13" s="28">
        <f t="shared" si="43"/>
        <v>1149.7508365</v>
      </c>
      <c r="CA13" s="28">
        <f t="shared" si="44"/>
        <v>1703.6835755</v>
      </c>
      <c r="CB13" s="28"/>
      <c r="CC13" s="28">
        <f t="shared" si="80"/>
        <v>0</v>
      </c>
      <c r="CD13" s="28">
        <f t="shared" si="45"/>
        <v>663.8139987000001</v>
      </c>
      <c r="CE13" s="13">
        <f t="shared" si="46"/>
        <v>663.8139987000001</v>
      </c>
      <c r="CF13" s="28">
        <f t="shared" si="47"/>
        <v>343.6234249</v>
      </c>
      <c r="CG13" s="28">
        <f t="shared" si="48"/>
        <v>509.1760463</v>
      </c>
      <c r="CH13" s="28"/>
      <c r="CI13" s="28">
        <f t="shared" si="81"/>
        <v>0</v>
      </c>
      <c r="CJ13" s="28">
        <f t="shared" si="49"/>
        <v>58.8594324</v>
      </c>
      <c r="CK13" s="13">
        <f t="shared" si="50"/>
        <v>58.8594324</v>
      </c>
      <c r="CL13" s="28">
        <f t="shared" si="51"/>
        <v>30.468594799999998</v>
      </c>
      <c r="CM13" s="28">
        <f t="shared" si="52"/>
        <v>45.147907599999996</v>
      </c>
      <c r="CN13" s="28"/>
      <c r="CO13" s="28">
        <f t="shared" si="82"/>
        <v>0</v>
      </c>
      <c r="CP13" s="28">
        <f t="shared" si="53"/>
        <v>18.217457399999997</v>
      </c>
      <c r="CQ13" s="13">
        <f t="shared" si="54"/>
        <v>18.217457399999997</v>
      </c>
      <c r="CR13" s="28">
        <f t="shared" si="55"/>
        <v>9.4302698</v>
      </c>
      <c r="CS13" s="28">
        <f t="shared" si="56"/>
        <v>13.9736326</v>
      </c>
      <c r="CT13" s="28"/>
      <c r="CU13" s="28">
        <f t="shared" si="83"/>
        <v>0</v>
      </c>
      <c r="CV13" s="28">
        <f t="shared" si="57"/>
        <v>66.1700616</v>
      </c>
      <c r="CW13" s="13">
        <f t="shared" si="58"/>
        <v>66.1700616</v>
      </c>
      <c r="CX13" s="28">
        <f t="shared" si="59"/>
        <v>34.2529432</v>
      </c>
      <c r="CY13" s="28">
        <f t="shared" si="60"/>
        <v>50.75549839999999</v>
      </c>
      <c r="CZ13" s="28"/>
      <c r="DA13" s="28">
        <f t="shared" si="84"/>
        <v>0</v>
      </c>
      <c r="DB13" s="28">
        <f t="shared" si="61"/>
        <v>128.3399676</v>
      </c>
      <c r="DC13" s="13">
        <f t="shared" si="62"/>
        <v>128.3399676</v>
      </c>
      <c r="DD13" s="28">
        <f t="shared" si="63"/>
        <v>66.4352052</v>
      </c>
      <c r="DE13" s="28">
        <f t="shared" si="64"/>
        <v>98.4426924</v>
      </c>
      <c r="DF13" s="28"/>
      <c r="DG13" s="28">
        <f t="shared" si="85"/>
        <v>0</v>
      </c>
      <c r="DH13" s="28">
        <f t="shared" si="65"/>
        <v>8799.8250585</v>
      </c>
      <c r="DI13" s="13">
        <f t="shared" si="66"/>
        <v>8799.8250585</v>
      </c>
      <c r="DJ13" s="28">
        <f t="shared" si="67"/>
        <v>4555.2308795</v>
      </c>
      <c r="DK13" s="28">
        <f t="shared" si="68"/>
        <v>6749.8729164999995</v>
      </c>
      <c r="DL13" s="28"/>
      <c r="DM13" s="13"/>
      <c r="DN13" s="13"/>
      <c r="DO13" s="13">
        <f t="shared" si="69"/>
        <v>0</v>
      </c>
      <c r="DP13" s="13"/>
    </row>
    <row r="14" spans="1:120" s="30" customFormat="1" ht="12.75">
      <c r="A14" s="29">
        <v>44835</v>
      </c>
      <c r="B14" s="28"/>
      <c r="C14" s="20"/>
      <c r="D14" s="20">
        <v>49263</v>
      </c>
      <c r="E14" s="14">
        <f t="shared" si="0"/>
        <v>49263</v>
      </c>
      <c r="F14" s="14">
        <v>25501</v>
      </c>
      <c r="G14" s="14">
        <v>37787</v>
      </c>
      <c r="H14" s="28"/>
      <c r="I14" s="28">
        <f>'2011B Academic'!I14</f>
        <v>0</v>
      </c>
      <c r="J14" s="28">
        <f>'2011B Academic'!J14</f>
        <v>33489.04651560001</v>
      </c>
      <c r="K14" s="28">
        <f t="shared" si="1"/>
        <v>33489.04651560001</v>
      </c>
      <c r="L14" s="28">
        <f>'2011B Academic'!L14</f>
        <v>17335.610401200003</v>
      </c>
      <c r="M14" s="28">
        <f>'2011B Academic'!M14</f>
        <v>25687.647944400003</v>
      </c>
      <c r="N14" s="28"/>
      <c r="O14" s="13"/>
      <c r="P14" s="20">
        <f t="shared" si="2"/>
        <v>15773.9534844</v>
      </c>
      <c r="Q14" s="13">
        <f t="shared" si="3"/>
        <v>15773.9534844</v>
      </c>
      <c r="R14" s="13">
        <f t="shared" si="4"/>
        <v>8165.3895988</v>
      </c>
      <c r="S14" s="20">
        <f t="shared" si="4"/>
        <v>12099.3520556</v>
      </c>
      <c r="T14" s="28"/>
      <c r="U14" s="28"/>
      <c r="V14" s="20">
        <f t="shared" si="5"/>
        <v>142.11882870000002</v>
      </c>
      <c r="W14" s="28">
        <f t="shared" si="6"/>
        <v>142.11882870000002</v>
      </c>
      <c r="X14" s="28">
        <f t="shared" si="7"/>
        <v>73.56783490000001</v>
      </c>
      <c r="Y14" s="28">
        <f t="shared" si="8"/>
        <v>109.0117163</v>
      </c>
      <c r="AA14" s="28"/>
      <c r="AB14" s="28">
        <f t="shared" si="9"/>
        <v>598.5996393</v>
      </c>
      <c r="AC14" s="13">
        <f t="shared" si="10"/>
        <v>598.5996393</v>
      </c>
      <c r="AD14" s="28">
        <f t="shared" si="11"/>
        <v>309.8652011</v>
      </c>
      <c r="AE14" s="28">
        <f t="shared" si="12"/>
        <v>459.1536157</v>
      </c>
      <c r="AG14" s="28"/>
      <c r="AH14" s="28">
        <f t="shared" si="13"/>
        <v>255.0000669</v>
      </c>
      <c r="AI14" s="13">
        <f t="shared" si="14"/>
        <v>255.0000669</v>
      </c>
      <c r="AJ14" s="28">
        <f t="shared" si="15"/>
        <v>132.0008263</v>
      </c>
      <c r="AK14" s="28">
        <f t="shared" si="16"/>
        <v>195.5968481</v>
      </c>
      <c r="AM14" s="38"/>
      <c r="AN14" s="38">
        <f t="shared" si="17"/>
        <v>81.727317</v>
      </c>
      <c r="AO14" s="3">
        <f t="shared" si="18"/>
        <v>81.727317</v>
      </c>
      <c r="AP14" s="28">
        <f t="shared" si="19"/>
        <v>42.306159</v>
      </c>
      <c r="AQ14" s="28">
        <f t="shared" si="20"/>
        <v>62.688633</v>
      </c>
      <c r="AR14" s="28"/>
      <c r="AS14" s="28"/>
      <c r="AT14" s="28">
        <f t="shared" si="21"/>
        <v>25.2177297</v>
      </c>
      <c r="AU14" s="13">
        <f t="shared" si="22"/>
        <v>25.2177297</v>
      </c>
      <c r="AV14" s="28">
        <f t="shared" si="23"/>
        <v>13.053961900000001</v>
      </c>
      <c r="AW14" s="28">
        <f t="shared" si="24"/>
        <v>19.343165300000003</v>
      </c>
      <c r="AX14" s="28"/>
      <c r="AY14" s="28"/>
      <c r="AZ14" s="28">
        <f t="shared" si="25"/>
        <v>539.2919135999999</v>
      </c>
      <c r="BA14" s="13">
        <f t="shared" si="26"/>
        <v>539.2919135999999</v>
      </c>
      <c r="BB14" s="28">
        <f t="shared" si="27"/>
        <v>279.1645472</v>
      </c>
      <c r="BC14" s="28">
        <f t="shared" si="28"/>
        <v>413.6618464</v>
      </c>
      <c r="BD14" s="28"/>
      <c r="BE14" s="28"/>
      <c r="BF14" s="28">
        <f t="shared" si="29"/>
        <v>9.4141593</v>
      </c>
      <c r="BG14" s="13">
        <f t="shared" si="30"/>
        <v>9.4141593</v>
      </c>
      <c r="BH14" s="28">
        <f t="shared" si="31"/>
        <v>4.8732411</v>
      </c>
      <c r="BI14" s="28">
        <f t="shared" si="32"/>
        <v>7.2210957</v>
      </c>
      <c r="BJ14" s="28"/>
      <c r="BK14" s="28"/>
      <c r="BL14" s="28">
        <f t="shared" si="33"/>
        <v>2091.9138846</v>
      </c>
      <c r="BM14" s="13">
        <f t="shared" si="34"/>
        <v>2091.9138846</v>
      </c>
      <c r="BN14" s="28">
        <f t="shared" si="35"/>
        <v>1082.8795642</v>
      </c>
      <c r="BO14" s="28">
        <f t="shared" si="36"/>
        <v>1604.5947254</v>
      </c>
      <c r="BP14" s="28"/>
      <c r="BQ14" s="28"/>
      <c r="BR14" s="28">
        <f t="shared" si="37"/>
        <v>74.3477196</v>
      </c>
      <c r="BS14" s="13">
        <f t="shared" si="38"/>
        <v>74.3477196</v>
      </c>
      <c r="BT14" s="28">
        <f t="shared" si="39"/>
        <v>38.4861092</v>
      </c>
      <c r="BU14" s="28">
        <f t="shared" si="40"/>
        <v>57.0281404</v>
      </c>
      <c r="BV14" s="28"/>
      <c r="BW14" s="28"/>
      <c r="BX14" s="28">
        <f t="shared" si="41"/>
        <v>2221.0962495000003</v>
      </c>
      <c r="BY14" s="13">
        <f t="shared" si="42"/>
        <v>2221.0962495000003</v>
      </c>
      <c r="BZ14" s="28">
        <f t="shared" si="43"/>
        <v>1149.7508365</v>
      </c>
      <c r="CA14" s="28">
        <f t="shared" si="44"/>
        <v>1703.6835755</v>
      </c>
      <c r="CB14" s="28"/>
      <c r="CC14" s="28"/>
      <c r="CD14" s="28">
        <f t="shared" si="45"/>
        <v>663.8139987000001</v>
      </c>
      <c r="CE14" s="13">
        <f t="shared" si="46"/>
        <v>663.8139987000001</v>
      </c>
      <c r="CF14" s="28">
        <f t="shared" si="47"/>
        <v>343.6234249</v>
      </c>
      <c r="CG14" s="28">
        <f t="shared" si="48"/>
        <v>509.1760463</v>
      </c>
      <c r="CH14" s="28"/>
      <c r="CI14" s="28"/>
      <c r="CJ14" s="28">
        <f t="shared" si="49"/>
        <v>58.8594324</v>
      </c>
      <c r="CK14" s="13">
        <f t="shared" si="50"/>
        <v>58.8594324</v>
      </c>
      <c r="CL14" s="28">
        <f t="shared" si="51"/>
        <v>30.468594799999998</v>
      </c>
      <c r="CM14" s="28">
        <f t="shared" si="52"/>
        <v>45.147907599999996</v>
      </c>
      <c r="CN14" s="28"/>
      <c r="CO14" s="28"/>
      <c r="CP14" s="28">
        <f t="shared" si="53"/>
        <v>18.217457399999997</v>
      </c>
      <c r="CQ14" s="13">
        <f t="shared" si="54"/>
        <v>18.217457399999997</v>
      </c>
      <c r="CR14" s="28">
        <f t="shared" si="55"/>
        <v>9.4302698</v>
      </c>
      <c r="CS14" s="28">
        <f t="shared" si="56"/>
        <v>13.9736326</v>
      </c>
      <c r="CT14" s="28"/>
      <c r="CU14" s="28"/>
      <c r="CV14" s="28">
        <f t="shared" si="57"/>
        <v>66.1700616</v>
      </c>
      <c r="CW14" s="13">
        <f t="shared" si="58"/>
        <v>66.1700616</v>
      </c>
      <c r="CX14" s="28">
        <f t="shared" si="59"/>
        <v>34.2529432</v>
      </c>
      <c r="CY14" s="28">
        <f t="shared" si="60"/>
        <v>50.75549839999999</v>
      </c>
      <c r="CZ14" s="28"/>
      <c r="DA14" s="28"/>
      <c r="DB14" s="28">
        <f t="shared" si="61"/>
        <v>128.3399676</v>
      </c>
      <c r="DC14" s="13">
        <f t="shared" si="62"/>
        <v>128.3399676</v>
      </c>
      <c r="DD14" s="28">
        <f t="shared" si="63"/>
        <v>66.4352052</v>
      </c>
      <c r="DE14" s="28">
        <f t="shared" si="64"/>
        <v>98.4426924</v>
      </c>
      <c r="DF14" s="28"/>
      <c r="DG14" s="28"/>
      <c r="DH14" s="28">
        <f t="shared" si="65"/>
        <v>8799.8250585</v>
      </c>
      <c r="DI14" s="13">
        <f t="shared" si="66"/>
        <v>8799.8250585</v>
      </c>
      <c r="DJ14" s="28">
        <f t="shared" si="67"/>
        <v>4555.2308795</v>
      </c>
      <c r="DK14" s="28">
        <f t="shared" si="68"/>
        <v>6749.8729164999995</v>
      </c>
      <c r="DL14" s="28"/>
      <c r="DM14" s="13"/>
      <c r="DN14" s="13"/>
      <c r="DO14" s="13">
        <f t="shared" si="69"/>
        <v>0</v>
      </c>
      <c r="DP14" s="13"/>
    </row>
    <row r="15" spans="1:120" s="30" customFormat="1" ht="12.75">
      <c r="A15" s="29">
        <v>45017</v>
      </c>
      <c r="B15" s="28"/>
      <c r="C15" s="20"/>
      <c r="D15" s="20">
        <v>49263</v>
      </c>
      <c r="E15" s="14">
        <f t="shared" si="0"/>
        <v>49263</v>
      </c>
      <c r="F15" s="14">
        <v>25501</v>
      </c>
      <c r="G15" s="14">
        <v>37787</v>
      </c>
      <c r="H15" s="28"/>
      <c r="I15" s="28">
        <f>'2011B Academic'!I15</f>
        <v>0</v>
      </c>
      <c r="J15" s="28">
        <f>'2011B Academic'!J15</f>
        <v>33489.04651560001</v>
      </c>
      <c r="K15" s="28">
        <f t="shared" si="1"/>
        <v>33489.04651560001</v>
      </c>
      <c r="L15" s="28">
        <f>'2011B Academic'!L15</f>
        <v>17335.610401200003</v>
      </c>
      <c r="M15" s="28">
        <f>'2011B Academic'!M15</f>
        <v>25687.647944400003</v>
      </c>
      <c r="N15" s="28"/>
      <c r="O15" s="13">
        <f>U15+AA15+AG15+AM15+AS15+AY15+BE15+BK15+BQ15+BW15+CC15+CI15+CO15+CU15+DA15+DG15+DM15</f>
        <v>0</v>
      </c>
      <c r="P15" s="20">
        <f t="shared" si="2"/>
        <v>15773.9534844</v>
      </c>
      <c r="Q15" s="13">
        <f t="shared" si="3"/>
        <v>15773.9534844</v>
      </c>
      <c r="R15" s="13">
        <f t="shared" si="4"/>
        <v>8165.3895988</v>
      </c>
      <c r="S15" s="20">
        <f t="shared" si="4"/>
        <v>12099.3520556</v>
      </c>
      <c r="T15" s="28"/>
      <c r="U15" s="28">
        <f t="shared" si="70"/>
        <v>0</v>
      </c>
      <c r="V15" s="20">
        <f t="shared" si="5"/>
        <v>142.11882870000002</v>
      </c>
      <c r="W15" s="28">
        <f t="shared" si="6"/>
        <v>142.11882870000002</v>
      </c>
      <c r="X15" s="28">
        <f t="shared" si="7"/>
        <v>73.56783490000001</v>
      </c>
      <c r="Y15" s="28">
        <f t="shared" si="8"/>
        <v>109.0117163</v>
      </c>
      <c r="AA15" s="28">
        <f t="shared" si="71"/>
        <v>0</v>
      </c>
      <c r="AB15" s="28">
        <f t="shared" si="9"/>
        <v>598.5996393</v>
      </c>
      <c r="AC15" s="13">
        <f t="shared" si="10"/>
        <v>598.5996393</v>
      </c>
      <c r="AD15" s="28">
        <f t="shared" si="11"/>
        <v>309.8652011</v>
      </c>
      <c r="AE15" s="28">
        <f t="shared" si="12"/>
        <v>459.1536157</v>
      </c>
      <c r="AG15" s="28">
        <f t="shared" si="72"/>
        <v>0</v>
      </c>
      <c r="AH15" s="28">
        <f t="shared" si="13"/>
        <v>255.0000669</v>
      </c>
      <c r="AI15" s="13">
        <f t="shared" si="14"/>
        <v>255.0000669</v>
      </c>
      <c r="AJ15" s="28">
        <f t="shared" si="15"/>
        <v>132.0008263</v>
      </c>
      <c r="AK15" s="28">
        <f t="shared" si="16"/>
        <v>195.5968481</v>
      </c>
      <c r="AM15" s="38">
        <f t="shared" si="73"/>
        <v>0</v>
      </c>
      <c r="AN15" s="38">
        <f t="shared" si="17"/>
        <v>81.727317</v>
      </c>
      <c r="AO15" s="3">
        <f t="shared" si="18"/>
        <v>81.727317</v>
      </c>
      <c r="AP15" s="28">
        <f t="shared" si="19"/>
        <v>42.306159</v>
      </c>
      <c r="AQ15" s="28">
        <f t="shared" si="20"/>
        <v>62.688633</v>
      </c>
      <c r="AR15" s="28"/>
      <c r="AS15" s="28">
        <f t="shared" si="74"/>
        <v>0</v>
      </c>
      <c r="AT15" s="28">
        <f t="shared" si="21"/>
        <v>25.2177297</v>
      </c>
      <c r="AU15" s="13">
        <f t="shared" si="22"/>
        <v>25.2177297</v>
      </c>
      <c r="AV15" s="28">
        <f t="shared" si="23"/>
        <v>13.053961900000001</v>
      </c>
      <c r="AW15" s="28">
        <f t="shared" si="24"/>
        <v>19.343165300000003</v>
      </c>
      <c r="AX15" s="28"/>
      <c r="AY15" s="28">
        <f t="shared" si="75"/>
        <v>0</v>
      </c>
      <c r="AZ15" s="28">
        <f t="shared" si="25"/>
        <v>539.2919135999999</v>
      </c>
      <c r="BA15" s="13">
        <f t="shared" si="26"/>
        <v>539.2919135999999</v>
      </c>
      <c r="BB15" s="28">
        <f t="shared" si="27"/>
        <v>279.1645472</v>
      </c>
      <c r="BC15" s="28">
        <f t="shared" si="28"/>
        <v>413.6618464</v>
      </c>
      <c r="BD15" s="28"/>
      <c r="BE15" s="28">
        <f t="shared" si="76"/>
        <v>0</v>
      </c>
      <c r="BF15" s="28">
        <f t="shared" si="29"/>
        <v>9.4141593</v>
      </c>
      <c r="BG15" s="13">
        <f t="shared" si="30"/>
        <v>9.4141593</v>
      </c>
      <c r="BH15" s="28">
        <f t="shared" si="31"/>
        <v>4.8732411</v>
      </c>
      <c r="BI15" s="28">
        <f t="shared" si="32"/>
        <v>7.2210957</v>
      </c>
      <c r="BJ15" s="28"/>
      <c r="BK15" s="28">
        <f t="shared" si="77"/>
        <v>0</v>
      </c>
      <c r="BL15" s="28">
        <f t="shared" si="33"/>
        <v>2091.9138846</v>
      </c>
      <c r="BM15" s="13">
        <f t="shared" si="34"/>
        <v>2091.9138846</v>
      </c>
      <c r="BN15" s="28">
        <f t="shared" si="35"/>
        <v>1082.8795642</v>
      </c>
      <c r="BO15" s="28">
        <f t="shared" si="36"/>
        <v>1604.5947254</v>
      </c>
      <c r="BP15" s="28"/>
      <c r="BQ15" s="28">
        <f t="shared" si="78"/>
        <v>0</v>
      </c>
      <c r="BR15" s="28">
        <f t="shared" si="37"/>
        <v>74.3477196</v>
      </c>
      <c r="BS15" s="13">
        <f t="shared" si="38"/>
        <v>74.3477196</v>
      </c>
      <c r="BT15" s="28">
        <f t="shared" si="39"/>
        <v>38.4861092</v>
      </c>
      <c r="BU15" s="28">
        <f t="shared" si="40"/>
        <v>57.0281404</v>
      </c>
      <c r="BV15" s="28"/>
      <c r="BW15" s="28">
        <f t="shared" si="79"/>
        <v>0</v>
      </c>
      <c r="BX15" s="28">
        <f t="shared" si="41"/>
        <v>2221.0962495000003</v>
      </c>
      <c r="BY15" s="13">
        <f t="shared" si="42"/>
        <v>2221.0962495000003</v>
      </c>
      <c r="BZ15" s="28">
        <f t="shared" si="43"/>
        <v>1149.7508365</v>
      </c>
      <c r="CA15" s="28">
        <f t="shared" si="44"/>
        <v>1703.6835755</v>
      </c>
      <c r="CB15" s="28"/>
      <c r="CC15" s="28">
        <f t="shared" si="80"/>
        <v>0</v>
      </c>
      <c r="CD15" s="28">
        <f t="shared" si="45"/>
        <v>663.8139987000001</v>
      </c>
      <c r="CE15" s="13">
        <f t="shared" si="46"/>
        <v>663.8139987000001</v>
      </c>
      <c r="CF15" s="28">
        <f t="shared" si="47"/>
        <v>343.6234249</v>
      </c>
      <c r="CG15" s="28">
        <f t="shared" si="48"/>
        <v>509.1760463</v>
      </c>
      <c r="CH15" s="28"/>
      <c r="CI15" s="28">
        <f t="shared" si="81"/>
        <v>0</v>
      </c>
      <c r="CJ15" s="28">
        <f t="shared" si="49"/>
        <v>58.8594324</v>
      </c>
      <c r="CK15" s="13">
        <f t="shared" si="50"/>
        <v>58.8594324</v>
      </c>
      <c r="CL15" s="28">
        <f t="shared" si="51"/>
        <v>30.468594799999998</v>
      </c>
      <c r="CM15" s="28">
        <f t="shared" si="52"/>
        <v>45.147907599999996</v>
      </c>
      <c r="CN15" s="28"/>
      <c r="CO15" s="28">
        <f t="shared" si="82"/>
        <v>0</v>
      </c>
      <c r="CP15" s="28">
        <f t="shared" si="53"/>
        <v>18.217457399999997</v>
      </c>
      <c r="CQ15" s="13">
        <f t="shared" si="54"/>
        <v>18.217457399999997</v>
      </c>
      <c r="CR15" s="28">
        <f t="shared" si="55"/>
        <v>9.4302698</v>
      </c>
      <c r="CS15" s="28">
        <f t="shared" si="56"/>
        <v>13.9736326</v>
      </c>
      <c r="CT15" s="28"/>
      <c r="CU15" s="28">
        <f t="shared" si="83"/>
        <v>0</v>
      </c>
      <c r="CV15" s="28">
        <f t="shared" si="57"/>
        <v>66.1700616</v>
      </c>
      <c r="CW15" s="13">
        <f t="shared" si="58"/>
        <v>66.1700616</v>
      </c>
      <c r="CX15" s="28">
        <f t="shared" si="59"/>
        <v>34.2529432</v>
      </c>
      <c r="CY15" s="28">
        <f t="shared" si="60"/>
        <v>50.75549839999999</v>
      </c>
      <c r="CZ15" s="28"/>
      <c r="DA15" s="28">
        <f t="shared" si="84"/>
        <v>0</v>
      </c>
      <c r="DB15" s="28">
        <f t="shared" si="61"/>
        <v>128.3399676</v>
      </c>
      <c r="DC15" s="13">
        <f t="shared" si="62"/>
        <v>128.3399676</v>
      </c>
      <c r="DD15" s="28">
        <f t="shared" si="63"/>
        <v>66.4352052</v>
      </c>
      <c r="DE15" s="28">
        <f t="shared" si="64"/>
        <v>98.4426924</v>
      </c>
      <c r="DF15" s="28"/>
      <c r="DG15" s="28">
        <f t="shared" si="85"/>
        <v>0</v>
      </c>
      <c r="DH15" s="28">
        <f t="shared" si="65"/>
        <v>8799.8250585</v>
      </c>
      <c r="DI15" s="13">
        <f t="shared" si="66"/>
        <v>8799.8250585</v>
      </c>
      <c r="DJ15" s="28">
        <f t="shared" si="67"/>
        <v>4555.2308795</v>
      </c>
      <c r="DK15" s="28">
        <f t="shared" si="68"/>
        <v>6749.8729164999995</v>
      </c>
      <c r="DL15" s="28"/>
      <c r="DM15" s="13"/>
      <c r="DN15" s="13"/>
      <c r="DO15" s="13">
        <f t="shared" si="69"/>
        <v>0</v>
      </c>
      <c r="DP15" s="13"/>
    </row>
    <row r="16" spans="1:120" s="30" customFormat="1" ht="12.75">
      <c r="A16" s="29">
        <v>45200</v>
      </c>
      <c r="B16" s="28"/>
      <c r="C16" s="20"/>
      <c r="D16" s="20">
        <v>49263</v>
      </c>
      <c r="E16" s="14">
        <f t="shared" si="0"/>
        <v>49263</v>
      </c>
      <c r="F16" s="14">
        <v>25501</v>
      </c>
      <c r="G16" s="14">
        <v>37787</v>
      </c>
      <c r="H16" s="28"/>
      <c r="I16" s="28">
        <f>'2011B Academic'!I16</f>
        <v>0</v>
      </c>
      <c r="J16" s="28">
        <f>'2011B Academic'!J16</f>
        <v>33489.04651560001</v>
      </c>
      <c r="K16" s="28">
        <f t="shared" si="1"/>
        <v>33489.04651560001</v>
      </c>
      <c r="L16" s="28">
        <f>'2011B Academic'!L16</f>
        <v>17335.610401200003</v>
      </c>
      <c r="M16" s="28">
        <f>'2011B Academic'!M16</f>
        <v>25687.647944400003</v>
      </c>
      <c r="N16" s="28"/>
      <c r="O16" s="13"/>
      <c r="P16" s="20">
        <f t="shared" si="2"/>
        <v>15773.9534844</v>
      </c>
      <c r="Q16" s="13">
        <f t="shared" si="3"/>
        <v>15773.9534844</v>
      </c>
      <c r="R16" s="13">
        <f t="shared" si="4"/>
        <v>8165.3895988</v>
      </c>
      <c r="S16" s="20">
        <f t="shared" si="4"/>
        <v>12099.3520556</v>
      </c>
      <c r="T16" s="28"/>
      <c r="U16" s="28"/>
      <c r="V16" s="20">
        <f t="shared" si="5"/>
        <v>142.11882870000002</v>
      </c>
      <c r="W16" s="28">
        <f t="shared" si="6"/>
        <v>142.11882870000002</v>
      </c>
      <c r="X16" s="28">
        <f t="shared" si="7"/>
        <v>73.56783490000001</v>
      </c>
      <c r="Y16" s="28">
        <f t="shared" si="8"/>
        <v>109.0117163</v>
      </c>
      <c r="AA16" s="28"/>
      <c r="AB16" s="28">
        <f t="shared" si="9"/>
        <v>598.5996393</v>
      </c>
      <c r="AC16" s="13">
        <f t="shared" si="10"/>
        <v>598.5996393</v>
      </c>
      <c r="AD16" s="28">
        <f t="shared" si="11"/>
        <v>309.8652011</v>
      </c>
      <c r="AE16" s="28">
        <f t="shared" si="12"/>
        <v>459.1536157</v>
      </c>
      <c r="AG16" s="28"/>
      <c r="AH16" s="28">
        <f t="shared" si="13"/>
        <v>255.0000669</v>
      </c>
      <c r="AI16" s="13">
        <f t="shared" si="14"/>
        <v>255.0000669</v>
      </c>
      <c r="AJ16" s="28">
        <f t="shared" si="15"/>
        <v>132.0008263</v>
      </c>
      <c r="AK16" s="28">
        <f t="shared" si="16"/>
        <v>195.5968481</v>
      </c>
      <c r="AM16" s="38"/>
      <c r="AN16" s="38">
        <f t="shared" si="17"/>
        <v>81.727317</v>
      </c>
      <c r="AO16" s="3">
        <f t="shared" si="18"/>
        <v>81.727317</v>
      </c>
      <c r="AP16" s="28">
        <f t="shared" si="19"/>
        <v>42.306159</v>
      </c>
      <c r="AQ16" s="28">
        <f t="shared" si="20"/>
        <v>62.688633</v>
      </c>
      <c r="AR16" s="28"/>
      <c r="AS16" s="28"/>
      <c r="AT16" s="28">
        <f t="shared" si="21"/>
        <v>25.2177297</v>
      </c>
      <c r="AU16" s="13">
        <f t="shared" si="22"/>
        <v>25.2177297</v>
      </c>
      <c r="AV16" s="28">
        <f t="shared" si="23"/>
        <v>13.053961900000001</v>
      </c>
      <c r="AW16" s="28">
        <f t="shared" si="24"/>
        <v>19.343165300000003</v>
      </c>
      <c r="AX16" s="28"/>
      <c r="AY16" s="28"/>
      <c r="AZ16" s="28">
        <f t="shared" si="25"/>
        <v>539.2919135999999</v>
      </c>
      <c r="BA16" s="13">
        <f t="shared" si="26"/>
        <v>539.2919135999999</v>
      </c>
      <c r="BB16" s="28">
        <f t="shared" si="27"/>
        <v>279.1645472</v>
      </c>
      <c r="BC16" s="28">
        <f t="shared" si="28"/>
        <v>413.6618464</v>
      </c>
      <c r="BD16" s="28"/>
      <c r="BE16" s="28"/>
      <c r="BF16" s="28">
        <f t="shared" si="29"/>
        <v>9.4141593</v>
      </c>
      <c r="BG16" s="13">
        <f t="shared" si="30"/>
        <v>9.4141593</v>
      </c>
      <c r="BH16" s="28">
        <f t="shared" si="31"/>
        <v>4.8732411</v>
      </c>
      <c r="BI16" s="28">
        <f t="shared" si="32"/>
        <v>7.2210957</v>
      </c>
      <c r="BJ16" s="28"/>
      <c r="BK16" s="28"/>
      <c r="BL16" s="28">
        <f t="shared" si="33"/>
        <v>2091.9138846</v>
      </c>
      <c r="BM16" s="13">
        <f t="shared" si="34"/>
        <v>2091.9138846</v>
      </c>
      <c r="BN16" s="28">
        <f t="shared" si="35"/>
        <v>1082.8795642</v>
      </c>
      <c r="BO16" s="28">
        <f t="shared" si="36"/>
        <v>1604.5947254</v>
      </c>
      <c r="BP16" s="28"/>
      <c r="BQ16" s="28"/>
      <c r="BR16" s="28">
        <f t="shared" si="37"/>
        <v>74.3477196</v>
      </c>
      <c r="BS16" s="13">
        <f t="shared" si="38"/>
        <v>74.3477196</v>
      </c>
      <c r="BT16" s="28">
        <f t="shared" si="39"/>
        <v>38.4861092</v>
      </c>
      <c r="BU16" s="28">
        <f t="shared" si="40"/>
        <v>57.0281404</v>
      </c>
      <c r="BV16" s="28"/>
      <c r="BW16" s="28"/>
      <c r="BX16" s="28">
        <f t="shared" si="41"/>
        <v>2221.0962495000003</v>
      </c>
      <c r="BY16" s="13">
        <f t="shared" si="42"/>
        <v>2221.0962495000003</v>
      </c>
      <c r="BZ16" s="28">
        <f t="shared" si="43"/>
        <v>1149.7508365</v>
      </c>
      <c r="CA16" s="28">
        <f t="shared" si="44"/>
        <v>1703.6835755</v>
      </c>
      <c r="CB16" s="28"/>
      <c r="CC16" s="28"/>
      <c r="CD16" s="28">
        <f t="shared" si="45"/>
        <v>663.8139987000001</v>
      </c>
      <c r="CE16" s="13">
        <f t="shared" si="46"/>
        <v>663.8139987000001</v>
      </c>
      <c r="CF16" s="28">
        <f t="shared" si="47"/>
        <v>343.6234249</v>
      </c>
      <c r="CG16" s="28">
        <f t="shared" si="48"/>
        <v>509.1760463</v>
      </c>
      <c r="CH16" s="28"/>
      <c r="CI16" s="28"/>
      <c r="CJ16" s="28">
        <f t="shared" si="49"/>
        <v>58.8594324</v>
      </c>
      <c r="CK16" s="13">
        <f t="shared" si="50"/>
        <v>58.8594324</v>
      </c>
      <c r="CL16" s="28">
        <f t="shared" si="51"/>
        <v>30.468594799999998</v>
      </c>
      <c r="CM16" s="28">
        <f t="shared" si="52"/>
        <v>45.147907599999996</v>
      </c>
      <c r="CN16" s="28"/>
      <c r="CO16" s="28"/>
      <c r="CP16" s="28">
        <f t="shared" si="53"/>
        <v>18.217457399999997</v>
      </c>
      <c r="CQ16" s="13">
        <f t="shared" si="54"/>
        <v>18.217457399999997</v>
      </c>
      <c r="CR16" s="28">
        <f t="shared" si="55"/>
        <v>9.4302698</v>
      </c>
      <c r="CS16" s="28">
        <f t="shared" si="56"/>
        <v>13.9736326</v>
      </c>
      <c r="CT16" s="28"/>
      <c r="CU16" s="28"/>
      <c r="CV16" s="28">
        <f t="shared" si="57"/>
        <v>66.1700616</v>
      </c>
      <c r="CW16" s="13">
        <f t="shared" si="58"/>
        <v>66.1700616</v>
      </c>
      <c r="CX16" s="28">
        <f t="shared" si="59"/>
        <v>34.2529432</v>
      </c>
      <c r="CY16" s="28">
        <f t="shared" si="60"/>
        <v>50.75549839999999</v>
      </c>
      <c r="CZ16" s="28"/>
      <c r="DA16" s="28"/>
      <c r="DB16" s="28">
        <f t="shared" si="61"/>
        <v>128.3399676</v>
      </c>
      <c r="DC16" s="13">
        <f t="shared" si="62"/>
        <v>128.3399676</v>
      </c>
      <c r="DD16" s="28">
        <f t="shared" si="63"/>
        <v>66.4352052</v>
      </c>
      <c r="DE16" s="28">
        <f t="shared" si="64"/>
        <v>98.4426924</v>
      </c>
      <c r="DF16" s="28"/>
      <c r="DG16" s="28"/>
      <c r="DH16" s="28">
        <f t="shared" si="65"/>
        <v>8799.8250585</v>
      </c>
      <c r="DI16" s="13">
        <f t="shared" si="66"/>
        <v>8799.8250585</v>
      </c>
      <c r="DJ16" s="28">
        <f t="shared" si="67"/>
        <v>4555.2308795</v>
      </c>
      <c r="DK16" s="28">
        <f t="shared" si="68"/>
        <v>6749.8729164999995</v>
      </c>
      <c r="DL16" s="28"/>
      <c r="DM16" s="13"/>
      <c r="DN16" s="13"/>
      <c r="DO16" s="13">
        <f t="shared" si="69"/>
        <v>0</v>
      </c>
      <c r="DP16" s="13"/>
    </row>
    <row r="17" spans="1:120" s="30" customFormat="1" ht="12.75">
      <c r="A17" s="29">
        <v>45383</v>
      </c>
      <c r="B17" s="28"/>
      <c r="C17" s="20">
        <v>2815000</v>
      </c>
      <c r="D17" s="20">
        <v>49263</v>
      </c>
      <c r="E17" s="14">
        <f t="shared" si="0"/>
        <v>2864263</v>
      </c>
      <c r="F17" s="14">
        <v>25501</v>
      </c>
      <c r="G17" s="14">
        <v>37787</v>
      </c>
      <c r="H17" s="28"/>
      <c r="I17" s="28">
        <f>'2011B Academic'!I17</f>
        <v>1913640.3780000003</v>
      </c>
      <c r="J17" s="28">
        <f>'2011B Academic'!J17</f>
        <v>33489.04651560001</v>
      </c>
      <c r="K17" s="28">
        <f t="shared" si="1"/>
        <v>1947129.4245156003</v>
      </c>
      <c r="L17" s="28">
        <f>'2011B Academic'!L17</f>
        <v>17335.610401200003</v>
      </c>
      <c r="M17" s="28">
        <f>'2011B Academic'!M17</f>
        <v>25687.647944400003</v>
      </c>
      <c r="N17" s="28"/>
      <c r="O17" s="13">
        <f>U17+AA17+AG17+AM17+AS17+AY17+BE17+BK17+BQ17+BW17+CC17+CI17+CO17+CU17+DA17+DG17+DM17</f>
        <v>901359.6220000001</v>
      </c>
      <c r="P17" s="20">
        <f t="shared" si="2"/>
        <v>15773.9534844</v>
      </c>
      <c r="Q17" s="13">
        <f t="shared" si="3"/>
        <v>917133.5754844001</v>
      </c>
      <c r="R17" s="13">
        <f t="shared" si="4"/>
        <v>8165.3895988</v>
      </c>
      <c r="S17" s="20">
        <f t="shared" si="4"/>
        <v>12099.3520556</v>
      </c>
      <c r="T17" s="28"/>
      <c r="U17" s="28">
        <f t="shared" si="70"/>
        <v>8120.9935000000005</v>
      </c>
      <c r="V17" s="20">
        <f t="shared" si="5"/>
        <v>142.11882870000002</v>
      </c>
      <c r="W17" s="28">
        <f t="shared" si="6"/>
        <v>8263.112328700001</v>
      </c>
      <c r="X17" s="28">
        <f t="shared" si="7"/>
        <v>73.56783490000001</v>
      </c>
      <c r="Y17" s="28">
        <f t="shared" si="8"/>
        <v>109.0117163</v>
      </c>
      <c r="AA17" s="28">
        <f t="shared" si="71"/>
        <v>34205.3465</v>
      </c>
      <c r="AB17" s="28">
        <f t="shared" si="9"/>
        <v>598.5996393</v>
      </c>
      <c r="AC17" s="13">
        <f t="shared" si="10"/>
        <v>34803.9461393</v>
      </c>
      <c r="AD17" s="28">
        <f t="shared" si="11"/>
        <v>309.8652011</v>
      </c>
      <c r="AE17" s="28">
        <f t="shared" si="12"/>
        <v>459.1536157</v>
      </c>
      <c r="AG17" s="28">
        <f t="shared" si="72"/>
        <v>14571.284500000002</v>
      </c>
      <c r="AH17" s="28">
        <f t="shared" si="13"/>
        <v>255.0000669</v>
      </c>
      <c r="AI17" s="13">
        <f t="shared" si="14"/>
        <v>14826.284566900002</v>
      </c>
      <c r="AJ17" s="28">
        <f t="shared" si="15"/>
        <v>132.0008263</v>
      </c>
      <c r="AK17" s="28">
        <f t="shared" si="16"/>
        <v>195.5968481</v>
      </c>
      <c r="AM17" s="38">
        <f t="shared" si="73"/>
        <v>4670.085</v>
      </c>
      <c r="AN17" s="38">
        <f t="shared" si="17"/>
        <v>81.727317</v>
      </c>
      <c r="AO17" s="3">
        <f t="shared" si="18"/>
        <v>4751.812317</v>
      </c>
      <c r="AP17" s="28">
        <f t="shared" si="19"/>
        <v>42.306159</v>
      </c>
      <c r="AQ17" s="28">
        <f t="shared" si="20"/>
        <v>62.688633</v>
      </c>
      <c r="AR17" s="28"/>
      <c r="AS17" s="28">
        <f t="shared" si="74"/>
        <v>1440.9985000000001</v>
      </c>
      <c r="AT17" s="28">
        <f t="shared" si="21"/>
        <v>25.2177297</v>
      </c>
      <c r="AU17" s="13">
        <f t="shared" si="22"/>
        <v>1466.2162297000002</v>
      </c>
      <c r="AV17" s="28">
        <f t="shared" si="23"/>
        <v>13.053961900000001</v>
      </c>
      <c r="AW17" s="28">
        <f t="shared" si="24"/>
        <v>19.343165300000003</v>
      </c>
      <c r="AX17" s="28"/>
      <c r="AY17" s="28">
        <f t="shared" si="75"/>
        <v>30816.368</v>
      </c>
      <c r="AZ17" s="28">
        <f t="shared" si="25"/>
        <v>539.2919135999999</v>
      </c>
      <c r="BA17" s="13">
        <f t="shared" si="26"/>
        <v>31355.659913599997</v>
      </c>
      <c r="BB17" s="28">
        <f t="shared" si="27"/>
        <v>279.1645472</v>
      </c>
      <c r="BC17" s="28">
        <f t="shared" si="28"/>
        <v>413.6618464</v>
      </c>
      <c r="BD17" s="28"/>
      <c r="BE17" s="28">
        <f t="shared" si="76"/>
        <v>537.9464999999999</v>
      </c>
      <c r="BF17" s="28">
        <f t="shared" si="29"/>
        <v>9.4141593</v>
      </c>
      <c r="BG17" s="13">
        <f t="shared" si="30"/>
        <v>547.3606593</v>
      </c>
      <c r="BH17" s="28">
        <f t="shared" si="31"/>
        <v>4.8732411</v>
      </c>
      <c r="BI17" s="28">
        <f t="shared" si="32"/>
        <v>7.2210957</v>
      </c>
      <c r="BJ17" s="28"/>
      <c r="BK17" s="28">
        <f t="shared" si="77"/>
        <v>119536.72299999998</v>
      </c>
      <c r="BL17" s="28">
        <f t="shared" si="33"/>
        <v>2091.9138846</v>
      </c>
      <c r="BM17" s="13">
        <f t="shared" si="34"/>
        <v>121628.63688459998</v>
      </c>
      <c r="BN17" s="28">
        <f t="shared" si="35"/>
        <v>1082.8795642</v>
      </c>
      <c r="BO17" s="28">
        <f t="shared" si="36"/>
        <v>1604.5947254</v>
      </c>
      <c r="BP17" s="28"/>
      <c r="BQ17" s="28">
        <f t="shared" si="78"/>
        <v>4248.398</v>
      </c>
      <c r="BR17" s="28">
        <f t="shared" si="37"/>
        <v>74.3477196</v>
      </c>
      <c r="BS17" s="13">
        <f t="shared" si="38"/>
        <v>4322.7457196000005</v>
      </c>
      <c r="BT17" s="28">
        <f t="shared" si="39"/>
        <v>38.4861092</v>
      </c>
      <c r="BU17" s="28">
        <f t="shared" si="40"/>
        <v>57.0281404</v>
      </c>
      <c r="BV17" s="28"/>
      <c r="BW17" s="28">
        <f t="shared" si="79"/>
        <v>126918.4975</v>
      </c>
      <c r="BX17" s="28">
        <f t="shared" si="41"/>
        <v>2221.0962495000003</v>
      </c>
      <c r="BY17" s="13">
        <f t="shared" si="42"/>
        <v>129139.5937495</v>
      </c>
      <c r="BZ17" s="28">
        <f t="shared" si="43"/>
        <v>1149.7508365</v>
      </c>
      <c r="CA17" s="28">
        <f t="shared" si="44"/>
        <v>1703.6835755</v>
      </c>
      <c r="CB17" s="28"/>
      <c r="CC17" s="28">
        <f t="shared" si="80"/>
        <v>37931.8435</v>
      </c>
      <c r="CD17" s="28">
        <f t="shared" si="45"/>
        <v>663.8139987000001</v>
      </c>
      <c r="CE17" s="13">
        <f t="shared" si="46"/>
        <v>38595.657498700006</v>
      </c>
      <c r="CF17" s="28">
        <f t="shared" si="47"/>
        <v>343.6234249</v>
      </c>
      <c r="CG17" s="28">
        <f t="shared" si="48"/>
        <v>509.1760463</v>
      </c>
      <c r="CH17" s="28"/>
      <c r="CI17" s="28">
        <f t="shared" si="81"/>
        <v>3363.362</v>
      </c>
      <c r="CJ17" s="28">
        <f t="shared" si="49"/>
        <v>58.8594324</v>
      </c>
      <c r="CK17" s="13">
        <f t="shared" si="50"/>
        <v>3422.2214324</v>
      </c>
      <c r="CL17" s="28">
        <f t="shared" si="51"/>
        <v>30.468594799999998</v>
      </c>
      <c r="CM17" s="28">
        <f t="shared" si="52"/>
        <v>45.147907599999996</v>
      </c>
      <c r="CN17" s="28"/>
      <c r="CO17" s="28">
        <f t="shared" si="82"/>
        <v>1040.987</v>
      </c>
      <c r="CP17" s="28">
        <f t="shared" si="53"/>
        <v>18.217457399999997</v>
      </c>
      <c r="CQ17" s="13">
        <f t="shared" si="54"/>
        <v>1059.2044574000001</v>
      </c>
      <c r="CR17" s="28">
        <f t="shared" si="55"/>
        <v>9.4302698</v>
      </c>
      <c r="CS17" s="28">
        <f t="shared" si="56"/>
        <v>13.9736326</v>
      </c>
      <c r="CT17" s="28"/>
      <c r="CU17" s="28">
        <f t="shared" si="83"/>
        <v>3781.1079999999997</v>
      </c>
      <c r="CV17" s="28">
        <f t="shared" si="57"/>
        <v>66.1700616</v>
      </c>
      <c r="CW17" s="13">
        <f t="shared" si="58"/>
        <v>3847.2780615999995</v>
      </c>
      <c r="CX17" s="28">
        <f t="shared" si="59"/>
        <v>34.2529432</v>
      </c>
      <c r="CY17" s="28">
        <f t="shared" si="60"/>
        <v>50.75549839999999</v>
      </c>
      <c r="CZ17" s="28"/>
      <c r="DA17" s="28">
        <f t="shared" si="84"/>
        <v>7333.637999999999</v>
      </c>
      <c r="DB17" s="28">
        <f t="shared" si="61"/>
        <v>128.3399676</v>
      </c>
      <c r="DC17" s="13">
        <f t="shared" si="62"/>
        <v>7461.977967599999</v>
      </c>
      <c r="DD17" s="28">
        <f t="shared" si="63"/>
        <v>66.4352052</v>
      </c>
      <c r="DE17" s="28">
        <f t="shared" si="64"/>
        <v>98.4426924</v>
      </c>
      <c r="DF17" s="28"/>
      <c r="DG17" s="28">
        <f t="shared" si="85"/>
        <v>502842.0425000001</v>
      </c>
      <c r="DH17" s="28">
        <f t="shared" si="65"/>
        <v>8799.8250585</v>
      </c>
      <c r="DI17" s="13">
        <f t="shared" si="66"/>
        <v>511641.8675585001</v>
      </c>
      <c r="DJ17" s="28">
        <f t="shared" si="67"/>
        <v>4555.2308795</v>
      </c>
      <c r="DK17" s="28">
        <f t="shared" si="68"/>
        <v>6749.8729164999995</v>
      </c>
      <c r="DL17" s="28"/>
      <c r="DM17" s="13"/>
      <c r="DN17" s="13"/>
      <c r="DO17" s="13">
        <f t="shared" si="69"/>
        <v>0</v>
      </c>
      <c r="DP17" s="13"/>
    </row>
    <row r="18" spans="3:120" ht="12.75">
      <c r="C18" s="20"/>
      <c r="D18" s="20"/>
      <c r="E18" s="20"/>
      <c r="F18" s="20"/>
      <c r="G18" s="20"/>
      <c r="J18" s="28"/>
      <c r="S18" s="13"/>
      <c r="Y18" s="13"/>
      <c r="AA18" s="13"/>
      <c r="AB18" s="13"/>
      <c r="AE18" s="13"/>
      <c r="AG18" s="13"/>
      <c r="AH18" s="13"/>
      <c r="AI18" s="13"/>
      <c r="AK18" s="13"/>
      <c r="AM18" s="3"/>
      <c r="AN18" s="3"/>
      <c r="AO18" s="3"/>
      <c r="AQ18" s="13"/>
      <c r="AR18" s="13"/>
      <c r="AS18" s="13"/>
      <c r="AT18" s="13"/>
      <c r="AU18" s="13"/>
      <c r="AV18"/>
      <c r="AW18" s="13"/>
      <c r="AX18" s="13"/>
      <c r="AY18" s="13"/>
      <c r="AZ18" s="13"/>
      <c r="BA18" s="13"/>
      <c r="BB18"/>
      <c r="BC18" s="13"/>
      <c r="BD18" s="13"/>
      <c r="BE18" s="13"/>
      <c r="BF18" s="13"/>
      <c r="BG18" s="13"/>
      <c r="BH18"/>
      <c r="BI18" s="13"/>
      <c r="BJ18" s="13"/>
      <c r="BK18" s="13"/>
      <c r="BL18" s="13"/>
      <c r="BM18" s="13"/>
      <c r="BN18"/>
      <c r="BO18" s="13"/>
      <c r="BP18" s="13"/>
      <c r="BQ18" s="13"/>
      <c r="BR18" s="13"/>
      <c r="BS18" s="13"/>
      <c r="BT18"/>
      <c r="BU18" s="13"/>
      <c r="BV18" s="13"/>
      <c r="BW18" s="13"/>
      <c r="BX18" s="13"/>
      <c r="BY18" s="13"/>
      <c r="BZ18"/>
      <c r="CA18" s="13"/>
      <c r="CB18" s="13"/>
      <c r="CC18" s="13"/>
      <c r="CD18" s="13"/>
      <c r="CE18" s="13"/>
      <c r="CF18"/>
      <c r="CG18" s="13"/>
      <c r="CH18" s="13"/>
      <c r="CI18" s="13"/>
      <c r="CJ18" s="13"/>
      <c r="CK18" s="13"/>
      <c r="CL18"/>
      <c r="CM18" s="13"/>
      <c r="CN18" s="13"/>
      <c r="CO18" s="13"/>
      <c r="CP18" s="13"/>
      <c r="CQ18" s="13"/>
      <c r="CR18"/>
      <c r="CS18" s="13"/>
      <c r="CT18" s="13"/>
      <c r="CU18" s="13"/>
      <c r="CV18" s="13"/>
      <c r="CW18" s="13"/>
      <c r="CX18"/>
      <c r="CY18" s="13"/>
      <c r="CZ18" s="13"/>
      <c r="DA18" s="13"/>
      <c r="DB18" s="13"/>
      <c r="DC18" s="13"/>
      <c r="DD18"/>
      <c r="DE18" s="13"/>
      <c r="DF18" s="13"/>
      <c r="DG18" s="13"/>
      <c r="DH18" s="13"/>
      <c r="DI18" s="13"/>
      <c r="DJ18"/>
      <c r="DK18" s="13"/>
      <c r="DL18" s="13"/>
      <c r="DM18" s="13"/>
      <c r="DN18" s="13"/>
      <c r="DO18" s="13"/>
      <c r="DP18" s="13"/>
    </row>
    <row r="19" spans="1:120" ht="13.5" thickBot="1">
      <c r="A19" s="11" t="s">
        <v>0</v>
      </c>
      <c r="C19" s="27">
        <f>SUM(C8:C18)</f>
        <v>2815000</v>
      </c>
      <c r="D19" s="27">
        <f>SUM(D8:D18)</f>
        <v>492630</v>
      </c>
      <c r="E19" s="27">
        <f>SUM(E8:E18)</f>
        <v>3307630</v>
      </c>
      <c r="F19" s="27">
        <f>SUM(F8:F18)</f>
        <v>255010</v>
      </c>
      <c r="G19" s="27">
        <f>SUM(G8:G18)</f>
        <v>377870</v>
      </c>
      <c r="I19" s="27">
        <f>SUM(I8:I18)</f>
        <v>1913640.3780000003</v>
      </c>
      <c r="J19" s="27">
        <f>SUM(J8:J18)</f>
        <v>334890.46515600005</v>
      </c>
      <c r="K19" s="27">
        <f>SUM(K8:K18)</f>
        <v>2248530.8431560006</v>
      </c>
      <c r="L19" s="27">
        <f>SUM(L8:L18)</f>
        <v>173356.10401200005</v>
      </c>
      <c r="M19" s="27">
        <f>SUM(M8:M18)</f>
        <v>256876.47944400003</v>
      </c>
      <c r="O19" s="27">
        <f>SUM(O8:O18)</f>
        <v>901359.6220000001</v>
      </c>
      <c r="P19" s="27">
        <f>SUM(P8:P18)</f>
        <v>157739.534844</v>
      </c>
      <c r="Q19" s="27">
        <f>SUM(Q8:Q18)</f>
        <v>1059099.156844</v>
      </c>
      <c r="R19" s="27">
        <f>SUM(R8:R18)</f>
        <v>81653.895988</v>
      </c>
      <c r="S19" s="27">
        <f>SUM(S8:S18)</f>
        <v>120993.520556</v>
      </c>
      <c r="U19" s="27">
        <f>SUM(U8:U18)</f>
        <v>8120.9935000000005</v>
      </c>
      <c r="V19" s="27">
        <f>SUM(V8:V18)</f>
        <v>1421.1882870000002</v>
      </c>
      <c r="W19" s="27">
        <f>SUM(W8:W18)</f>
        <v>9542.181787000001</v>
      </c>
      <c r="X19" s="27">
        <f>SUM(X8:X18)</f>
        <v>735.6783489999999</v>
      </c>
      <c r="Y19" s="27">
        <f>SUM(Y8:Y18)</f>
        <v>1090.1171630000001</v>
      </c>
      <c r="AA19" s="27">
        <f>SUM(AA8:AA18)</f>
        <v>34205.3465</v>
      </c>
      <c r="AB19" s="27">
        <f>SUM(AB8:AB18)</f>
        <v>5985.996393000001</v>
      </c>
      <c r="AC19" s="27">
        <f>SUM(AC8:AC18)</f>
        <v>40191.342893</v>
      </c>
      <c r="AD19" s="27">
        <f>SUM(AD8:AD18)</f>
        <v>3098.6520109999997</v>
      </c>
      <c r="AE19" s="27">
        <f>SUM(AE8:AE18)</f>
        <v>4591.536157</v>
      </c>
      <c r="AG19" s="27">
        <f>SUM(AG8:AG18)</f>
        <v>14571.284500000002</v>
      </c>
      <c r="AH19" s="27">
        <f>SUM(AH8:AH18)</f>
        <v>2550.0006690000005</v>
      </c>
      <c r="AI19" s="27">
        <f>SUM(AI8:AI18)</f>
        <v>17121.285169000002</v>
      </c>
      <c r="AJ19" s="27">
        <f>SUM(AJ8:AJ18)</f>
        <v>1320.008263</v>
      </c>
      <c r="AK19" s="27">
        <f>SUM(AK8:AK18)</f>
        <v>1955.9684809999999</v>
      </c>
      <c r="AM19" s="27">
        <f>SUM(AM8:AM18)</f>
        <v>4670.085</v>
      </c>
      <c r="AN19" s="27">
        <f>SUM(AN8:AN18)</f>
        <v>817.2731699999998</v>
      </c>
      <c r="AO19" s="27">
        <f>SUM(AO8:AO18)</f>
        <v>5487.3581699999995</v>
      </c>
      <c r="AP19" s="27">
        <f>SUM(AP8:AP18)</f>
        <v>423.06158999999997</v>
      </c>
      <c r="AQ19" s="27">
        <f>SUM(AQ8:AQ18)</f>
        <v>626.8863299999999</v>
      </c>
      <c r="AR19" s="13"/>
      <c r="AS19" s="27">
        <f>SUM(AS8:AS18)</f>
        <v>1440.9985000000001</v>
      </c>
      <c r="AT19" s="27">
        <f>SUM(AT8:AT18)</f>
        <v>252.17729700000004</v>
      </c>
      <c r="AU19" s="27">
        <f>SUM(AU8:AU18)</f>
        <v>1693.1757970000003</v>
      </c>
      <c r="AV19" s="27">
        <f>SUM(AV8:AV18)</f>
        <v>130.53961900000002</v>
      </c>
      <c r="AW19" s="27">
        <f>SUM(AW8:AW18)</f>
        <v>193.43165300000007</v>
      </c>
      <c r="AX19" s="13"/>
      <c r="AY19" s="27">
        <f>SUM(AY8:AY18)</f>
        <v>30816.368</v>
      </c>
      <c r="AZ19" s="27">
        <f>SUM(AZ8:AZ18)</f>
        <v>5392.9191359999995</v>
      </c>
      <c r="BA19" s="27">
        <f>SUM(BA8:BA18)</f>
        <v>36209.287136</v>
      </c>
      <c r="BB19" s="27">
        <f>SUM(BB8:BB18)</f>
        <v>2791.645472</v>
      </c>
      <c r="BC19" s="27">
        <f>SUM(BC8:BC18)</f>
        <v>4136.618463999999</v>
      </c>
      <c r="BD19" s="13"/>
      <c r="BE19" s="27">
        <f>SUM(BE8:BE18)</f>
        <v>537.9464999999999</v>
      </c>
      <c r="BF19" s="27">
        <f>SUM(BF8:BF18)</f>
        <v>94.14159299999999</v>
      </c>
      <c r="BG19" s="27">
        <f>SUM(BG8:BG18)</f>
        <v>632.088093</v>
      </c>
      <c r="BH19" s="27">
        <f>SUM(BH8:BH18)</f>
        <v>48.732411000000006</v>
      </c>
      <c r="BI19" s="27">
        <f>SUM(BI8:BI18)</f>
        <v>72.21095700000001</v>
      </c>
      <c r="BJ19" s="13"/>
      <c r="BK19" s="27">
        <f>SUM(BK8:BK18)</f>
        <v>119536.72299999998</v>
      </c>
      <c r="BL19" s="27">
        <f>SUM(BL8:BL18)</f>
        <v>20919.138845999998</v>
      </c>
      <c r="BM19" s="27">
        <f>SUM(BM8:BM18)</f>
        <v>140455.86184599999</v>
      </c>
      <c r="BN19" s="27">
        <f>SUM(BN8:BN18)</f>
        <v>10828.795642000003</v>
      </c>
      <c r="BO19" s="27">
        <f>SUM(BO8:BO18)</f>
        <v>16045.947254</v>
      </c>
      <c r="BP19" s="13"/>
      <c r="BQ19" s="27">
        <f>SUM(BQ8:BQ18)</f>
        <v>4248.398</v>
      </c>
      <c r="BR19" s="27">
        <f>SUM(BR8:BR18)</f>
        <v>743.477196</v>
      </c>
      <c r="BS19" s="27">
        <f>SUM(BS8:BS18)</f>
        <v>4991.875196000001</v>
      </c>
      <c r="BT19" s="27">
        <f>SUM(BT8:BT18)</f>
        <v>384.8610919999999</v>
      </c>
      <c r="BU19" s="27">
        <f>SUM(BU8:BU18)</f>
        <v>570.281404</v>
      </c>
      <c r="BV19" s="13"/>
      <c r="BW19" s="27">
        <f>SUM(BW8:BW18)</f>
        <v>126918.4975</v>
      </c>
      <c r="BX19" s="27">
        <f>SUM(BX8:BX18)</f>
        <v>22210.962495</v>
      </c>
      <c r="BY19" s="27">
        <f>SUM(BY8:BY18)</f>
        <v>149129.45999499998</v>
      </c>
      <c r="BZ19" s="27">
        <f>SUM(BZ8:BZ18)</f>
        <v>11497.508365</v>
      </c>
      <c r="CA19" s="27">
        <f>SUM(CA8:CA18)</f>
        <v>17036.835754999996</v>
      </c>
      <c r="CB19" s="13"/>
      <c r="CC19" s="27">
        <f>SUM(CC8:CC18)</f>
        <v>37931.8435</v>
      </c>
      <c r="CD19" s="27">
        <f>SUM(CD8:CD18)</f>
        <v>6638.139987000001</v>
      </c>
      <c r="CE19" s="27">
        <f>SUM(CE8:CE18)</f>
        <v>44569.983487000005</v>
      </c>
      <c r="CF19" s="27">
        <f>SUM(CF8:CF18)</f>
        <v>3436.2342489999996</v>
      </c>
      <c r="CG19" s="27">
        <f>SUM(CG8:CG18)</f>
        <v>5091.760463</v>
      </c>
      <c r="CH19" s="13"/>
      <c r="CI19" s="27">
        <f>SUM(CI8:CI18)</f>
        <v>3363.362</v>
      </c>
      <c r="CJ19" s="27">
        <f>SUM(CJ8:CJ18)</f>
        <v>588.5943240000001</v>
      </c>
      <c r="CK19" s="27">
        <f>SUM(CK8:CK18)</f>
        <v>3951.956324</v>
      </c>
      <c r="CL19" s="27">
        <f>SUM(CL8:CL18)</f>
        <v>304.685948</v>
      </c>
      <c r="CM19" s="27">
        <f>SUM(CM8:CM18)</f>
        <v>451.47907599999996</v>
      </c>
      <c r="CN19" s="13"/>
      <c r="CO19" s="27">
        <f>SUM(CO8:CO18)</f>
        <v>1040.987</v>
      </c>
      <c r="CP19" s="27">
        <f>SUM(CP8:CP18)</f>
        <v>182.17457399999998</v>
      </c>
      <c r="CQ19" s="27">
        <f>SUM(CQ8:CQ18)</f>
        <v>1223.1615740000002</v>
      </c>
      <c r="CR19" s="27">
        <f>SUM(CR8:CR18)</f>
        <v>94.302698</v>
      </c>
      <c r="CS19" s="27">
        <f>SUM(CS8:CS18)</f>
        <v>139.736326</v>
      </c>
      <c r="CT19" s="13"/>
      <c r="CU19" s="27">
        <f>SUM(CU8:CU18)</f>
        <v>3781.1079999999997</v>
      </c>
      <c r="CV19" s="27">
        <f>SUM(CV8:CV18)</f>
        <v>661.7006160000001</v>
      </c>
      <c r="CW19" s="27">
        <f>SUM(CW8:CW18)</f>
        <v>4442.808615999999</v>
      </c>
      <c r="CX19" s="27">
        <f>SUM(CX8:CX18)</f>
        <v>342.529432</v>
      </c>
      <c r="CY19" s="27">
        <f>SUM(CY8:CY18)</f>
        <v>507.5549839999999</v>
      </c>
      <c r="CZ19" s="13"/>
      <c r="DA19" s="27">
        <f>SUM(DA8:DA18)</f>
        <v>7333.637999999999</v>
      </c>
      <c r="DB19" s="27">
        <f>SUM(DB8:DB18)</f>
        <v>1283.3996759999998</v>
      </c>
      <c r="DC19" s="27">
        <f>SUM(DC8:DC18)</f>
        <v>8617.037675999998</v>
      </c>
      <c r="DD19" s="27">
        <f>SUM(DD8:DD18)</f>
        <v>664.3520520000001</v>
      </c>
      <c r="DE19" s="27">
        <f>SUM(DE8:DE18)</f>
        <v>984.4269239999999</v>
      </c>
      <c r="DF19" s="13"/>
      <c r="DG19" s="27">
        <f>SUM(DG8:DG18)</f>
        <v>502842.0425000001</v>
      </c>
      <c r="DH19" s="27">
        <f>SUM(DH8:DH18)</f>
        <v>87998.25058500002</v>
      </c>
      <c r="DI19" s="27">
        <f>SUM(DI8:DI18)</f>
        <v>590840.2930850001</v>
      </c>
      <c r="DJ19" s="27">
        <f>SUM(DJ8:DJ18)</f>
        <v>45552.308795</v>
      </c>
      <c r="DK19" s="27">
        <f>SUM(DK8:DK18)</f>
        <v>67498.72916499998</v>
      </c>
      <c r="DL19" s="13"/>
      <c r="DM19" s="27">
        <f>SUM(DM8:DM18)</f>
        <v>0</v>
      </c>
      <c r="DN19" s="27">
        <f>SUM(DN8:DN18)</f>
        <v>0</v>
      </c>
      <c r="DO19" s="27">
        <f>SUM(DO8:DO18)</f>
        <v>0</v>
      </c>
      <c r="DP19" s="20"/>
    </row>
    <row r="20" spans="33:43" ht="13.5" thickTop="1">
      <c r="AG20" s="13"/>
      <c r="AH20" s="13"/>
      <c r="AI20" s="13"/>
      <c r="AJ20" s="13"/>
      <c r="AK20" s="13"/>
      <c r="AM20" s="3"/>
      <c r="AN20" s="3"/>
      <c r="AO20" s="3"/>
      <c r="AP20" s="3"/>
      <c r="AQ20" s="3"/>
    </row>
    <row r="21" spans="16:43" ht="12.75">
      <c r="P21" s="13"/>
      <c r="AG21" s="13"/>
      <c r="AH21" s="13"/>
      <c r="AI21" s="13"/>
      <c r="AJ21" s="13"/>
      <c r="AK21" s="13"/>
      <c r="AM21" s="3"/>
      <c r="AN21" s="3"/>
      <c r="AO21" s="3"/>
      <c r="AP21" s="3"/>
      <c r="AQ21" s="3"/>
    </row>
    <row r="22" spans="33:43" ht="12.75">
      <c r="AG22" s="13"/>
      <c r="AH22" s="13"/>
      <c r="AI22" s="13"/>
      <c r="AJ22" s="13"/>
      <c r="AK22" s="13"/>
      <c r="AM22" s="3"/>
      <c r="AN22" s="3"/>
      <c r="AO22" s="3"/>
      <c r="AP22" s="3"/>
      <c r="AQ22" s="3"/>
    </row>
    <row r="23" spans="33:43" ht="12.75">
      <c r="AG23" s="13"/>
      <c r="AH23" s="13"/>
      <c r="AI23" s="13"/>
      <c r="AJ23" s="13"/>
      <c r="AK23" s="13"/>
      <c r="AM23" s="3"/>
      <c r="AN23" s="3"/>
      <c r="AO23" s="3"/>
      <c r="AP23" s="3"/>
      <c r="AQ23" s="3"/>
    </row>
    <row r="24" spans="33:43" ht="12.75">
      <c r="AG24" s="13"/>
      <c r="AH24" s="13"/>
      <c r="AI24" s="13"/>
      <c r="AJ24" s="13"/>
      <c r="AK24" s="13"/>
      <c r="AM24" s="3"/>
      <c r="AN24" s="3"/>
      <c r="AO24" s="3"/>
      <c r="AP24" s="3"/>
      <c r="AQ24" s="3"/>
    </row>
    <row r="25" spans="33:43" ht="12.75">
      <c r="AG25" s="13"/>
      <c r="AH25" s="13"/>
      <c r="AI25" s="13"/>
      <c r="AJ25" s="13"/>
      <c r="AK25" s="13"/>
      <c r="AM25" s="3"/>
      <c r="AN25" s="3"/>
      <c r="AO25" s="3"/>
      <c r="AP25" s="3"/>
      <c r="AQ25" s="3"/>
    </row>
    <row r="26" spans="33:43" ht="12.75">
      <c r="AG26" s="13"/>
      <c r="AH26" s="13"/>
      <c r="AI26" s="13"/>
      <c r="AJ26" s="13"/>
      <c r="AK26" s="13"/>
      <c r="AM26" s="3"/>
      <c r="AN26" s="3"/>
      <c r="AO26" s="3"/>
      <c r="AP26" s="3"/>
      <c r="AQ26" s="3"/>
    </row>
    <row r="27" spans="33:43" ht="12.75">
      <c r="AG27" s="13"/>
      <c r="AH27" s="13"/>
      <c r="AI27" s="13"/>
      <c r="AJ27" s="13"/>
      <c r="AK27" s="13"/>
      <c r="AM27" s="3"/>
      <c r="AN27" s="3"/>
      <c r="AO27" s="3"/>
      <c r="AP27" s="3"/>
      <c r="AQ27" s="3"/>
    </row>
    <row r="28" spans="33:43" ht="12.75">
      <c r="AG28" s="13"/>
      <c r="AH28" s="13"/>
      <c r="AI28" s="13"/>
      <c r="AJ28" s="13"/>
      <c r="AK28" s="13"/>
      <c r="AM28" s="3"/>
      <c r="AN28" s="3"/>
      <c r="AO28" s="3"/>
      <c r="AP28" s="3"/>
      <c r="AQ28" s="3"/>
    </row>
    <row r="29" spans="33:43" ht="12.75">
      <c r="AG29" s="13"/>
      <c r="AH29" s="13"/>
      <c r="AI29" s="13"/>
      <c r="AJ29" s="13"/>
      <c r="AK29" s="13"/>
      <c r="AM29" s="3"/>
      <c r="AN29" s="3"/>
      <c r="AO29" s="3"/>
      <c r="AP29" s="3"/>
      <c r="AQ29" s="3"/>
    </row>
    <row r="30" spans="33:43" ht="12.75">
      <c r="AG30" s="13"/>
      <c r="AH30" s="13"/>
      <c r="AI30" s="13"/>
      <c r="AJ30" s="13"/>
      <c r="AK30" s="13"/>
      <c r="AM30" s="3"/>
      <c r="AN30" s="3"/>
      <c r="AO30" s="3"/>
      <c r="AP30" s="3"/>
      <c r="AQ30" s="3"/>
    </row>
    <row r="31" spans="33:43" ht="12.75">
      <c r="AG31" s="13"/>
      <c r="AH31" s="13"/>
      <c r="AI31" s="13"/>
      <c r="AJ31" s="13"/>
      <c r="AK31" s="13"/>
      <c r="AM31" s="3"/>
      <c r="AN31" s="3"/>
      <c r="AO31" s="3"/>
      <c r="AP31" s="3"/>
      <c r="AQ31" s="3"/>
    </row>
    <row r="32" spans="33:43" ht="12.75">
      <c r="AG32" s="13"/>
      <c r="AH32" s="13"/>
      <c r="AI32" s="13"/>
      <c r="AJ32" s="13"/>
      <c r="AK32" s="13"/>
      <c r="AM32" s="3"/>
      <c r="AN32" s="3"/>
      <c r="AO32" s="3"/>
      <c r="AP32" s="3"/>
      <c r="AQ32" s="3"/>
    </row>
    <row r="33" spans="1:12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T33"/>
      <c r="AG33" s="13"/>
      <c r="AH33" s="13"/>
      <c r="AI33" s="13"/>
      <c r="AJ33" s="13"/>
      <c r="AK33" s="13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</row>
    <row r="34" spans="1:12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T34"/>
      <c r="AG34" s="13"/>
      <c r="AH34" s="13"/>
      <c r="AI34" s="13"/>
      <c r="AJ34" s="13"/>
      <c r="AK34" s="13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T35"/>
      <c r="AG35" s="13"/>
      <c r="AH35" s="13"/>
      <c r="AI35" s="13"/>
      <c r="AJ35" s="13"/>
      <c r="AK35" s="13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T36"/>
      <c r="AG36" s="13"/>
      <c r="AH36" s="13"/>
      <c r="AI36" s="13"/>
      <c r="AJ36" s="13"/>
      <c r="AK36" s="13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T37"/>
      <c r="AG37" s="13"/>
      <c r="AH37" s="13"/>
      <c r="AI37" s="13"/>
      <c r="AJ37" s="13"/>
      <c r="AK37" s="13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T38"/>
      <c r="AG38" s="13"/>
      <c r="AH38" s="13"/>
      <c r="AI38" s="13"/>
      <c r="AJ38" s="13"/>
      <c r="AK38" s="13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T39"/>
      <c r="AG39" s="13"/>
      <c r="AH39" s="13"/>
      <c r="AI39" s="13"/>
      <c r="AJ39" s="13"/>
      <c r="AK39" s="13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T40"/>
      <c r="AG40" s="13"/>
      <c r="AH40" s="13"/>
      <c r="AI40" s="13"/>
      <c r="AJ40" s="13"/>
      <c r="AK40" s="13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T41"/>
      <c r="AG41" s="13"/>
      <c r="AH41" s="13"/>
      <c r="AI41" s="13"/>
      <c r="AJ41" s="13"/>
      <c r="AK41" s="13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T42"/>
      <c r="AG42" s="13"/>
      <c r="AH42" s="13"/>
      <c r="AI42" s="13"/>
      <c r="AJ42" s="13"/>
      <c r="AK42" s="13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T43"/>
      <c r="AG43" s="13"/>
      <c r="AH43" s="13"/>
      <c r="AI43" s="13"/>
      <c r="AJ43" s="13"/>
      <c r="AK43" s="13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T44"/>
      <c r="AG44" s="13"/>
      <c r="AH44" s="13"/>
      <c r="AI44" s="13"/>
      <c r="AJ44" s="13"/>
      <c r="AK44" s="13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T45"/>
      <c r="AG45" s="13"/>
      <c r="AH45" s="13"/>
      <c r="AI45" s="13"/>
      <c r="AJ45" s="13"/>
      <c r="AK45" s="13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T46"/>
      <c r="AG46" s="13"/>
      <c r="AH46" s="13"/>
      <c r="AI46" s="13"/>
      <c r="AJ46" s="13"/>
      <c r="AK46" s="13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T47"/>
      <c r="AG47" s="13"/>
      <c r="AH47" s="13"/>
      <c r="AI47" s="13"/>
      <c r="AJ47" s="13"/>
      <c r="AK47" s="1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T48"/>
      <c r="AG48" s="13"/>
      <c r="AH48" s="13"/>
      <c r="AI48" s="13"/>
      <c r="AJ48" s="13"/>
      <c r="AK48" s="1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T49"/>
      <c r="AG49" s="13"/>
      <c r="AH49" s="13"/>
      <c r="AI49" s="13"/>
      <c r="AJ49" s="13"/>
      <c r="AK49" s="1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T50"/>
      <c r="AG50" s="13"/>
      <c r="AH50" s="13"/>
      <c r="AI50" s="13"/>
      <c r="AJ50" s="13"/>
      <c r="AK50" s="1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T51"/>
      <c r="AG51" s="13"/>
      <c r="AH51" s="13"/>
      <c r="AI51" s="13"/>
      <c r="AJ51" s="13"/>
      <c r="AK51" s="1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T52"/>
      <c r="AG52" s="13"/>
      <c r="AH52" s="13"/>
      <c r="AI52" s="13"/>
      <c r="AJ52" s="13"/>
      <c r="AK52" s="1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T53"/>
      <c r="AG53" s="13"/>
      <c r="AH53" s="13"/>
      <c r="AI53" s="13"/>
      <c r="AJ53" s="13"/>
      <c r="AK53" s="1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T54"/>
      <c r="AG54" s="13"/>
      <c r="AH54" s="13"/>
      <c r="AI54" s="13"/>
      <c r="AJ54" s="13"/>
      <c r="AK54" s="1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T55"/>
      <c r="AG55" s="13"/>
      <c r="AH55" s="13"/>
      <c r="AI55" s="13"/>
      <c r="AJ55" s="13"/>
      <c r="AK55" s="1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T56"/>
      <c r="AG56" s="13"/>
      <c r="AH56" s="13"/>
      <c r="AI56" s="13"/>
      <c r="AJ56" s="13"/>
      <c r="AK56" s="1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T57"/>
      <c r="AG57" s="13"/>
      <c r="AH57" s="13"/>
      <c r="AI57" s="13"/>
      <c r="AJ57" s="13"/>
      <c r="AK57" s="1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T58"/>
      <c r="AG58" s="13"/>
      <c r="AH58" s="13"/>
      <c r="AI58" s="13"/>
      <c r="AJ58" s="13"/>
      <c r="AK58" s="1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T59"/>
      <c r="AG59" s="13"/>
      <c r="AH59" s="13"/>
      <c r="AI59" s="13"/>
      <c r="AJ59" s="13"/>
      <c r="AK59" s="1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Z59"/>
  <sheetViews>
    <sheetView zoomScale="150" zoomScaleNormal="150" zoomScalePageLayoutView="0" workbookViewId="0" topLeftCell="A1">
      <selection activeCell="E23" sqref="E2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8515625" style="13" customWidth="1"/>
    <col min="8" max="8" width="3.7109375" style="13" customWidth="1"/>
    <col min="9" max="9" width="15.140625" style="13" customWidth="1"/>
    <col min="10" max="10" width="16.140625" style="13" customWidth="1"/>
    <col min="11" max="12" width="15.140625" style="13" customWidth="1"/>
    <col min="13" max="13" width="16.140625" style="13" customWidth="1"/>
    <col min="14" max="14" width="3.7109375" style="13" customWidth="1"/>
    <col min="15" max="18" width="13.7109375" style="13" customWidth="1"/>
    <col min="19" max="19" width="17.0039062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851562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  <col min="177" max="181" width="13.7109375" style="13" customWidth="1"/>
    <col min="182" max="182" width="3.7109375" style="13" customWidth="1"/>
  </cols>
  <sheetData>
    <row r="1" spans="1:182" ht="12.75">
      <c r="A1" s="22"/>
      <c r="B1" s="10"/>
      <c r="H1" s="23"/>
      <c r="I1" s="23"/>
      <c r="J1" s="23"/>
      <c r="K1" s="23"/>
      <c r="L1" s="23"/>
      <c r="M1" s="23"/>
      <c r="N1" s="23"/>
      <c r="Z1" s="23" t="s">
        <v>6</v>
      </c>
      <c r="AA1"/>
      <c r="AB1"/>
      <c r="AC1"/>
      <c r="AF1" s="23"/>
      <c r="AG1"/>
      <c r="AH1"/>
      <c r="AI1"/>
      <c r="AJ1"/>
      <c r="AK1"/>
      <c r="AL1"/>
      <c r="AM1"/>
      <c r="AN1"/>
      <c r="AO1"/>
      <c r="AP1"/>
      <c r="AQ1"/>
      <c r="AR1" s="23" t="s">
        <v>6</v>
      </c>
      <c r="AS1"/>
      <c r="AT1"/>
      <c r="AU1"/>
      <c r="AV1"/>
      <c r="AW1"/>
      <c r="AX1" s="23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3" t="s">
        <v>6</v>
      </c>
      <c r="BK1" s="3"/>
      <c r="BL1" s="3"/>
      <c r="BM1" s="3"/>
      <c r="BN1" s="3"/>
      <c r="BO1" s="3"/>
      <c r="BP1" s="2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3" t="s">
        <v>6</v>
      </c>
      <c r="CC1" s="3"/>
      <c r="CD1" s="3"/>
      <c r="CE1" s="3"/>
      <c r="CF1" s="3"/>
      <c r="CG1" s="3"/>
      <c r="CH1" s="2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3" t="s">
        <v>6</v>
      </c>
      <c r="CU1" s="3"/>
      <c r="CV1" s="3"/>
      <c r="CW1" s="3"/>
      <c r="CX1" s="3"/>
      <c r="CY1" s="3"/>
      <c r="CZ1" s="2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3" t="s">
        <v>6</v>
      </c>
      <c r="DM1" s="3"/>
      <c r="DN1" s="3"/>
      <c r="DO1" s="3"/>
      <c r="DP1" s="3"/>
      <c r="DQ1" s="3"/>
      <c r="DR1" s="23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3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.75">
      <c r="A2" s="22"/>
      <c r="B2" s="10"/>
      <c r="H2" s="23"/>
      <c r="I2" s="23"/>
      <c r="J2" s="23"/>
      <c r="K2" s="23"/>
      <c r="L2" s="23"/>
      <c r="M2" s="23"/>
      <c r="N2" s="23"/>
      <c r="Z2" s="23" t="s">
        <v>5</v>
      </c>
      <c r="AA2"/>
      <c r="AB2"/>
      <c r="AC2"/>
      <c r="AF2" s="23"/>
      <c r="AG2"/>
      <c r="AH2"/>
      <c r="AI2"/>
      <c r="AJ2"/>
      <c r="AK2"/>
      <c r="AL2"/>
      <c r="AM2"/>
      <c r="AN2"/>
      <c r="AO2"/>
      <c r="AP2"/>
      <c r="AQ2"/>
      <c r="AR2" s="23" t="s">
        <v>5</v>
      </c>
      <c r="AS2"/>
      <c r="AT2"/>
      <c r="AU2"/>
      <c r="AV2"/>
      <c r="AW2"/>
      <c r="AX2" s="23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3" t="s">
        <v>5</v>
      </c>
      <c r="BK2" s="3"/>
      <c r="BL2" s="3"/>
      <c r="BM2" s="3"/>
      <c r="BN2" s="3"/>
      <c r="BO2" s="3"/>
      <c r="BP2" s="2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3" t="s">
        <v>5</v>
      </c>
      <c r="CC2" s="3"/>
      <c r="CD2" s="3"/>
      <c r="CE2" s="3"/>
      <c r="CF2" s="3"/>
      <c r="CG2" s="3"/>
      <c r="CH2" s="2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3" t="s">
        <v>5</v>
      </c>
      <c r="CU2" s="3"/>
      <c r="CV2" s="3"/>
      <c r="CW2" s="3"/>
      <c r="CX2" s="3"/>
      <c r="CY2" s="3"/>
      <c r="CZ2" s="2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3" t="s">
        <v>5</v>
      </c>
      <c r="DM2" s="3"/>
      <c r="DN2" s="3"/>
      <c r="DO2" s="3"/>
      <c r="DP2" s="3"/>
      <c r="DQ2" s="3"/>
      <c r="DR2" s="23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3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.75">
      <c r="A3" s="22"/>
      <c r="B3" s="10"/>
      <c r="H3" s="23"/>
      <c r="I3" s="23"/>
      <c r="J3" s="23"/>
      <c r="K3" s="23"/>
      <c r="L3" s="23"/>
      <c r="M3" s="23"/>
      <c r="N3" s="23"/>
      <c r="Z3" s="23"/>
      <c r="AA3" s="1"/>
      <c r="AB3"/>
      <c r="AC3"/>
      <c r="AF3" s="23"/>
      <c r="AG3"/>
      <c r="AH3"/>
      <c r="AI3"/>
      <c r="AJ3"/>
      <c r="AK3"/>
      <c r="AL3"/>
      <c r="AM3"/>
      <c r="AN3"/>
      <c r="AO3"/>
      <c r="AP3"/>
      <c r="AQ3"/>
      <c r="AR3" s="23"/>
      <c r="AS3"/>
      <c r="AT3"/>
      <c r="AU3"/>
      <c r="AV3"/>
      <c r="AW3"/>
      <c r="AX3" s="23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2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2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2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23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.75">
      <c r="A4" s="22"/>
      <c r="B4" s="10"/>
    </row>
    <row r="5" spans="1:181" ht="12.75">
      <c r="A5" s="4" t="s">
        <v>1</v>
      </c>
      <c r="C5" s="41" t="s">
        <v>65</v>
      </c>
      <c r="D5" s="42"/>
      <c r="E5" s="43"/>
      <c r="F5" s="19"/>
      <c r="G5" s="19"/>
      <c r="I5" s="34" t="s">
        <v>31</v>
      </c>
      <c r="J5" s="50"/>
      <c r="K5" s="51"/>
      <c r="L5" s="52"/>
      <c r="M5" s="52"/>
      <c r="O5" s="15" t="s">
        <v>8</v>
      </c>
      <c r="P5" s="16"/>
      <c r="Q5" s="17"/>
      <c r="R5" s="19"/>
      <c r="S5" s="19"/>
      <c r="U5" s="15" t="s">
        <v>28</v>
      </c>
      <c r="V5" s="16"/>
      <c r="W5" s="17"/>
      <c r="X5" s="19"/>
      <c r="Y5" s="19"/>
      <c r="AA5" s="34" t="s">
        <v>9</v>
      </c>
      <c r="AB5" s="16"/>
      <c r="AC5" s="17"/>
      <c r="AD5" s="19"/>
      <c r="AE5" s="19"/>
      <c r="AG5" s="34" t="s">
        <v>26</v>
      </c>
      <c r="AH5" s="16"/>
      <c r="AI5" s="17"/>
      <c r="AJ5" s="19"/>
      <c r="AK5" s="19"/>
      <c r="AL5" s="39"/>
      <c r="AM5" s="40" t="s">
        <v>57</v>
      </c>
      <c r="AN5" s="16"/>
      <c r="AO5" s="17"/>
      <c r="AP5" s="19"/>
      <c r="AQ5" s="19"/>
      <c r="AS5" s="15" t="s">
        <v>10</v>
      </c>
      <c r="AT5" s="16"/>
      <c r="AU5" s="17"/>
      <c r="AV5" s="19"/>
      <c r="AW5" s="19"/>
      <c r="AX5" s="35"/>
      <c r="AY5" s="15" t="s">
        <v>11</v>
      </c>
      <c r="AZ5" s="16"/>
      <c r="BA5" s="17"/>
      <c r="BB5" s="19"/>
      <c r="BC5" s="19"/>
      <c r="BE5" s="15" t="s">
        <v>32</v>
      </c>
      <c r="BF5" s="16"/>
      <c r="BG5" s="17"/>
      <c r="BH5" s="19"/>
      <c r="BI5" s="19"/>
      <c r="BK5" s="15" t="s">
        <v>34</v>
      </c>
      <c r="BL5" s="16"/>
      <c r="BM5" s="17"/>
      <c r="BN5" s="19"/>
      <c r="BO5" s="19"/>
      <c r="BQ5" s="15" t="s">
        <v>12</v>
      </c>
      <c r="BR5" s="16"/>
      <c r="BS5" s="17"/>
      <c r="BT5" s="19"/>
      <c r="BU5" s="19"/>
      <c r="BW5" s="15" t="s">
        <v>13</v>
      </c>
      <c r="BX5" s="16"/>
      <c r="BY5" s="17"/>
      <c r="BZ5" s="19"/>
      <c r="CA5" s="19"/>
      <c r="CB5" s="35"/>
      <c r="CC5" s="15" t="s">
        <v>14</v>
      </c>
      <c r="CD5" s="16"/>
      <c r="CE5" s="17"/>
      <c r="CF5" s="19"/>
      <c r="CG5" s="19"/>
      <c r="CI5" s="15" t="s">
        <v>15</v>
      </c>
      <c r="CJ5" s="16"/>
      <c r="CK5" s="17"/>
      <c r="CL5" s="19"/>
      <c r="CM5" s="19"/>
      <c r="CO5" s="15" t="s">
        <v>35</v>
      </c>
      <c r="CP5" s="16"/>
      <c r="CQ5" s="17"/>
      <c r="CR5" s="19"/>
      <c r="CS5" s="19"/>
      <c r="CU5" s="15" t="s">
        <v>16</v>
      </c>
      <c r="CV5" s="16"/>
      <c r="CW5" s="17"/>
      <c r="CX5" s="19"/>
      <c r="CY5" s="19"/>
      <c r="DA5" s="15" t="s">
        <v>36</v>
      </c>
      <c r="DB5" s="16"/>
      <c r="DC5" s="17"/>
      <c r="DD5" s="19"/>
      <c r="DE5" s="19"/>
      <c r="DG5" s="15" t="s">
        <v>38</v>
      </c>
      <c r="DH5" s="16"/>
      <c r="DI5" s="17"/>
      <c r="DJ5" s="19"/>
      <c r="DK5" s="19"/>
      <c r="DM5" s="15" t="s">
        <v>39</v>
      </c>
      <c r="DN5" s="16"/>
      <c r="DO5" s="17"/>
      <c r="DP5" s="19"/>
      <c r="DQ5" s="19"/>
      <c r="DS5" s="15" t="s">
        <v>40</v>
      </c>
      <c r="DT5" s="16"/>
      <c r="DU5" s="17"/>
      <c r="DV5" s="19"/>
      <c r="DW5" s="19"/>
      <c r="DY5" s="15" t="s">
        <v>41</v>
      </c>
      <c r="DZ5" s="16"/>
      <c r="EA5" s="17"/>
      <c r="EB5" s="19"/>
      <c r="EC5" s="19"/>
      <c r="EE5" s="15" t="s">
        <v>42</v>
      </c>
      <c r="EF5" s="16"/>
      <c r="EG5" s="17"/>
      <c r="EH5" s="19"/>
      <c r="EI5" s="19"/>
      <c r="EK5" s="15" t="s">
        <v>43</v>
      </c>
      <c r="EL5" s="16"/>
      <c r="EM5" s="17"/>
      <c r="EN5" s="19"/>
      <c r="EO5" s="19"/>
      <c r="EQ5" s="15" t="s">
        <v>44</v>
      </c>
      <c r="ER5" s="16"/>
      <c r="ES5" s="17"/>
      <c r="ET5" s="19"/>
      <c r="EU5" s="19"/>
      <c r="EW5" s="15" t="s">
        <v>17</v>
      </c>
      <c r="EX5" s="16"/>
      <c r="EY5" s="17"/>
      <c r="EZ5" s="19"/>
      <c r="FA5" s="19"/>
      <c r="FC5" s="15" t="s">
        <v>45</v>
      </c>
      <c r="FD5" s="16"/>
      <c r="FE5" s="17"/>
      <c r="FF5" s="19"/>
      <c r="FG5" s="19"/>
      <c r="FI5" s="15" t="s">
        <v>46</v>
      </c>
      <c r="FJ5" s="16"/>
      <c r="FK5" s="17"/>
      <c r="FL5" s="19"/>
      <c r="FM5" s="19"/>
      <c r="FO5" s="15" t="s">
        <v>18</v>
      </c>
      <c r="FP5" s="16"/>
      <c r="FQ5" s="17"/>
      <c r="FR5" s="19"/>
      <c r="FS5" s="19"/>
      <c r="FU5" s="34" t="s">
        <v>47</v>
      </c>
      <c r="FV5" s="16"/>
      <c r="FW5" s="17"/>
      <c r="FX5" s="19"/>
      <c r="FY5" s="19"/>
    </row>
    <row r="6" spans="1:182" s="1" customFormat="1" ht="12.75">
      <c r="A6" s="24" t="s">
        <v>2</v>
      </c>
      <c r="C6" s="49" t="s">
        <v>66</v>
      </c>
      <c r="D6" s="44"/>
      <c r="E6" s="45"/>
      <c r="F6" s="19" t="s">
        <v>55</v>
      </c>
      <c r="G6" s="19" t="s">
        <v>55</v>
      </c>
      <c r="H6" s="13"/>
      <c r="I6" s="53"/>
      <c r="J6" s="37">
        <v>0.6798012</v>
      </c>
      <c r="K6" s="17"/>
      <c r="L6" s="54" t="s">
        <v>55</v>
      </c>
      <c r="M6" s="54" t="s">
        <v>55</v>
      </c>
      <c r="N6" s="13"/>
      <c r="O6" s="18"/>
      <c r="P6" s="31">
        <v>0.0796069</v>
      </c>
      <c r="Q6" s="17"/>
      <c r="R6" s="19" t="s">
        <v>55</v>
      </c>
      <c r="S6" s="19" t="s">
        <v>55</v>
      </c>
      <c r="T6" s="13"/>
      <c r="U6" s="18"/>
      <c r="V6" s="31">
        <v>0.0886163</v>
      </c>
      <c r="W6" s="17"/>
      <c r="X6" s="19" t="s">
        <v>55</v>
      </c>
      <c r="Y6" s="19" t="s">
        <v>55</v>
      </c>
      <c r="Z6" s="13"/>
      <c r="AA6" s="18"/>
      <c r="AB6" s="31">
        <v>0.0327229</v>
      </c>
      <c r="AC6" s="17"/>
      <c r="AD6" s="19" t="s">
        <v>55</v>
      </c>
      <c r="AE6" s="19" t="s">
        <v>55</v>
      </c>
      <c r="AF6" s="13"/>
      <c r="AG6" s="18"/>
      <c r="AH6" s="31">
        <v>0.0244463</v>
      </c>
      <c r="AI6" s="17"/>
      <c r="AJ6" s="19" t="s">
        <v>55</v>
      </c>
      <c r="AK6" s="19" t="s">
        <v>55</v>
      </c>
      <c r="AL6" s="39"/>
      <c r="AM6" s="18"/>
      <c r="AN6" s="31">
        <v>0.0024261</v>
      </c>
      <c r="AO6" s="17"/>
      <c r="AP6" s="19" t="s">
        <v>55</v>
      </c>
      <c r="AQ6" s="19" t="s">
        <v>55</v>
      </c>
      <c r="AR6" s="13"/>
      <c r="AS6" s="18"/>
      <c r="AT6" s="31">
        <v>0.0325486</v>
      </c>
      <c r="AU6" s="17"/>
      <c r="AV6" s="19" t="s">
        <v>55</v>
      </c>
      <c r="AW6" s="19" t="s">
        <v>55</v>
      </c>
      <c r="AX6" s="35"/>
      <c r="AY6" s="18"/>
      <c r="AZ6" s="31">
        <v>0.2378111</v>
      </c>
      <c r="BA6" s="17"/>
      <c r="BB6" s="19" t="s">
        <v>55</v>
      </c>
      <c r="BC6" s="19" t="s">
        <v>55</v>
      </c>
      <c r="BD6" s="13"/>
      <c r="BE6" s="18"/>
      <c r="BF6" s="31">
        <v>4E-06</v>
      </c>
      <c r="BG6" s="17"/>
      <c r="BH6" s="19" t="s">
        <v>55</v>
      </c>
      <c r="BI6" s="19" t="s">
        <v>55</v>
      </c>
      <c r="BJ6" s="13"/>
      <c r="BK6" s="18"/>
      <c r="BL6" s="31">
        <v>0.0013664</v>
      </c>
      <c r="BM6" s="17"/>
      <c r="BN6" s="19" t="s">
        <v>55</v>
      </c>
      <c r="BO6" s="19" t="s">
        <v>55</v>
      </c>
      <c r="BP6" s="13"/>
      <c r="BQ6" s="18"/>
      <c r="BR6" s="31">
        <v>0.0087875</v>
      </c>
      <c r="BS6" s="17"/>
      <c r="BT6" s="19" t="s">
        <v>55</v>
      </c>
      <c r="BU6" s="19" t="s">
        <v>55</v>
      </c>
      <c r="BV6" s="13"/>
      <c r="BW6" s="18"/>
      <c r="BX6" s="31">
        <v>0.0056757</v>
      </c>
      <c r="BY6" s="17"/>
      <c r="BZ6" s="19" t="s">
        <v>55</v>
      </c>
      <c r="CA6" s="19" t="s">
        <v>55</v>
      </c>
      <c r="CB6" s="35"/>
      <c r="CC6" s="18"/>
      <c r="CD6" s="31">
        <v>0.0218514</v>
      </c>
      <c r="CE6" s="17"/>
      <c r="CF6" s="19" t="s">
        <v>55</v>
      </c>
      <c r="CG6" s="19" t="s">
        <v>55</v>
      </c>
      <c r="CH6" s="13"/>
      <c r="CI6" s="18"/>
      <c r="CJ6" s="31">
        <v>0.0013916</v>
      </c>
      <c r="CK6" s="17"/>
      <c r="CL6" s="19" t="s">
        <v>55</v>
      </c>
      <c r="CM6" s="19" t="s">
        <v>55</v>
      </c>
      <c r="CN6" s="13"/>
      <c r="CO6" s="18"/>
      <c r="CP6" s="31">
        <v>0.0037665</v>
      </c>
      <c r="CQ6" s="17"/>
      <c r="CR6" s="19" t="s">
        <v>55</v>
      </c>
      <c r="CS6" s="19" t="s">
        <v>55</v>
      </c>
      <c r="CT6" s="13"/>
      <c r="CU6" s="18"/>
      <c r="CV6" s="31">
        <v>0.0158627</v>
      </c>
      <c r="CW6" s="17"/>
      <c r="CX6" s="19" t="s">
        <v>55</v>
      </c>
      <c r="CY6" s="19" t="s">
        <v>55</v>
      </c>
      <c r="CZ6" s="13"/>
      <c r="DA6" s="18"/>
      <c r="DB6" s="31">
        <v>0.0007178</v>
      </c>
      <c r="DC6" s="17"/>
      <c r="DD6" s="19" t="s">
        <v>55</v>
      </c>
      <c r="DE6" s="19" t="s">
        <v>55</v>
      </c>
      <c r="DF6" s="13"/>
      <c r="DG6" s="18"/>
      <c r="DH6" s="31">
        <v>0.0101431</v>
      </c>
      <c r="DI6" s="17"/>
      <c r="DJ6" s="19" t="s">
        <v>55</v>
      </c>
      <c r="DK6" s="19" t="s">
        <v>55</v>
      </c>
      <c r="DL6" s="13"/>
      <c r="DM6" s="18"/>
      <c r="DN6" s="31">
        <v>0.0048536</v>
      </c>
      <c r="DO6" s="17"/>
      <c r="DP6" s="19" t="s">
        <v>55</v>
      </c>
      <c r="DQ6" s="19" t="s">
        <v>55</v>
      </c>
      <c r="DR6" s="13"/>
      <c r="DS6" s="18"/>
      <c r="DT6" s="31">
        <v>0.0080603</v>
      </c>
      <c r="DU6" s="17"/>
      <c r="DV6" s="19" t="s">
        <v>55</v>
      </c>
      <c r="DW6" s="19" t="s">
        <v>55</v>
      </c>
      <c r="DX6" s="13"/>
      <c r="DY6" s="18"/>
      <c r="DZ6" s="31">
        <v>0.0245163</v>
      </c>
      <c r="EA6" s="17"/>
      <c r="EB6" s="19" t="s">
        <v>55</v>
      </c>
      <c r="EC6" s="19" t="s">
        <v>55</v>
      </c>
      <c r="ED6" s="13"/>
      <c r="EE6" s="18"/>
      <c r="EF6" s="31">
        <v>0.0025443</v>
      </c>
      <c r="EG6" s="17"/>
      <c r="EH6" s="19" t="s">
        <v>55</v>
      </c>
      <c r="EI6" s="19" t="s">
        <v>55</v>
      </c>
      <c r="EJ6" s="13"/>
      <c r="EK6" s="18"/>
      <c r="EL6" s="31">
        <v>0.0012856</v>
      </c>
      <c r="EM6" s="17"/>
      <c r="EN6" s="19" t="s">
        <v>55</v>
      </c>
      <c r="EO6" s="19" t="s">
        <v>55</v>
      </c>
      <c r="EP6" s="13"/>
      <c r="EQ6" s="18"/>
      <c r="ER6" s="31">
        <v>0.0003415</v>
      </c>
      <c r="ES6" s="17"/>
      <c r="ET6" s="19" t="s">
        <v>55</v>
      </c>
      <c r="EU6" s="19" t="s">
        <v>55</v>
      </c>
      <c r="EV6" s="13"/>
      <c r="EW6" s="18"/>
      <c r="EX6" s="31">
        <v>0.0111619</v>
      </c>
      <c r="EY6" s="17"/>
      <c r="EZ6" s="19" t="s">
        <v>55</v>
      </c>
      <c r="FA6" s="19" t="s">
        <v>55</v>
      </c>
      <c r="FB6" s="13"/>
      <c r="FC6" s="18"/>
      <c r="FD6" s="31">
        <v>0.0455599</v>
      </c>
      <c r="FE6" s="17"/>
      <c r="FF6" s="19" t="s">
        <v>55</v>
      </c>
      <c r="FG6" s="19" t="s">
        <v>55</v>
      </c>
      <c r="FH6" s="13"/>
      <c r="FI6" s="18"/>
      <c r="FJ6" s="31">
        <v>0.0007571</v>
      </c>
      <c r="FK6" s="17"/>
      <c r="FL6" s="19" t="s">
        <v>55</v>
      </c>
      <c r="FM6" s="19" t="s">
        <v>55</v>
      </c>
      <c r="FN6" s="13"/>
      <c r="FO6" s="18"/>
      <c r="FP6" s="31">
        <v>0.0091696</v>
      </c>
      <c r="FQ6" s="17"/>
      <c r="FR6" s="19" t="s">
        <v>55</v>
      </c>
      <c r="FS6" s="19" t="s">
        <v>55</v>
      </c>
      <c r="FT6" s="13"/>
      <c r="FU6" s="18"/>
      <c r="FV6" s="31">
        <v>0.0038062</v>
      </c>
      <c r="FW6" s="17"/>
      <c r="FX6" s="19" t="s">
        <v>55</v>
      </c>
      <c r="FY6" s="19" t="s">
        <v>55</v>
      </c>
      <c r="FZ6" s="13"/>
    </row>
    <row r="7" spans="1:181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54" t="s">
        <v>4</v>
      </c>
      <c r="K7" s="52" t="s">
        <v>0</v>
      </c>
      <c r="L7" s="54" t="s">
        <v>56</v>
      </c>
      <c r="M7" s="54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L7" s="39"/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X7" s="36"/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B7" s="36"/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  <c r="FU7" s="19" t="s">
        <v>3</v>
      </c>
      <c r="FV7" s="19" t="s">
        <v>4</v>
      </c>
      <c r="FW7" s="19" t="s">
        <v>0</v>
      </c>
      <c r="FX7" s="19" t="s">
        <v>56</v>
      </c>
      <c r="FY7" s="48" t="s">
        <v>62</v>
      </c>
    </row>
    <row r="8" spans="1:182" s="30" customFormat="1" ht="12.75">
      <c r="A8" s="29">
        <v>43739</v>
      </c>
      <c r="C8" s="14">
        <f>'2011B'!C8</f>
        <v>0</v>
      </c>
      <c r="D8" s="14">
        <f>'2011B'!D8</f>
        <v>49263</v>
      </c>
      <c r="E8" s="14">
        <f aca="true" t="shared" si="0" ref="E8:E17">C8+D8</f>
        <v>49263</v>
      </c>
      <c r="F8" s="14">
        <f>'2011B'!F8</f>
        <v>25501</v>
      </c>
      <c r="G8" s="14">
        <f>'2011B'!G8</f>
        <v>37787</v>
      </c>
      <c r="H8" s="28"/>
      <c r="I8" s="13">
        <f aca="true" t="shared" si="1" ref="I8:I17">O8+U8+AA8+AG8+AM8+AS8+AY8+BE8+BK8+BQ8+BW8+CC8+CI8+CO8+CU8+DA8+DG8+DM8+DS8+DY8+EE8+EK8+EQ8+EW8+FC8+FI8+FO8+FU8</f>
        <v>0</v>
      </c>
      <c r="J8" s="13">
        <f aca="true" t="shared" si="2" ref="J8:J17">P8+V8+AB8+AH8+AN8+AT8+AZ8+BF8+BL8+BR8+BX8+CD8+CJ8+CP8+CV8+DB8+DH8+DN8+DT8+DZ8+EF8+EL8+ER8+EX8+FD8+FJ8+FP8+FV8</f>
        <v>33489.04651560001</v>
      </c>
      <c r="K8" s="13">
        <f aca="true" t="shared" si="3" ref="K8:K17">SUM(I8:J8)</f>
        <v>33489.04651560001</v>
      </c>
      <c r="L8" s="13">
        <f aca="true" t="shared" si="4" ref="L8:L17">R8+X8+AD8+AJ8+AP8+AV8+BB8+BH8+BN8+BT8+BZ8+CF8+CL8+CR8+CX8+DD8+DJ8+DP8+DV8+EB8+EH8+EN8+ET8+EZ8+FF8+FL8+FR8+FX8</f>
        <v>17335.610401200003</v>
      </c>
      <c r="M8" s="13">
        <f aca="true" t="shared" si="5" ref="M8:M17">S8+Y8+AE8+AK8+AQ8+AW8+BC8+BI8+BO8+BU8+CA8+CG8+CM8+CS8+CY8+DE8+DK8+DQ8+DW8+EC8+EI8+EO8+EU8+FA8+FG8+FM8+FS8+FY8</f>
        <v>25687.647944400003</v>
      </c>
      <c r="N8" s="28"/>
      <c r="O8" s="13"/>
      <c r="P8" s="13">
        <f aca="true" t="shared" si="6" ref="P8:P17">D8*7.96069/100</f>
        <v>3921.6747147</v>
      </c>
      <c r="Q8" s="28">
        <f aca="true" t="shared" si="7" ref="Q8:Q17">O8+P8</f>
        <v>3921.6747147</v>
      </c>
      <c r="R8" s="28">
        <f aca="true" t="shared" si="8" ref="R8:R17">P$6*$F8</f>
        <v>2030.0555568999998</v>
      </c>
      <c r="S8" s="28">
        <f aca="true" t="shared" si="9" ref="S8:S17">P$6*$G8</f>
        <v>3008.1059302999997</v>
      </c>
      <c r="T8" s="28"/>
      <c r="U8" s="13"/>
      <c r="V8" s="13">
        <f aca="true" t="shared" si="10" ref="V8:V17">D8*8.86163/100</f>
        <v>4365.5047869</v>
      </c>
      <c r="W8" s="13">
        <f aca="true" t="shared" si="11" ref="W8:W17">U8+V8</f>
        <v>4365.5047869</v>
      </c>
      <c r="X8" s="28">
        <f aca="true" t="shared" si="12" ref="X8:X17">V$6*$F8</f>
        <v>2259.8042662999997</v>
      </c>
      <c r="Y8" s="28">
        <f aca="true" t="shared" si="13" ref="Y8:Y17">V$6*$G8</f>
        <v>3348.5441281</v>
      </c>
      <c r="Z8" s="28"/>
      <c r="AA8" s="28"/>
      <c r="AB8" s="13">
        <f aca="true" t="shared" si="14" ref="AB8:AB17">D8*3.27229/100</f>
        <v>1612.0282227</v>
      </c>
      <c r="AC8" s="13">
        <f aca="true" t="shared" si="15" ref="AC8:AC17">AA8+AB8</f>
        <v>1612.0282227</v>
      </c>
      <c r="AD8" s="28">
        <f aca="true" t="shared" si="16" ref="AD8:AD17">AB$6*$F8</f>
        <v>834.4666728999999</v>
      </c>
      <c r="AE8" s="28">
        <f aca="true" t="shared" si="17" ref="AE8:AE17">AB$6*$G8</f>
        <v>1236.5002223</v>
      </c>
      <c r="AF8" s="28"/>
      <c r="AG8" s="13"/>
      <c r="AH8" s="13">
        <f aca="true" t="shared" si="18" ref="AH8:AH17">D8*2.44463/100</f>
        <v>1204.2980769</v>
      </c>
      <c r="AI8" s="13">
        <f aca="true" t="shared" si="19" ref="AI8:AI17">AG8+AH8</f>
        <v>1204.2980769</v>
      </c>
      <c r="AJ8" s="28">
        <f aca="true" t="shared" si="20" ref="AJ8:AJ17">AH$6*$F8</f>
        <v>623.4050963</v>
      </c>
      <c r="AK8" s="28">
        <f aca="true" t="shared" si="21" ref="AK8:AK17">AH$6*$G8</f>
        <v>923.7523381</v>
      </c>
      <c r="AL8" s="13"/>
      <c r="AM8" s="13"/>
      <c r="AN8" s="13">
        <f aca="true" t="shared" si="22" ref="AN8:AN17">AN$6*$D8</f>
        <v>119.5169643</v>
      </c>
      <c r="AO8" s="13">
        <f aca="true" t="shared" si="23" ref="AO8:AO17">SUM(AM8:AN8)</f>
        <v>119.5169643</v>
      </c>
      <c r="AP8" s="28">
        <f aca="true" t="shared" si="24" ref="AP8:AP17">AN$6*$F8</f>
        <v>61.8679761</v>
      </c>
      <c r="AQ8" s="28">
        <f aca="true" t="shared" si="25" ref="AQ8:AQ17">AN$6*$G8</f>
        <v>91.6750407</v>
      </c>
      <c r="AR8" s="28"/>
      <c r="AS8" s="13"/>
      <c r="AT8" s="13">
        <f aca="true" t="shared" si="26" ref="AT8:AT17">D8*3.25486/100</f>
        <v>1603.4416818</v>
      </c>
      <c r="AU8" s="13">
        <f aca="true" t="shared" si="27" ref="AU8:AU17">AS8+AT8</f>
        <v>1603.4416818</v>
      </c>
      <c r="AV8" s="28">
        <f aca="true" t="shared" si="28" ref="AV8:AV17">AT$6*$F8</f>
        <v>830.0218485999999</v>
      </c>
      <c r="AW8" s="28">
        <f aca="true" t="shared" si="29" ref="AW8:AW17">AT$6*$G8</f>
        <v>1229.9139481999998</v>
      </c>
      <c r="AX8" s="13"/>
      <c r="AY8" s="13"/>
      <c r="AZ8" s="13">
        <f aca="true" t="shared" si="30" ref="AZ8:AZ17">D8*23.78111/100</f>
        <v>11715.2882193</v>
      </c>
      <c r="BA8" s="13">
        <f aca="true" t="shared" si="31" ref="BA8:BA17">AY8+AZ8</f>
        <v>11715.2882193</v>
      </c>
      <c r="BB8" s="28">
        <f aca="true" t="shared" si="32" ref="BB8:BB17">AZ$6*$F8</f>
        <v>6064.4208611</v>
      </c>
      <c r="BC8" s="28">
        <f aca="true" t="shared" si="33" ref="BC8:BC17">AZ$6*$G8</f>
        <v>8986.1680357</v>
      </c>
      <c r="BD8" s="28"/>
      <c r="BE8" s="13"/>
      <c r="BF8" s="13">
        <f aca="true" t="shared" si="34" ref="BF8:BF17">D8*0.0004/100</f>
        <v>0.197052</v>
      </c>
      <c r="BG8" s="13">
        <f aca="true" t="shared" si="35" ref="BG8:BG17">BE8+BF8</f>
        <v>0.197052</v>
      </c>
      <c r="BH8" s="28">
        <f aca="true" t="shared" si="36" ref="BH8:BH15">BF$6*$F8</f>
        <v>0.102004</v>
      </c>
      <c r="BI8" s="28">
        <f aca="true" t="shared" si="37" ref="BI8:BI15">BF$6*$G8</f>
        <v>0.151148</v>
      </c>
      <c r="BJ8" s="28"/>
      <c r="BK8" s="13"/>
      <c r="BL8" s="13">
        <f aca="true" t="shared" si="38" ref="BL8:BL17">D8*0.13664/100</f>
        <v>67.3129632</v>
      </c>
      <c r="BM8" s="13">
        <f aca="true" t="shared" si="39" ref="BM8:BM17">BK8+BL8</f>
        <v>67.3129632</v>
      </c>
      <c r="BN8" s="28">
        <f aca="true" t="shared" si="40" ref="BN8:BN17">BL$6*$F8</f>
        <v>34.8445664</v>
      </c>
      <c r="BO8" s="28">
        <f aca="true" t="shared" si="41" ref="BO8:BO17">BL$6*$G8</f>
        <v>51.632156800000004</v>
      </c>
      <c r="BP8" s="28"/>
      <c r="BQ8" s="13"/>
      <c r="BR8" s="13">
        <f aca="true" t="shared" si="42" ref="BR8:BR17">D8*0.87875/100</f>
        <v>432.8986125</v>
      </c>
      <c r="BS8" s="13">
        <f aca="true" t="shared" si="43" ref="BS8:BS17">BQ8+BR8</f>
        <v>432.8986125</v>
      </c>
      <c r="BT8" s="28">
        <f aca="true" t="shared" si="44" ref="BT8:BT17">BR$6*$F8</f>
        <v>224.0900375</v>
      </c>
      <c r="BU8" s="28">
        <f aca="true" t="shared" si="45" ref="BU8:BU17">BR$6*$G8</f>
        <v>332.0532625</v>
      </c>
      <c r="BV8" s="28"/>
      <c r="BW8" s="13"/>
      <c r="BX8" s="13">
        <f aca="true" t="shared" si="46" ref="BX8:BX17">D8*0.56757/100</f>
        <v>279.6020091</v>
      </c>
      <c r="BY8" s="13">
        <f aca="true" t="shared" si="47" ref="BY8:BY17">BW8+BX8</f>
        <v>279.6020091</v>
      </c>
      <c r="BZ8" s="28">
        <f aca="true" t="shared" si="48" ref="BZ8:BZ17">BX$6*$F8</f>
        <v>144.7360257</v>
      </c>
      <c r="CA8" s="28">
        <f aca="true" t="shared" si="49" ref="CA8:CA17">BX$6*$G8</f>
        <v>214.4676759</v>
      </c>
      <c r="CB8" s="13"/>
      <c r="CC8" s="13"/>
      <c r="CD8" s="13">
        <f aca="true" t="shared" si="50" ref="CD8:CD17">D8*2.18514/100</f>
        <v>1076.4655182000001</v>
      </c>
      <c r="CE8" s="13">
        <f aca="true" t="shared" si="51" ref="CE8:CE17">CC8+CD8</f>
        <v>1076.4655182000001</v>
      </c>
      <c r="CF8" s="28">
        <f aca="true" t="shared" si="52" ref="CF8:CF17">CD$6*$F8</f>
        <v>557.2325514</v>
      </c>
      <c r="CG8" s="28">
        <f aca="true" t="shared" si="53" ref="CG8:CG17">CD$6*$G8</f>
        <v>825.6988517999999</v>
      </c>
      <c r="CH8" s="28"/>
      <c r="CI8" s="13"/>
      <c r="CJ8" s="13">
        <f aca="true" t="shared" si="54" ref="CJ8:CJ17">D8*0.13916/100</f>
        <v>68.55439080000001</v>
      </c>
      <c r="CK8" s="13">
        <f aca="true" t="shared" si="55" ref="CK8:CK17">CI8+CJ8</f>
        <v>68.55439080000001</v>
      </c>
      <c r="CL8" s="28">
        <f aca="true" t="shared" si="56" ref="CL8:CL17">CJ$6*$F8</f>
        <v>35.4871916</v>
      </c>
      <c r="CM8" s="28">
        <f aca="true" t="shared" si="57" ref="CM8:CM17">CJ$6*$G8</f>
        <v>52.5843892</v>
      </c>
      <c r="CN8" s="28"/>
      <c r="CO8" s="13"/>
      <c r="CP8" s="13">
        <f aca="true" t="shared" si="58" ref="CP8:CP17">D8*0.37665/100</f>
        <v>185.5490895</v>
      </c>
      <c r="CQ8" s="13">
        <f aca="true" t="shared" si="59" ref="CQ8:CQ17">CO8+CP8</f>
        <v>185.5490895</v>
      </c>
      <c r="CR8" s="28">
        <f aca="true" t="shared" si="60" ref="CR8:CR17">CP$6*$F8</f>
        <v>96.0495165</v>
      </c>
      <c r="CS8" s="28">
        <f aca="true" t="shared" si="61" ref="CS8:CS17">CP$6*$G8</f>
        <v>142.3247355</v>
      </c>
      <c r="CT8" s="28"/>
      <c r="CU8" s="13"/>
      <c r="CV8" s="13">
        <f aca="true" t="shared" si="62" ref="CV8:CV17">D8*1.58627/100</f>
        <v>781.4441901</v>
      </c>
      <c r="CW8" s="13">
        <f aca="true" t="shared" si="63" ref="CW8:CW17">CU8+CV8</f>
        <v>781.4441901</v>
      </c>
      <c r="CX8" s="28">
        <f aca="true" t="shared" si="64" ref="CX8:CX17">CV$6*$F8</f>
        <v>404.5147127</v>
      </c>
      <c r="CY8" s="28">
        <f aca="true" t="shared" si="65" ref="CY8:CY17">CV$6*$G8</f>
        <v>599.4038449</v>
      </c>
      <c r="CZ8" s="28"/>
      <c r="DA8" s="13"/>
      <c r="DB8" s="13">
        <f aca="true" t="shared" si="66" ref="DB8:DB17">D8*0.07178/100</f>
        <v>35.3609814</v>
      </c>
      <c r="DC8" s="13">
        <f aca="true" t="shared" si="67" ref="DC8:DC17">DA8+DB8</f>
        <v>35.3609814</v>
      </c>
      <c r="DD8" s="28">
        <f aca="true" t="shared" si="68" ref="DD8:DD17">DB$6*$F8</f>
        <v>18.3046178</v>
      </c>
      <c r="DE8" s="28">
        <f aca="true" t="shared" si="69" ref="DE8:DE17">DB$6*$G8</f>
        <v>27.1235086</v>
      </c>
      <c r="DF8" s="28"/>
      <c r="DG8" s="13"/>
      <c r="DH8" s="13">
        <f aca="true" t="shared" si="70" ref="DH8:DH17">D8*1.01431/100</f>
        <v>499.6795353</v>
      </c>
      <c r="DI8" s="13">
        <f aca="true" t="shared" si="71" ref="DI8:DI17">DG8+DH8</f>
        <v>499.6795353</v>
      </c>
      <c r="DJ8" s="28">
        <f aca="true" t="shared" si="72" ref="DJ8:DJ17">DH$6*$F8</f>
        <v>258.6591931</v>
      </c>
      <c r="DK8" s="28">
        <f aca="true" t="shared" si="73" ref="DK8:DK17">DH$6*$G8</f>
        <v>383.2773197</v>
      </c>
      <c r="DL8" s="28"/>
      <c r="DM8" s="13"/>
      <c r="DN8" s="28">
        <f aca="true" t="shared" si="74" ref="DN8:DN17">D8*0.48536/100</f>
        <v>239.10289680000002</v>
      </c>
      <c r="DO8" s="13">
        <f aca="true" t="shared" si="75" ref="DO8:DO17">DM8+DN8</f>
        <v>239.10289680000002</v>
      </c>
      <c r="DP8" s="28">
        <f aca="true" t="shared" si="76" ref="DP8:DP17">DN$6*$F8</f>
        <v>123.7716536</v>
      </c>
      <c r="DQ8" s="28">
        <f aca="true" t="shared" si="77" ref="DQ8:DQ17">DN$6*$G8</f>
        <v>183.4029832</v>
      </c>
      <c r="DR8" s="28"/>
      <c r="DS8" s="13"/>
      <c r="DT8" s="13">
        <f aca="true" t="shared" si="78" ref="DT8:DT17">D8*0.80603/100</f>
        <v>397.07455890000006</v>
      </c>
      <c r="DU8" s="13">
        <f aca="true" t="shared" si="79" ref="DU8:DU17">DS8+DT8</f>
        <v>397.07455890000006</v>
      </c>
      <c r="DV8" s="28">
        <f aca="true" t="shared" si="80" ref="DV8:DV17">DT$6*$F8</f>
        <v>205.5457103</v>
      </c>
      <c r="DW8" s="28">
        <f aca="true" t="shared" si="81" ref="DW8:DW17">DT$6*$G8</f>
        <v>304.5745561</v>
      </c>
      <c r="DX8" s="28"/>
      <c r="DY8" s="13"/>
      <c r="DZ8" s="13">
        <f aca="true" t="shared" si="82" ref="DZ8:DZ17">D8*2.45163/100</f>
        <v>1207.7464869000003</v>
      </c>
      <c r="EA8" s="13">
        <f aca="true" t="shared" si="83" ref="EA8:EA17">DY8+DZ8</f>
        <v>1207.7464869000003</v>
      </c>
      <c r="EB8" s="28">
        <f aca="true" t="shared" si="84" ref="EB8:EB17">DZ$6*$F8</f>
        <v>625.1901663</v>
      </c>
      <c r="EC8" s="28">
        <f aca="true" t="shared" si="85" ref="EC8:EC17">DZ$6*$G8</f>
        <v>926.3974281000001</v>
      </c>
      <c r="ED8" s="28"/>
      <c r="EE8" s="13"/>
      <c r="EF8" s="13">
        <f aca="true" t="shared" si="86" ref="EF8:EF17">D8*0.25443/100</f>
        <v>125.3398509</v>
      </c>
      <c r="EG8" s="13">
        <f aca="true" t="shared" si="87" ref="EG8:EG17">EE8+EF8</f>
        <v>125.3398509</v>
      </c>
      <c r="EH8" s="28">
        <f aca="true" t="shared" si="88" ref="EH8:EH17">EF$6*$F8</f>
        <v>64.88219430000001</v>
      </c>
      <c r="EI8" s="28">
        <f aca="true" t="shared" si="89" ref="EI8:EI17">EF$6*$G8</f>
        <v>96.14146410000001</v>
      </c>
      <c r="EJ8" s="28"/>
      <c r="EK8" s="13"/>
      <c r="EL8" s="13">
        <f aca="true" t="shared" si="90" ref="EL8:EL17">D8*0.12856/100</f>
        <v>63.3325128</v>
      </c>
      <c r="EM8" s="13">
        <f aca="true" t="shared" si="91" ref="EM8:EM17">EK8+EL8</f>
        <v>63.3325128</v>
      </c>
      <c r="EN8" s="28">
        <f aca="true" t="shared" si="92" ref="EN8:EN17">EL$6*$F8</f>
        <v>32.7840856</v>
      </c>
      <c r="EO8" s="28">
        <f aca="true" t="shared" si="93" ref="EO8:EO17">EL$6*$G8</f>
        <v>48.5789672</v>
      </c>
      <c r="EP8" s="28"/>
      <c r="EQ8" s="13"/>
      <c r="ER8" s="13">
        <f aca="true" t="shared" si="94" ref="ER8:ER17">D8*0.03415/100</f>
        <v>16.8233145</v>
      </c>
      <c r="ES8" s="13">
        <f aca="true" t="shared" si="95" ref="ES8:ES17">EQ8+ER8</f>
        <v>16.8233145</v>
      </c>
      <c r="ET8" s="28">
        <f aca="true" t="shared" si="96" ref="ET8:ET17">ER$6*$F8</f>
        <v>8.7085915</v>
      </c>
      <c r="EU8" s="28">
        <f aca="true" t="shared" si="97" ref="EU8:EU17">ER$6*$G8</f>
        <v>12.9042605</v>
      </c>
      <c r="EV8" s="28"/>
      <c r="EW8" s="13"/>
      <c r="EX8" s="13">
        <f aca="true" t="shared" si="98" ref="EX8:EX17">D8*1.11619/100</f>
        <v>549.8686797</v>
      </c>
      <c r="EY8" s="13">
        <f aca="true" t="shared" si="99" ref="EY8:EY17">EW8+EX8</f>
        <v>549.8686797</v>
      </c>
      <c r="EZ8" s="28">
        <f aca="true" t="shared" si="100" ref="EZ8:EZ17">EX$6*$F8</f>
        <v>284.63961190000003</v>
      </c>
      <c r="FA8" s="28">
        <f aca="true" t="shared" si="101" ref="FA8:FA17">EX$6*$G8</f>
        <v>421.7747153</v>
      </c>
      <c r="FB8" s="28"/>
      <c r="FC8" s="13"/>
      <c r="FD8" s="13">
        <f aca="true" t="shared" si="102" ref="FD8:FD17">D8*4.55599/100</f>
        <v>2244.4173537</v>
      </c>
      <c r="FE8" s="13">
        <f aca="true" t="shared" si="103" ref="FE8:FE17">FC8+FD8</f>
        <v>2244.4173537</v>
      </c>
      <c r="FF8" s="28">
        <f aca="true" t="shared" si="104" ref="FF8:FF17">FD$6*$F8</f>
        <v>1161.8230099</v>
      </c>
      <c r="FG8" s="28">
        <f aca="true" t="shared" si="105" ref="FG8:FG17">FD$6*$G8</f>
        <v>1721.5719413</v>
      </c>
      <c r="FH8" s="28"/>
      <c r="FI8" s="13"/>
      <c r="FJ8" s="13">
        <f aca="true" t="shared" si="106" ref="FJ8:FJ17">D8*0.07571/100</f>
        <v>37.2970173</v>
      </c>
      <c r="FK8" s="13">
        <f aca="true" t="shared" si="107" ref="FK8:FK17">FI8+FJ8</f>
        <v>37.2970173</v>
      </c>
      <c r="FL8" s="28">
        <f aca="true" t="shared" si="108" ref="FL8:FL17">FJ$6*$F8</f>
        <v>19.3068071</v>
      </c>
      <c r="FM8" s="28">
        <f aca="true" t="shared" si="109" ref="FM8:FM17">FJ$6*$G8</f>
        <v>28.6085377</v>
      </c>
      <c r="FN8" s="28"/>
      <c r="FO8" s="13"/>
      <c r="FP8" s="13">
        <f aca="true" t="shared" si="110" ref="FP8:FP17">D8*0.91696/100</f>
        <v>451.7220048</v>
      </c>
      <c r="FQ8" s="13">
        <f aca="true" t="shared" si="111" ref="FQ8:FQ17">FO8+FP8</f>
        <v>451.7220048</v>
      </c>
      <c r="FR8" s="28">
        <f aca="true" t="shared" si="112" ref="FR8:FR17">FP$6*$F8</f>
        <v>233.8339696</v>
      </c>
      <c r="FS8" s="28">
        <f aca="true" t="shared" si="113" ref="FS8:FS17">FP$6*$G8</f>
        <v>346.4916752</v>
      </c>
      <c r="FT8" s="28"/>
      <c r="FU8" s="13"/>
      <c r="FV8" s="13">
        <f aca="true" t="shared" si="114" ref="FV8:FV17">D8*0.38062/100</f>
        <v>187.50483060000002</v>
      </c>
      <c r="FW8" s="13">
        <f aca="true" t="shared" si="115" ref="FW8:FW17">FU8+FV8</f>
        <v>187.50483060000002</v>
      </c>
      <c r="FX8" s="28">
        <f aca="true" t="shared" si="116" ref="FX8:FX17">FV$6*$F8</f>
        <v>97.0619062</v>
      </c>
      <c r="FY8" s="28">
        <f aca="true" t="shared" si="117" ref="FY8:FY17">FV$6*$G8</f>
        <v>143.82487940000001</v>
      </c>
      <c r="FZ8" s="28"/>
    </row>
    <row r="9" spans="1:182" s="30" customFormat="1" ht="12.75">
      <c r="A9" s="29">
        <v>43922</v>
      </c>
      <c r="C9" s="14">
        <f>'2011B'!C9</f>
        <v>0</v>
      </c>
      <c r="D9" s="14">
        <f>'2011B'!D9</f>
        <v>49263</v>
      </c>
      <c r="E9" s="14">
        <f t="shared" si="0"/>
        <v>49263</v>
      </c>
      <c r="F9" s="14">
        <f>'2011B'!F9</f>
        <v>25501</v>
      </c>
      <c r="G9" s="14">
        <f>'2011B'!G9</f>
        <v>37787</v>
      </c>
      <c r="H9" s="28"/>
      <c r="I9" s="13">
        <f t="shared" si="1"/>
        <v>0</v>
      </c>
      <c r="J9" s="13">
        <f t="shared" si="2"/>
        <v>33489.04651560001</v>
      </c>
      <c r="K9" s="13">
        <f t="shared" si="3"/>
        <v>33489.04651560001</v>
      </c>
      <c r="L9" s="13">
        <f t="shared" si="4"/>
        <v>17335.610401200003</v>
      </c>
      <c r="M9" s="13">
        <f t="shared" si="5"/>
        <v>25687.647944400003</v>
      </c>
      <c r="N9" s="28"/>
      <c r="O9" s="13">
        <f aca="true" t="shared" si="118" ref="O9:O17">C9*7.96069/100</f>
        <v>0</v>
      </c>
      <c r="P9" s="13">
        <f t="shared" si="6"/>
        <v>3921.6747147</v>
      </c>
      <c r="Q9" s="28">
        <f t="shared" si="7"/>
        <v>3921.6747147</v>
      </c>
      <c r="R9" s="28">
        <f t="shared" si="8"/>
        <v>2030.0555568999998</v>
      </c>
      <c r="S9" s="28">
        <f t="shared" si="9"/>
        <v>3008.1059302999997</v>
      </c>
      <c r="T9" s="28"/>
      <c r="U9" s="13">
        <f aca="true" t="shared" si="119" ref="U9:U17">C9*8.86163/100</f>
        <v>0</v>
      </c>
      <c r="V9" s="13">
        <f t="shared" si="10"/>
        <v>4365.5047869</v>
      </c>
      <c r="W9" s="13">
        <f t="shared" si="11"/>
        <v>4365.5047869</v>
      </c>
      <c r="X9" s="28">
        <f t="shared" si="12"/>
        <v>2259.8042662999997</v>
      </c>
      <c r="Y9" s="28">
        <f t="shared" si="13"/>
        <v>3348.5441281</v>
      </c>
      <c r="Z9" s="28"/>
      <c r="AA9" s="28">
        <f aca="true" t="shared" si="120" ref="AA9:AA17">C9*3.27229/100</f>
        <v>0</v>
      </c>
      <c r="AB9" s="13">
        <f t="shared" si="14"/>
        <v>1612.0282227</v>
      </c>
      <c r="AC9" s="13">
        <f t="shared" si="15"/>
        <v>1612.0282227</v>
      </c>
      <c r="AD9" s="28">
        <f t="shared" si="16"/>
        <v>834.4666728999999</v>
      </c>
      <c r="AE9" s="28">
        <f t="shared" si="17"/>
        <v>1236.5002223</v>
      </c>
      <c r="AF9" s="28"/>
      <c r="AG9" s="13">
        <f aca="true" t="shared" si="121" ref="AG9:AG17">C9*2.44463/100</f>
        <v>0</v>
      </c>
      <c r="AH9" s="13">
        <f t="shared" si="18"/>
        <v>1204.2980769</v>
      </c>
      <c r="AI9" s="13">
        <f t="shared" si="19"/>
        <v>1204.2980769</v>
      </c>
      <c r="AJ9" s="28">
        <f t="shared" si="20"/>
        <v>623.4050963</v>
      </c>
      <c r="AK9" s="28">
        <f t="shared" si="21"/>
        <v>923.7523381</v>
      </c>
      <c r="AL9" s="13"/>
      <c r="AM9" s="13">
        <f aca="true" t="shared" si="122" ref="AM9:AM17">AN$6*$C9</f>
        <v>0</v>
      </c>
      <c r="AN9" s="13">
        <f t="shared" si="22"/>
        <v>119.5169643</v>
      </c>
      <c r="AO9" s="13">
        <f t="shared" si="23"/>
        <v>119.5169643</v>
      </c>
      <c r="AP9" s="28">
        <f t="shared" si="24"/>
        <v>61.8679761</v>
      </c>
      <c r="AQ9" s="28">
        <f t="shared" si="25"/>
        <v>91.6750407</v>
      </c>
      <c r="AR9" s="28"/>
      <c r="AS9" s="13">
        <f>C9*3.25486/100</f>
        <v>0</v>
      </c>
      <c r="AT9" s="13">
        <f t="shared" si="26"/>
        <v>1603.4416818</v>
      </c>
      <c r="AU9" s="13">
        <f t="shared" si="27"/>
        <v>1603.4416818</v>
      </c>
      <c r="AV9" s="28">
        <f t="shared" si="28"/>
        <v>830.0218485999999</v>
      </c>
      <c r="AW9" s="28">
        <f t="shared" si="29"/>
        <v>1229.9139481999998</v>
      </c>
      <c r="AX9" s="13"/>
      <c r="AY9" s="13">
        <f>C9*23.78111/100</f>
        <v>0</v>
      </c>
      <c r="AZ9" s="13">
        <f t="shared" si="30"/>
        <v>11715.2882193</v>
      </c>
      <c r="BA9" s="13">
        <f t="shared" si="31"/>
        <v>11715.2882193</v>
      </c>
      <c r="BB9" s="28">
        <f t="shared" si="32"/>
        <v>6064.4208611</v>
      </c>
      <c r="BC9" s="28">
        <f t="shared" si="33"/>
        <v>8986.1680357</v>
      </c>
      <c r="BD9" s="28"/>
      <c r="BE9" s="13">
        <f>C9*0.0004/100</f>
        <v>0</v>
      </c>
      <c r="BF9" s="13">
        <f t="shared" si="34"/>
        <v>0.197052</v>
      </c>
      <c r="BG9" s="13">
        <f t="shared" si="35"/>
        <v>0.197052</v>
      </c>
      <c r="BH9" s="28">
        <f t="shared" si="36"/>
        <v>0.102004</v>
      </c>
      <c r="BI9" s="28">
        <f t="shared" si="37"/>
        <v>0.151148</v>
      </c>
      <c r="BJ9" s="28"/>
      <c r="BK9" s="13">
        <f>C9*0.13664/100</f>
        <v>0</v>
      </c>
      <c r="BL9" s="13">
        <f t="shared" si="38"/>
        <v>67.3129632</v>
      </c>
      <c r="BM9" s="13">
        <f t="shared" si="39"/>
        <v>67.3129632</v>
      </c>
      <c r="BN9" s="28">
        <f t="shared" si="40"/>
        <v>34.8445664</v>
      </c>
      <c r="BO9" s="28">
        <f t="shared" si="41"/>
        <v>51.632156800000004</v>
      </c>
      <c r="BP9" s="28"/>
      <c r="BQ9" s="13">
        <f>C9*0.87875/100</f>
        <v>0</v>
      </c>
      <c r="BR9" s="13">
        <f t="shared" si="42"/>
        <v>432.8986125</v>
      </c>
      <c r="BS9" s="13">
        <f t="shared" si="43"/>
        <v>432.8986125</v>
      </c>
      <c r="BT9" s="28">
        <f t="shared" si="44"/>
        <v>224.0900375</v>
      </c>
      <c r="BU9" s="28">
        <f t="shared" si="45"/>
        <v>332.0532625</v>
      </c>
      <c r="BV9" s="28"/>
      <c r="BW9" s="13">
        <f>C9*0.56757/100</f>
        <v>0</v>
      </c>
      <c r="BX9" s="13">
        <f t="shared" si="46"/>
        <v>279.6020091</v>
      </c>
      <c r="BY9" s="13">
        <f t="shared" si="47"/>
        <v>279.6020091</v>
      </c>
      <c r="BZ9" s="28">
        <f t="shared" si="48"/>
        <v>144.7360257</v>
      </c>
      <c r="CA9" s="28">
        <f t="shared" si="49"/>
        <v>214.4676759</v>
      </c>
      <c r="CB9" s="13"/>
      <c r="CC9" s="13">
        <f>C9*2.18514/100</f>
        <v>0</v>
      </c>
      <c r="CD9" s="13">
        <f t="shared" si="50"/>
        <v>1076.4655182000001</v>
      </c>
      <c r="CE9" s="13">
        <f t="shared" si="51"/>
        <v>1076.4655182000001</v>
      </c>
      <c r="CF9" s="28">
        <f t="shared" si="52"/>
        <v>557.2325514</v>
      </c>
      <c r="CG9" s="28">
        <f t="shared" si="53"/>
        <v>825.6988517999999</v>
      </c>
      <c r="CH9" s="28"/>
      <c r="CI9" s="13">
        <f>C9*0.13916/100</f>
        <v>0</v>
      </c>
      <c r="CJ9" s="13">
        <f t="shared" si="54"/>
        <v>68.55439080000001</v>
      </c>
      <c r="CK9" s="13">
        <f t="shared" si="55"/>
        <v>68.55439080000001</v>
      </c>
      <c r="CL9" s="28">
        <f t="shared" si="56"/>
        <v>35.4871916</v>
      </c>
      <c r="CM9" s="28">
        <f t="shared" si="57"/>
        <v>52.5843892</v>
      </c>
      <c r="CN9" s="28"/>
      <c r="CO9" s="13">
        <f>C9*0.37665/100</f>
        <v>0</v>
      </c>
      <c r="CP9" s="13">
        <f t="shared" si="58"/>
        <v>185.5490895</v>
      </c>
      <c r="CQ9" s="13">
        <f t="shared" si="59"/>
        <v>185.5490895</v>
      </c>
      <c r="CR9" s="28">
        <f t="shared" si="60"/>
        <v>96.0495165</v>
      </c>
      <c r="CS9" s="28">
        <f t="shared" si="61"/>
        <v>142.3247355</v>
      </c>
      <c r="CT9" s="28"/>
      <c r="CU9" s="13">
        <f>C9*1.58627/100</f>
        <v>0</v>
      </c>
      <c r="CV9" s="13">
        <f t="shared" si="62"/>
        <v>781.4441901</v>
      </c>
      <c r="CW9" s="13">
        <f t="shared" si="63"/>
        <v>781.4441901</v>
      </c>
      <c r="CX9" s="28">
        <f t="shared" si="64"/>
        <v>404.5147127</v>
      </c>
      <c r="CY9" s="28">
        <f t="shared" si="65"/>
        <v>599.4038449</v>
      </c>
      <c r="CZ9" s="28"/>
      <c r="DA9" s="13">
        <f>C9*0.07178/100</f>
        <v>0</v>
      </c>
      <c r="DB9" s="13">
        <f t="shared" si="66"/>
        <v>35.3609814</v>
      </c>
      <c r="DC9" s="13">
        <f t="shared" si="67"/>
        <v>35.3609814</v>
      </c>
      <c r="DD9" s="28">
        <f t="shared" si="68"/>
        <v>18.3046178</v>
      </c>
      <c r="DE9" s="28">
        <f t="shared" si="69"/>
        <v>27.1235086</v>
      </c>
      <c r="DF9" s="28"/>
      <c r="DG9" s="13">
        <f>C9*1.01431/100</f>
        <v>0</v>
      </c>
      <c r="DH9" s="13">
        <f t="shared" si="70"/>
        <v>499.6795353</v>
      </c>
      <c r="DI9" s="13">
        <f t="shared" si="71"/>
        <v>499.6795353</v>
      </c>
      <c r="DJ9" s="28">
        <f t="shared" si="72"/>
        <v>258.6591931</v>
      </c>
      <c r="DK9" s="28">
        <f t="shared" si="73"/>
        <v>383.2773197</v>
      </c>
      <c r="DL9" s="28"/>
      <c r="DM9" s="13">
        <f>C9*0.48536/100</f>
        <v>0</v>
      </c>
      <c r="DN9" s="28">
        <f t="shared" si="74"/>
        <v>239.10289680000002</v>
      </c>
      <c r="DO9" s="13">
        <f t="shared" si="75"/>
        <v>239.10289680000002</v>
      </c>
      <c r="DP9" s="28">
        <f t="shared" si="76"/>
        <v>123.7716536</v>
      </c>
      <c r="DQ9" s="28">
        <f t="shared" si="77"/>
        <v>183.4029832</v>
      </c>
      <c r="DR9" s="28"/>
      <c r="DS9" s="13">
        <f>C9*0.80603/100</f>
        <v>0</v>
      </c>
      <c r="DT9" s="13">
        <f t="shared" si="78"/>
        <v>397.07455890000006</v>
      </c>
      <c r="DU9" s="13">
        <f t="shared" si="79"/>
        <v>397.07455890000006</v>
      </c>
      <c r="DV9" s="28">
        <f t="shared" si="80"/>
        <v>205.5457103</v>
      </c>
      <c r="DW9" s="28">
        <f t="shared" si="81"/>
        <v>304.5745561</v>
      </c>
      <c r="DX9" s="28"/>
      <c r="DY9" s="13">
        <f>C9*2.45163/100</f>
        <v>0</v>
      </c>
      <c r="DZ9" s="13">
        <f t="shared" si="82"/>
        <v>1207.7464869000003</v>
      </c>
      <c r="EA9" s="13">
        <f t="shared" si="83"/>
        <v>1207.7464869000003</v>
      </c>
      <c r="EB9" s="28">
        <f t="shared" si="84"/>
        <v>625.1901663</v>
      </c>
      <c r="EC9" s="28">
        <f t="shared" si="85"/>
        <v>926.3974281000001</v>
      </c>
      <c r="ED9" s="28"/>
      <c r="EE9" s="13">
        <f>C9*0.25443/100</f>
        <v>0</v>
      </c>
      <c r="EF9" s="13">
        <f t="shared" si="86"/>
        <v>125.3398509</v>
      </c>
      <c r="EG9" s="13">
        <f t="shared" si="87"/>
        <v>125.3398509</v>
      </c>
      <c r="EH9" s="28">
        <f t="shared" si="88"/>
        <v>64.88219430000001</v>
      </c>
      <c r="EI9" s="28">
        <f t="shared" si="89"/>
        <v>96.14146410000001</v>
      </c>
      <c r="EJ9" s="28"/>
      <c r="EK9" s="13">
        <f>C9*0.12856/100</f>
        <v>0</v>
      </c>
      <c r="EL9" s="13">
        <f t="shared" si="90"/>
        <v>63.3325128</v>
      </c>
      <c r="EM9" s="13">
        <f t="shared" si="91"/>
        <v>63.3325128</v>
      </c>
      <c r="EN9" s="28">
        <f t="shared" si="92"/>
        <v>32.7840856</v>
      </c>
      <c r="EO9" s="28">
        <f t="shared" si="93"/>
        <v>48.5789672</v>
      </c>
      <c r="EP9" s="28"/>
      <c r="EQ9" s="13">
        <f>C9*0.03415/100</f>
        <v>0</v>
      </c>
      <c r="ER9" s="13">
        <f t="shared" si="94"/>
        <v>16.8233145</v>
      </c>
      <c r="ES9" s="13">
        <f t="shared" si="95"/>
        <v>16.8233145</v>
      </c>
      <c r="ET9" s="28">
        <f t="shared" si="96"/>
        <v>8.7085915</v>
      </c>
      <c r="EU9" s="28">
        <f t="shared" si="97"/>
        <v>12.9042605</v>
      </c>
      <c r="EV9" s="28"/>
      <c r="EW9" s="13">
        <f>C9*1.11619/100</f>
        <v>0</v>
      </c>
      <c r="EX9" s="13">
        <f t="shared" si="98"/>
        <v>549.8686797</v>
      </c>
      <c r="EY9" s="13">
        <f t="shared" si="99"/>
        <v>549.8686797</v>
      </c>
      <c r="EZ9" s="28">
        <f t="shared" si="100"/>
        <v>284.63961190000003</v>
      </c>
      <c r="FA9" s="28">
        <f t="shared" si="101"/>
        <v>421.7747153</v>
      </c>
      <c r="FB9" s="28"/>
      <c r="FC9" s="13">
        <f>C9*4.55599/100</f>
        <v>0</v>
      </c>
      <c r="FD9" s="13">
        <f t="shared" si="102"/>
        <v>2244.4173537</v>
      </c>
      <c r="FE9" s="13">
        <f t="shared" si="103"/>
        <v>2244.4173537</v>
      </c>
      <c r="FF9" s="28">
        <f t="shared" si="104"/>
        <v>1161.8230099</v>
      </c>
      <c r="FG9" s="28">
        <f t="shared" si="105"/>
        <v>1721.5719413</v>
      </c>
      <c r="FH9" s="28"/>
      <c r="FI9" s="13">
        <f>C9*0.07571/100</f>
        <v>0</v>
      </c>
      <c r="FJ9" s="13">
        <f t="shared" si="106"/>
        <v>37.2970173</v>
      </c>
      <c r="FK9" s="13">
        <f t="shared" si="107"/>
        <v>37.2970173</v>
      </c>
      <c r="FL9" s="28">
        <f t="shared" si="108"/>
        <v>19.3068071</v>
      </c>
      <c r="FM9" s="28">
        <f t="shared" si="109"/>
        <v>28.6085377</v>
      </c>
      <c r="FN9" s="28"/>
      <c r="FO9" s="13">
        <f>C9*0.91696/100</f>
        <v>0</v>
      </c>
      <c r="FP9" s="13">
        <f t="shared" si="110"/>
        <v>451.7220048</v>
      </c>
      <c r="FQ9" s="13">
        <f t="shared" si="111"/>
        <v>451.7220048</v>
      </c>
      <c r="FR9" s="28">
        <f t="shared" si="112"/>
        <v>233.8339696</v>
      </c>
      <c r="FS9" s="28">
        <f t="shared" si="113"/>
        <v>346.4916752</v>
      </c>
      <c r="FT9" s="28"/>
      <c r="FU9" s="13">
        <f>C9*0.38062/100</f>
        <v>0</v>
      </c>
      <c r="FV9" s="13">
        <f t="shared" si="114"/>
        <v>187.50483060000002</v>
      </c>
      <c r="FW9" s="13">
        <f t="shared" si="115"/>
        <v>187.50483060000002</v>
      </c>
      <c r="FX9" s="28">
        <f t="shared" si="116"/>
        <v>97.0619062</v>
      </c>
      <c r="FY9" s="28">
        <f t="shared" si="117"/>
        <v>143.82487940000001</v>
      </c>
      <c r="FZ9" s="28"/>
    </row>
    <row r="10" spans="1:182" s="30" customFormat="1" ht="12.75">
      <c r="A10" s="29">
        <v>44105</v>
      </c>
      <c r="C10" s="14">
        <f>'2011B'!C10</f>
        <v>0</v>
      </c>
      <c r="D10" s="14">
        <f>'2011B'!D10</f>
        <v>49263</v>
      </c>
      <c r="E10" s="14">
        <f t="shared" si="0"/>
        <v>49263</v>
      </c>
      <c r="F10" s="14">
        <f>'2011B'!F10</f>
        <v>25501</v>
      </c>
      <c r="G10" s="14">
        <f>'2011B'!G10</f>
        <v>37787</v>
      </c>
      <c r="H10" s="28"/>
      <c r="I10" s="13">
        <f t="shared" si="1"/>
        <v>0</v>
      </c>
      <c r="J10" s="13">
        <f t="shared" si="2"/>
        <v>33489.04651560001</v>
      </c>
      <c r="K10" s="13">
        <f t="shared" si="3"/>
        <v>33489.04651560001</v>
      </c>
      <c r="L10" s="13">
        <f t="shared" si="4"/>
        <v>17335.610401200003</v>
      </c>
      <c r="M10" s="13">
        <f t="shared" si="5"/>
        <v>25687.647944400003</v>
      </c>
      <c r="N10" s="28"/>
      <c r="O10" s="13"/>
      <c r="P10" s="13">
        <f t="shared" si="6"/>
        <v>3921.6747147</v>
      </c>
      <c r="Q10" s="28">
        <f t="shared" si="7"/>
        <v>3921.6747147</v>
      </c>
      <c r="R10" s="28">
        <f t="shared" si="8"/>
        <v>2030.0555568999998</v>
      </c>
      <c r="S10" s="28">
        <f t="shared" si="9"/>
        <v>3008.1059302999997</v>
      </c>
      <c r="T10" s="28"/>
      <c r="U10" s="13"/>
      <c r="V10" s="13">
        <f t="shared" si="10"/>
        <v>4365.5047869</v>
      </c>
      <c r="W10" s="13">
        <f t="shared" si="11"/>
        <v>4365.5047869</v>
      </c>
      <c r="X10" s="28">
        <f t="shared" si="12"/>
        <v>2259.8042662999997</v>
      </c>
      <c r="Y10" s="28">
        <f t="shared" si="13"/>
        <v>3348.5441281</v>
      </c>
      <c r="Z10" s="28"/>
      <c r="AA10" s="28"/>
      <c r="AB10" s="13">
        <f t="shared" si="14"/>
        <v>1612.0282227</v>
      </c>
      <c r="AC10" s="13">
        <f t="shared" si="15"/>
        <v>1612.0282227</v>
      </c>
      <c r="AD10" s="28">
        <f t="shared" si="16"/>
        <v>834.4666728999999</v>
      </c>
      <c r="AE10" s="28">
        <f t="shared" si="17"/>
        <v>1236.5002223</v>
      </c>
      <c r="AF10" s="28"/>
      <c r="AG10" s="13"/>
      <c r="AH10" s="13">
        <f t="shared" si="18"/>
        <v>1204.2980769</v>
      </c>
      <c r="AI10" s="13">
        <f t="shared" si="19"/>
        <v>1204.2980769</v>
      </c>
      <c r="AJ10" s="28">
        <f t="shared" si="20"/>
        <v>623.4050963</v>
      </c>
      <c r="AK10" s="28">
        <f t="shared" si="21"/>
        <v>923.7523381</v>
      </c>
      <c r="AL10" s="13"/>
      <c r="AM10" s="13"/>
      <c r="AN10" s="13">
        <f t="shared" si="22"/>
        <v>119.5169643</v>
      </c>
      <c r="AO10" s="13">
        <f t="shared" si="23"/>
        <v>119.5169643</v>
      </c>
      <c r="AP10" s="28">
        <f t="shared" si="24"/>
        <v>61.8679761</v>
      </c>
      <c r="AQ10" s="28">
        <f t="shared" si="25"/>
        <v>91.6750407</v>
      </c>
      <c r="AR10" s="28"/>
      <c r="AS10" s="13"/>
      <c r="AT10" s="13">
        <f t="shared" si="26"/>
        <v>1603.4416818</v>
      </c>
      <c r="AU10" s="13">
        <f t="shared" si="27"/>
        <v>1603.4416818</v>
      </c>
      <c r="AV10" s="28">
        <f t="shared" si="28"/>
        <v>830.0218485999999</v>
      </c>
      <c r="AW10" s="28">
        <f t="shared" si="29"/>
        <v>1229.9139481999998</v>
      </c>
      <c r="AX10" s="13"/>
      <c r="AY10" s="13"/>
      <c r="AZ10" s="13">
        <f t="shared" si="30"/>
        <v>11715.2882193</v>
      </c>
      <c r="BA10" s="13">
        <f t="shared" si="31"/>
        <v>11715.2882193</v>
      </c>
      <c r="BB10" s="28">
        <f t="shared" si="32"/>
        <v>6064.4208611</v>
      </c>
      <c r="BC10" s="28">
        <f t="shared" si="33"/>
        <v>8986.1680357</v>
      </c>
      <c r="BD10" s="28"/>
      <c r="BE10" s="13"/>
      <c r="BF10" s="13">
        <f t="shared" si="34"/>
        <v>0.197052</v>
      </c>
      <c r="BG10" s="13">
        <f t="shared" si="35"/>
        <v>0.197052</v>
      </c>
      <c r="BH10" s="28">
        <f t="shared" si="36"/>
        <v>0.102004</v>
      </c>
      <c r="BI10" s="28">
        <f t="shared" si="37"/>
        <v>0.151148</v>
      </c>
      <c r="BJ10" s="28"/>
      <c r="BK10" s="13"/>
      <c r="BL10" s="13">
        <f t="shared" si="38"/>
        <v>67.3129632</v>
      </c>
      <c r="BM10" s="13">
        <f t="shared" si="39"/>
        <v>67.3129632</v>
      </c>
      <c r="BN10" s="28">
        <f t="shared" si="40"/>
        <v>34.8445664</v>
      </c>
      <c r="BO10" s="28">
        <f t="shared" si="41"/>
        <v>51.632156800000004</v>
      </c>
      <c r="BP10" s="28"/>
      <c r="BQ10" s="13"/>
      <c r="BR10" s="13">
        <f t="shared" si="42"/>
        <v>432.8986125</v>
      </c>
      <c r="BS10" s="13">
        <f t="shared" si="43"/>
        <v>432.8986125</v>
      </c>
      <c r="BT10" s="28">
        <f t="shared" si="44"/>
        <v>224.0900375</v>
      </c>
      <c r="BU10" s="28">
        <f t="shared" si="45"/>
        <v>332.0532625</v>
      </c>
      <c r="BV10" s="28"/>
      <c r="BW10" s="13"/>
      <c r="BX10" s="13">
        <f t="shared" si="46"/>
        <v>279.6020091</v>
      </c>
      <c r="BY10" s="13">
        <f t="shared" si="47"/>
        <v>279.6020091</v>
      </c>
      <c r="BZ10" s="28">
        <f t="shared" si="48"/>
        <v>144.7360257</v>
      </c>
      <c r="CA10" s="28">
        <f t="shared" si="49"/>
        <v>214.4676759</v>
      </c>
      <c r="CB10" s="13"/>
      <c r="CC10" s="13"/>
      <c r="CD10" s="13">
        <f t="shared" si="50"/>
        <v>1076.4655182000001</v>
      </c>
      <c r="CE10" s="13">
        <f t="shared" si="51"/>
        <v>1076.4655182000001</v>
      </c>
      <c r="CF10" s="28">
        <f t="shared" si="52"/>
        <v>557.2325514</v>
      </c>
      <c r="CG10" s="28">
        <f t="shared" si="53"/>
        <v>825.6988517999999</v>
      </c>
      <c r="CH10" s="28"/>
      <c r="CI10" s="13"/>
      <c r="CJ10" s="13">
        <f t="shared" si="54"/>
        <v>68.55439080000001</v>
      </c>
      <c r="CK10" s="13">
        <f t="shared" si="55"/>
        <v>68.55439080000001</v>
      </c>
      <c r="CL10" s="28">
        <f t="shared" si="56"/>
        <v>35.4871916</v>
      </c>
      <c r="CM10" s="28">
        <f t="shared" si="57"/>
        <v>52.5843892</v>
      </c>
      <c r="CN10" s="28"/>
      <c r="CO10" s="13"/>
      <c r="CP10" s="13">
        <f t="shared" si="58"/>
        <v>185.5490895</v>
      </c>
      <c r="CQ10" s="13">
        <f t="shared" si="59"/>
        <v>185.5490895</v>
      </c>
      <c r="CR10" s="28">
        <f t="shared" si="60"/>
        <v>96.0495165</v>
      </c>
      <c r="CS10" s="28">
        <f t="shared" si="61"/>
        <v>142.3247355</v>
      </c>
      <c r="CT10" s="28"/>
      <c r="CU10" s="13"/>
      <c r="CV10" s="13">
        <f t="shared" si="62"/>
        <v>781.4441901</v>
      </c>
      <c r="CW10" s="13">
        <f t="shared" si="63"/>
        <v>781.4441901</v>
      </c>
      <c r="CX10" s="28">
        <f t="shared" si="64"/>
        <v>404.5147127</v>
      </c>
      <c r="CY10" s="28">
        <f t="shared" si="65"/>
        <v>599.4038449</v>
      </c>
      <c r="CZ10" s="28"/>
      <c r="DA10" s="13"/>
      <c r="DB10" s="13">
        <f t="shared" si="66"/>
        <v>35.3609814</v>
      </c>
      <c r="DC10" s="13">
        <f t="shared" si="67"/>
        <v>35.3609814</v>
      </c>
      <c r="DD10" s="28">
        <f t="shared" si="68"/>
        <v>18.3046178</v>
      </c>
      <c r="DE10" s="28">
        <f t="shared" si="69"/>
        <v>27.1235086</v>
      </c>
      <c r="DF10" s="28"/>
      <c r="DG10" s="13"/>
      <c r="DH10" s="13">
        <f t="shared" si="70"/>
        <v>499.6795353</v>
      </c>
      <c r="DI10" s="13">
        <f t="shared" si="71"/>
        <v>499.6795353</v>
      </c>
      <c r="DJ10" s="28">
        <f t="shared" si="72"/>
        <v>258.6591931</v>
      </c>
      <c r="DK10" s="28">
        <f t="shared" si="73"/>
        <v>383.2773197</v>
      </c>
      <c r="DL10" s="28"/>
      <c r="DM10" s="13"/>
      <c r="DN10" s="28">
        <f t="shared" si="74"/>
        <v>239.10289680000002</v>
      </c>
      <c r="DO10" s="13">
        <f t="shared" si="75"/>
        <v>239.10289680000002</v>
      </c>
      <c r="DP10" s="28">
        <f t="shared" si="76"/>
        <v>123.7716536</v>
      </c>
      <c r="DQ10" s="28">
        <f t="shared" si="77"/>
        <v>183.4029832</v>
      </c>
      <c r="DR10" s="28"/>
      <c r="DS10" s="13"/>
      <c r="DT10" s="13">
        <f t="shared" si="78"/>
        <v>397.07455890000006</v>
      </c>
      <c r="DU10" s="13">
        <f t="shared" si="79"/>
        <v>397.07455890000006</v>
      </c>
      <c r="DV10" s="28">
        <f t="shared" si="80"/>
        <v>205.5457103</v>
      </c>
      <c r="DW10" s="28">
        <f t="shared" si="81"/>
        <v>304.5745561</v>
      </c>
      <c r="DX10" s="28"/>
      <c r="DY10" s="13"/>
      <c r="DZ10" s="13">
        <f t="shared" si="82"/>
        <v>1207.7464869000003</v>
      </c>
      <c r="EA10" s="13">
        <f t="shared" si="83"/>
        <v>1207.7464869000003</v>
      </c>
      <c r="EB10" s="28">
        <f t="shared" si="84"/>
        <v>625.1901663</v>
      </c>
      <c r="EC10" s="28">
        <f t="shared" si="85"/>
        <v>926.3974281000001</v>
      </c>
      <c r="ED10" s="28"/>
      <c r="EE10" s="13"/>
      <c r="EF10" s="13">
        <f t="shared" si="86"/>
        <v>125.3398509</v>
      </c>
      <c r="EG10" s="13">
        <f t="shared" si="87"/>
        <v>125.3398509</v>
      </c>
      <c r="EH10" s="28">
        <f t="shared" si="88"/>
        <v>64.88219430000001</v>
      </c>
      <c r="EI10" s="28">
        <f t="shared" si="89"/>
        <v>96.14146410000001</v>
      </c>
      <c r="EJ10" s="28"/>
      <c r="EK10" s="13"/>
      <c r="EL10" s="13">
        <f t="shared" si="90"/>
        <v>63.3325128</v>
      </c>
      <c r="EM10" s="13">
        <f t="shared" si="91"/>
        <v>63.3325128</v>
      </c>
      <c r="EN10" s="28">
        <f t="shared" si="92"/>
        <v>32.7840856</v>
      </c>
      <c r="EO10" s="28">
        <f t="shared" si="93"/>
        <v>48.5789672</v>
      </c>
      <c r="EP10" s="28"/>
      <c r="EQ10" s="13"/>
      <c r="ER10" s="13">
        <f t="shared" si="94"/>
        <v>16.8233145</v>
      </c>
      <c r="ES10" s="13">
        <f t="shared" si="95"/>
        <v>16.8233145</v>
      </c>
      <c r="ET10" s="28">
        <f t="shared" si="96"/>
        <v>8.7085915</v>
      </c>
      <c r="EU10" s="28">
        <f t="shared" si="97"/>
        <v>12.9042605</v>
      </c>
      <c r="EV10" s="28"/>
      <c r="EW10" s="13"/>
      <c r="EX10" s="13">
        <f t="shared" si="98"/>
        <v>549.8686797</v>
      </c>
      <c r="EY10" s="13">
        <f t="shared" si="99"/>
        <v>549.8686797</v>
      </c>
      <c r="EZ10" s="28">
        <f t="shared" si="100"/>
        <v>284.63961190000003</v>
      </c>
      <c r="FA10" s="28">
        <f t="shared" si="101"/>
        <v>421.7747153</v>
      </c>
      <c r="FB10" s="28"/>
      <c r="FC10" s="13"/>
      <c r="FD10" s="13">
        <f t="shared" si="102"/>
        <v>2244.4173537</v>
      </c>
      <c r="FE10" s="13">
        <f t="shared" si="103"/>
        <v>2244.4173537</v>
      </c>
      <c r="FF10" s="28">
        <f t="shared" si="104"/>
        <v>1161.8230099</v>
      </c>
      <c r="FG10" s="28">
        <f t="shared" si="105"/>
        <v>1721.5719413</v>
      </c>
      <c r="FH10" s="28"/>
      <c r="FI10" s="13"/>
      <c r="FJ10" s="13">
        <f t="shared" si="106"/>
        <v>37.2970173</v>
      </c>
      <c r="FK10" s="13">
        <f t="shared" si="107"/>
        <v>37.2970173</v>
      </c>
      <c r="FL10" s="28">
        <f t="shared" si="108"/>
        <v>19.3068071</v>
      </c>
      <c r="FM10" s="28">
        <f t="shared" si="109"/>
        <v>28.6085377</v>
      </c>
      <c r="FN10" s="28"/>
      <c r="FO10" s="13"/>
      <c r="FP10" s="13">
        <f t="shared" si="110"/>
        <v>451.7220048</v>
      </c>
      <c r="FQ10" s="13">
        <f t="shared" si="111"/>
        <v>451.7220048</v>
      </c>
      <c r="FR10" s="28">
        <f t="shared" si="112"/>
        <v>233.8339696</v>
      </c>
      <c r="FS10" s="28">
        <f t="shared" si="113"/>
        <v>346.4916752</v>
      </c>
      <c r="FT10" s="28"/>
      <c r="FU10" s="13"/>
      <c r="FV10" s="13">
        <f t="shared" si="114"/>
        <v>187.50483060000002</v>
      </c>
      <c r="FW10" s="13">
        <f t="shared" si="115"/>
        <v>187.50483060000002</v>
      </c>
      <c r="FX10" s="28">
        <f t="shared" si="116"/>
        <v>97.0619062</v>
      </c>
      <c r="FY10" s="28">
        <f t="shared" si="117"/>
        <v>143.82487940000001</v>
      </c>
      <c r="FZ10" s="28"/>
    </row>
    <row r="11" spans="1:182" s="30" customFormat="1" ht="12.75">
      <c r="A11" s="29">
        <v>44287</v>
      </c>
      <c r="C11" s="14">
        <f>'2011B'!C11</f>
        <v>0</v>
      </c>
      <c r="D11" s="14">
        <f>'2011B'!D11</f>
        <v>49263</v>
      </c>
      <c r="E11" s="14">
        <f t="shared" si="0"/>
        <v>49263</v>
      </c>
      <c r="F11" s="14">
        <f>'2011B'!F11</f>
        <v>25501</v>
      </c>
      <c r="G11" s="14">
        <f>'2011B'!G11</f>
        <v>37787</v>
      </c>
      <c r="H11" s="28"/>
      <c r="I11" s="13">
        <f t="shared" si="1"/>
        <v>0</v>
      </c>
      <c r="J11" s="13">
        <f t="shared" si="2"/>
        <v>33489.04651560001</v>
      </c>
      <c r="K11" s="13">
        <f t="shared" si="3"/>
        <v>33489.04651560001</v>
      </c>
      <c r="L11" s="13">
        <f t="shared" si="4"/>
        <v>17335.610401200003</v>
      </c>
      <c r="M11" s="13">
        <f t="shared" si="5"/>
        <v>25687.647944400003</v>
      </c>
      <c r="N11" s="28"/>
      <c r="O11" s="13">
        <f t="shared" si="118"/>
        <v>0</v>
      </c>
      <c r="P11" s="13">
        <f t="shared" si="6"/>
        <v>3921.6747147</v>
      </c>
      <c r="Q11" s="28">
        <f t="shared" si="7"/>
        <v>3921.6747147</v>
      </c>
      <c r="R11" s="28">
        <f t="shared" si="8"/>
        <v>2030.0555568999998</v>
      </c>
      <c r="S11" s="28">
        <f t="shared" si="9"/>
        <v>3008.1059302999997</v>
      </c>
      <c r="T11" s="28"/>
      <c r="U11" s="13">
        <f t="shared" si="119"/>
        <v>0</v>
      </c>
      <c r="V11" s="13">
        <f t="shared" si="10"/>
        <v>4365.5047869</v>
      </c>
      <c r="W11" s="13">
        <f t="shared" si="11"/>
        <v>4365.5047869</v>
      </c>
      <c r="X11" s="28">
        <f t="shared" si="12"/>
        <v>2259.8042662999997</v>
      </c>
      <c r="Y11" s="28">
        <f t="shared" si="13"/>
        <v>3348.5441281</v>
      </c>
      <c r="Z11" s="28"/>
      <c r="AA11" s="28">
        <f t="shared" si="120"/>
        <v>0</v>
      </c>
      <c r="AB11" s="13">
        <f t="shared" si="14"/>
        <v>1612.0282227</v>
      </c>
      <c r="AC11" s="13">
        <f t="shared" si="15"/>
        <v>1612.0282227</v>
      </c>
      <c r="AD11" s="28">
        <f t="shared" si="16"/>
        <v>834.4666728999999</v>
      </c>
      <c r="AE11" s="28">
        <f t="shared" si="17"/>
        <v>1236.5002223</v>
      </c>
      <c r="AF11" s="28"/>
      <c r="AG11" s="13">
        <f t="shared" si="121"/>
        <v>0</v>
      </c>
      <c r="AH11" s="13">
        <f t="shared" si="18"/>
        <v>1204.2980769</v>
      </c>
      <c r="AI11" s="13">
        <f t="shared" si="19"/>
        <v>1204.2980769</v>
      </c>
      <c r="AJ11" s="28">
        <f t="shared" si="20"/>
        <v>623.4050963</v>
      </c>
      <c r="AK11" s="28">
        <f t="shared" si="21"/>
        <v>923.7523381</v>
      </c>
      <c r="AL11" s="13"/>
      <c r="AM11" s="13">
        <f t="shared" si="122"/>
        <v>0</v>
      </c>
      <c r="AN11" s="13">
        <f t="shared" si="22"/>
        <v>119.5169643</v>
      </c>
      <c r="AO11" s="13">
        <f t="shared" si="23"/>
        <v>119.5169643</v>
      </c>
      <c r="AP11" s="28">
        <f t="shared" si="24"/>
        <v>61.8679761</v>
      </c>
      <c r="AQ11" s="28">
        <f t="shared" si="25"/>
        <v>91.6750407</v>
      </c>
      <c r="AR11" s="28"/>
      <c r="AS11" s="13">
        <f>C11*3.25486/100</f>
        <v>0</v>
      </c>
      <c r="AT11" s="13">
        <f t="shared" si="26"/>
        <v>1603.4416818</v>
      </c>
      <c r="AU11" s="13">
        <f t="shared" si="27"/>
        <v>1603.4416818</v>
      </c>
      <c r="AV11" s="28">
        <f t="shared" si="28"/>
        <v>830.0218485999999</v>
      </c>
      <c r="AW11" s="28">
        <f t="shared" si="29"/>
        <v>1229.9139481999998</v>
      </c>
      <c r="AX11" s="13"/>
      <c r="AY11" s="13">
        <f>C11*23.78111/100</f>
        <v>0</v>
      </c>
      <c r="AZ11" s="13">
        <f t="shared" si="30"/>
        <v>11715.2882193</v>
      </c>
      <c r="BA11" s="13">
        <f t="shared" si="31"/>
        <v>11715.2882193</v>
      </c>
      <c r="BB11" s="28">
        <f t="shared" si="32"/>
        <v>6064.4208611</v>
      </c>
      <c r="BC11" s="28">
        <f t="shared" si="33"/>
        <v>8986.1680357</v>
      </c>
      <c r="BD11" s="28"/>
      <c r="BE11" s="13">
        <f>C11*0.0004/100</f>
        <v>0</v>
      </c>
      <c r="BF11" s="13">
        <f t="shared" si="34"/>
        <v>0.197052</v>
      </c>
      <c r="BG11" s="13">
        <f t="shared" si="35"/>
        <v>0.197052</v>
      </c>
      <c r="BH11" s="28">
        <f t="shared" si="36"/>
        <v>0.102004</v>
      </c>
      <c r="BI11" s="28">
        <f t="shared" si="37"/>
        <v>0.151148</v>
      </c>
      <c r="BJ11" s="28"/>
      <c r="BK11" s="13">
        <f>C11*0.13664/100</f>
        <v>0</v>
      </c>
      <c r="BL11" s="13">
        <f t="shared" si="38"/>
        <v>67.3129632</v>
      </c>
      <c r="BM11" s="13">
        <f t="shared" si="39"/>
        <v>67.3129632</v>
      </c>
      <c r="BN11" s="28">
        <f t="shared" si="40"/>
        <v>34.8445664</v>
      </c>
      <c r="BO11" s="28">
        <f t="shared" si="41"/>
        <v>51.632156800000004</v>
      </c>
      <c r="BP11" s="28"/>
      <c r="BQ11" s="13">
        <f>C11*0.87875/100</f>
        <v>0</v>
      </c>
      <c r="BR11" s="13">
        <f t="shared" si="42"/>
        <v>432.8986125</v>
      </c>
      <c r="BS11" s="13">
        <f t="shared" si="43"/>
        <v>432.8986125</v>
      </c>
      <c r="BT11" s="28">
        <f t="shared" si="44"/>
        <v>224.0900375</v>
      </c>
      <c r="BU11" s="28">
        <f t="shared" si="45"/>
        <v>332.0532625</v>
      </c>
      <c r="BV11" s="28"/>
      <c r="BW11" s="13">
        <f>C11*0.56757/100</f>
        <v>0</v>
      </c>
      <c r="BX11" s="13">
        <f t="shared" si="46"/>
        <v>279.6020091</v>
      </c>
      <c r="BY11" s="13">
        <f t="shared" si="47"/>
        <v>279.6020091</v>
      </c>
      <c r="BZ11" s="28">
        <f t="shared" si="48"/>
        <v>144.7360257</v>
      </c>
      <c r="CA11" s="28">
        <f t="shared" si="49"/>
        <v>214.4676759</v>
      </c>
      <c r="CB11" s="13"/>
      <c r="CC11" s="13">
        <f>C11*2.18514/100</f>
        <v>0</v>
      </c>
      <c r="CD11" s="13">
        <f t="shared" si="50"/>
        <v>1076.4655182000001</v>
      </c>
      <c r="CE11" s="13">
        <f t="shared" si="51"/>
        <v>1076.4655182000001</v>
      </c>
      <c r="CF11" s="28">
        <f t="shared" si="52"/>
        <v>557.2325514</v>
      </c>
      <c r="CG11" s="28">
        <f t="shared" si="53"/>
        <v>825.6988517999999</v>
      </c>
      <c r="CH11" s="28"/>
      <c r="CI11" s="13">
        <f>C11*0.13916/100</f>
        <v>0</v>
      </c>
      <c r="CJ11" s="13">
        <f t="shared" si="54"/>
        <v>68.55439080000001</v>
      </c>
      <c r="CK11" s="13">
        <f t="shared" si="55"/>
        <v>68.55439080000001</v>
      </c>
      <c r="CL11" s="28">
        <f t="shared" si="56"/>
        <v>35.4871916</v>
      </c>
      <c r="CM11" s="28">
        <f t="shared" si="57"/>
        <v>52.5843892</v>
      </c>
      <c r="CN11" s="28"/>
      <c r="CO11" s="13">
        <f>C11*0.37665/100</f>
        <v>0</v>
      </c>
      <c r="CP11" s="13">
        <f t="shared" si="58"/>
        <v>185.5490895</v>
      </c>
      <c r="CQ11" s="13">
        <f t="shared" si="59"/>
        <v>185.5490895</v>
      </c>
      <c r="CR11" s="28">
        <f t="shared" si="60"/>
        <v>96.0495165</v>
      </c>
      <c r="CS11" s="28">
        <f t="shared" si="61"/>
        <v>142.3247355</v>
      </c>
      <c r="CT11" s="28"/>
      <c r="CU11" s="13">
        <f>C11*1.58627/100</f>
        <v>0</v>
      </c>
      <c r="CV11" s="13">
        <f t="shared" si="62"/>
        <v>781.4441901</v>
      </c>
      <c r="CW11" s="13">
        <f t="shared" si="63"/>
        <v>781.4441901</v>
      </c>
      <c r="CX11" s="28">
        <f t="shared" si="64"/>
        <v>404.5147127</v>
      </c>
      <c r="CY11" s="28">
        <f t="shared" si="65"/>
        <v>599.4038449</v>
      </c>
      <c r="CZ11" s="28"/>
      <c r="DA11" s="13">
        <f>C11*0.07178/100</f>
        <v>0</v>
      </c>
      <c r="DB11" s="13">
        <f t="shared" si="66"/>
        <v>35.3609814</v>
      </c>
      <c r="DC11" s="13">
        <f t="shared" si="67"/>
        <v>35.3609814</v>
      </c>
      <c r="DD11" s="28">
        <f t="shared" si="68"/>
        <v>18.3046178</v>
      </c>
      <c r="DE11" s="28">
        <f t="shared" si="69"/>
        <v>27.1235086</v>
      </c>
      <c r="DF11" s="28"/>
      <c r="DG11" s="13">
        <f>C11*1.01431/100</f>
        <v>0</v>
      </c>
      <c r="DH11" s="13">
        <f t="shared" si="70"/>
        <v>499.6795353</v>
      </c>
      <c r="DI11" s="13">
        <f t="shared" si="71"/>
        <v>499.6795353</v>
      </c>
      <c r="DJ11" s="28">
        <f t="shared" si="72"/>
        <v>258.6591931</v>
      </c>
      <c r="DK11" s="28">
        <f t="shared" si="73"/>
        <v>383.2773197</v>
      </c>
      <c r="DL11" s="28"/>
      <c r="DM11" s="13">
        <f>C11*0.48536/100</f>
        <v>0</v>
      </c>
      <c r="DN11" s="28">
        <f t="shared" si="74"/>
        <v>239.10289680000002</v>
      </c>
      <c r="DO11" s="13">
        <f t="shared" si="75"/>
        <v>239.10289680000002</v>
      </c>
      <c r="DP11" s="28">
        <f t="shared" si="76"/>
        <v>123.7716536</v>
      </c>
      <c r="DQ11" s="28">
        <f t="shared" si="77"/>
        <v>183.4029832</v>
      </c>
      <c r="DR11" s="28"/>
      <c r="DS11" s="13">
        <f>C11*0.80603/100</f>
        <v>0</v>
      </c>
      <c r="DT11" s="13">
        <f t="shared" si="78"/>
        <v>397.07455890000006</v>
      </c>
      <c r="DU11" s="13">
        <f t="shared" si="79"/>
        <v>397.07455890000006</v>
      </c>
      <c r="DV11" s="28">
        <f t="shared" si="80"/>
        <v>205.5457103</v>
      </c>
      <c r="DW11" s="28">
        <f t="shared" si="81"/>
        <v>304.5745561</v>
      </c>
      <c r="DX11" s="28"/>
      <c r="DY11" s="13">
        <f>C11*2.45163/100</f>
        <v>0</v>
      </c>
      <c r="DZ11" s="13">
        <f t="shared" si="82"/>
        <v>1207.7464869000003</v>
      </c>
      <c r="EA11" s="13">
        <f t="shared" si="83"/>
        <v>1207.7464869000003</v>
      </c>
      <c r="EB11" s="28">
        <f t="shared" si="84"/>
        <v>625.1901663</v>
      </c>
      <c r="EC11" s="28">
        <f t="shared" si="85"/>
        <v>926.3974281000001</v>
      </c>
      <c r="ED11" s="28"/>
      <c r="EE11" s="13">
        <f>C11*0.25443/100</f>
        <v>0</v>
      </c>
      <c r="EF11" s="13">
        <f t="shared" si="86"/>
        <v>125.3398509</v>
      </c>
      <c r="EG11" s="13">
        <f t="shared" si="87"/>
        <v>125.3398509</v>
      </c>
      <c r="EH11" s="28">
        <f t="shared" si="88"/>
        <v>64.88219430000001</v>
      </c>
      <c r="EI11" s="28">
        <f t="shared" si="89"/>
        <v>96.14146410000001</v>
      </c>
      <c r="EJ11" s="28"/>
      <c r="EK11" s="13">
        <f>C11*0.12856/100</f>
        <v>0</v>
      </c>
      <c r="EL11" s="13">
        <f t="shared" si="90"/>
        <v>63.3325128</v>
      </c>
      <c r="EM11" s="13">
        <f t="shared" si="91"/>
        <v>63.3325128</v>
      </c>
      <c r="EN11" s="28">
        <f t="shared" si="92"/>
        <v>32.7840856</v>
      </c>
      <c r="EO11" s="28">
        <f t="shared" si="93"/>
        <v>48.5789672</v>
      </c>
      <c r="EP11" s="28"/>
      <c r="EQ11" s="13">
        <f>C11*0.03415/100</f>
        <v>0</v>
      </c>
      <c r="ER11" s="13">
        <f t="shared" si="94"/>
        <v>16.8233145</v>
      </c>
      <c r="ES11" s="13">
        <f t="shared" si="95"/>
        <v>16.8233145</v>
      </c>
      <c r="ET11" s="28">
        <f t="shared" si="96"/>
        <v>8.7085915</v>
      </c>
      <c r="EU11" s="28">
        <f t="shared" si="97"/>
        <v>12.9042605</v>
      </c>
      <c r="EV11" s="28"/>
      <c r="EW11" s="13">
        <f>C11*1.11619/100</f>
        <v>0</v>
      </c>
      <c r="EX11" s="13">
        <f t="shared" si="98"/>
        <v>549.8686797</v>
      </c>
      <c r="EY11" s="13">
        <f t="shared" si="99"/>
        <v>549.8686797</v>
      </c>
      <c r="EZ11" s="28">
        <f t="shared" si="100"/>
        <v>284.63961190000003</v>
      </c>
      <c r="FA11" s="28">
        <f t="shared" si="101"/>
        <v>421.7747153</v>
      </c>
      <c r="FB11" s="28"/>
      <c r="FC11" s="13">
        <f>C11*4.55599/100</f>
        <v>0</v>
      </c>
      <c r="FD11" s="13">
        <f t="shared" si="102"/>
        <v>2244.4173537</v>
      </c>
      <c r="FE11" s="13">
        <f t="shared" si="103"/>
        <v>2244.4173537</v>
      </c>
      <c r="FF11" s="28">
        <f t="shared" si="104"/>
        <v>1161.8230099</v>
      </c>
      <c r="FG11" s="28">
        <f t="shared" si="105"/>
        <v>1721.5719413</v>
      </c>
      <c r="FH11" s="28"/>
      <c r="FI11" s="13">
        <f>C11*0.07571/100</f>
        <v>0</v>
      </c>
      <c r="FJ11" s="13">
        <f t="shared" si="106"/>
        <v>37.2970173</v>
      </c>
      <c r="FK11" s="13">
        <f t="shared" si="107"/>
        <v>37.2970173</v>
      </c>
      <c r="FL11" s="28">
        <f t="shared" si="108"/>
        <v>19.3068071</v>
      </c>
      <c r="FM11" s="28">
        <f t="shared" si="109"/>
        <v>28.6085377</v>
      </c>
      <c r="FN11" s="28"/>
      <c r="FO11" s="13">
        <f>C11*0.91696/100</f>
        <v>0</v>
      </c>
      <c r="FP11" s="13">
        <f t="shared" si="110"/>
        <v>451.7220048</v>
      </c>
      <c r="FQ11" s="13">
        <f t="shared" si="111"/>
        <v>451.7220048</v>
      </c>
      <c r="FR11" s="28">
        <f t="shared" si="112"/>
        <v>233.8339696</v>
      </c>
      <c r="FS11" s="28">
        <f t="shared" si="113"/>
        <v>346.4916752</v>
      </c>
      <c r="FT11" s="28"/>
      <c r="FU11" s="13">
        <f>C11*0.38062/100</f>
        <v>0</v>
      </c>
      <c r="FV11" s="13">
        <f t="shared" si="114"/>
        <v>187.50483060000002</v>
      </c>
      <c r="FW11" s="13">
        <f t="shared" si="115"/>
        <v>187.50483060000002</v>
      </c>
      <c r="FX11" s="28">
        <f t="shared" si="116"/>
        <v>97.0619062</v>
      </c>
      <c r="FY11" s="28">
        <f t="shared" si="117"/>
        <v>143.82487940000001</v>
      </c>
      <c r="FZ11" s="28"/>
    </row>
    <row r="12" spans="1:182" s="30" customFormat="1" ht="12.75">
      <c r="A12" s="29">
        <v>44470</v>
      </c>
      <c r="C12" s="14">
        <f>'2011B'!C12</f>
        <v>0</v>
      </c>
      <c r="D12" s="14">
        <f>'2011B'!D12</f>
        <v>49263</v>
      </c>
      <c r="E12" s="14">
        <f t="shared" si="0"/>
        <v>49263</v>
      </c>
      <c r="F12" s="14">
        <f>'2011B'!F12</f>
        <v>25501</v>
      </c>
      <c r="G12" s="14">
        <f>'2011B'!G12</f>
        <v>37787</v>
      </c>
      <c r="H12" s="28"/>
      <c r="I12" s="13">
        <f t="shared" si="1"/>
        <v>0</v>
      </c>
      <c r="J12" s="13">
        <f t="shared" si="2"/>
        <v>33489.04651560001</v>
      </c>
      <c r="K12" s="13">
        <f t="shared" si="3"/>
        <v>33489.04651560001</v>
      </c>
      <c r="L12" s="13">
        <f t="shared" si="4"/>
        <v>17335.610401200003</v>
      </c>
      <c r="M12" s="13">
        <f t="shared" si="5"/>
        <v>25687.647944400003</v>
      </c>
      <c r="N12" s="28"/>
      <c r="O12" s="13"/>
      <c r="P12" s="13">
        <f t="shared" si="6"/>
        <v>3921.6747147</v>
      </c>
      <c r="Q12" s="28">
        <f t="shared" si="7"/>
        <v>3921.6747147</v>
      </c>
      <c r="R12" s="28">
        <f t="shared" si="8"/>
        <v>2030.0555568999998</v>
      </c>
      <c r="S12" s="28">
        <f t="shared" si="9"/>
        <v>3008.1059302999997</v>
      </c>
      <c r="T12" s="28"/>
      <c r="U12" s="13"/>
      <c r="V12" s="13">
        <f t="shared" si="10"/>
        <v>4365.5047869</v>
      </c>
      <c r="W12" s="13">
        <f t="shared" si="11"/>
        <v>4365.5047869</v>
      </c>
      <c r="X12" s="28">
        <f t="shared" si="12"/>
        <v>2259.8042662999997</v>
      </c>
      <c r="Y12" s="28">
        <f t="shared" si="13"/>
        <v>3348.5441281</v>
      </c>
      <c r="Z12" s="28"/>
      <c r="AA12" s="28"/>
      <c r="AB12" s="13">
        <f t="shared" si="14"/>
        <v>1612.0282227</v>
      </c>
      <c r="AC12" s="13">
        <f t="shared" si="15"/>
        <v>1612.0282227</v>
      </c>
      <c r="AD12" s="28">
        <f t="shared" si="16"/>
        <v>834.4666728999999</v>
      </c>
      <c r="AE12" s="28">
        <f t="shared" si="17"/>
        <v>1236.5002223</v>
      </c>
      <c r="AF12" s="28"/>
      <c r="AG12" s="13"/>
      <c r="AH12" s="13">
        <f t="shared" si="18"/>
        <v>1204.2980769</v>
      </c>
      <c r="AI12" s="13">
        <f t="shared" si="19"/>
        <v>1204.2980769</v>
      </c>
      <c r="AJ12" s="28">
        <f t="shared" si="20"/>
        <v>623.4050963</v>
      </c>
      <c r="AK12" s="28">
        <f t="shared" si="21"/>
        <v>923.7523381</v>
      </c>
      <c r="AL12" s="13"/>
      <c r="AM12" s="13"/>
      <c r="AN12" s="13">
        <f t="shared" si="22"/>
        <v>119.5169643</v>
      </c>
      <c r="AO12" s="13">
        <f t="shared" si="23"/>
        <v>119.5169643</v>
      </c>
      <c r="AP12" s="28">
        <f t="shared" si="24"/>
        <v>61.8679761</v>
      </c>
      <c r="AQ12" s="28">
        <f t="shared" si="25"/>
        <v>91.6750407</v>
      </c>
      <c r="AR12" s="28"/>
      <c r="AS12" s="13"/>
      <c r="AT12" s="13">
        <f t="shared" si="26"/>
        <v>1603.4416818</v>
      </c>
      <c r="AU12" s="13">
        <f t="shared" si="27"/>
        <v>1603.4416818</v>
      </c>
      <c r="AV12" s="28">
        <f t="shared" si="28"/>
        <v>830.0218485999999</v>
      </c>
      <c r="AW12" s="28">
        <f t="shared" si="29"/>
        <v>1229.9139481999998</v>
      </c>
      <c r="AX12" s="13"/>
      <c r="AY12" s="13"/>
      <c r="AZ12" s="13">
        <f t="shared" si="30"/>
        <v>11715.2882193</v>
      </c>
      <c r="BA12" s="13">
        <f t="shared" si="31"/>
        <v>11715.2882193</v>
      </c>
      <c r="BB12" s="28">
        <f t="shared" si="32"/>
        <v>6064.4208611</v>
      </c>
      <c r="BC12" s="28">
        <f t="shared" si="33"/>
        <v>8986.1680357</v>
      </c>
      <c r="BD12" s="28"/>
      <c r="BE12" s="13"/>
      <c r="BF12" s="13">
        <f t="shared" si="34"/>
        <v>0.197052</v>
      </c>
      <c r="BG12" s="13">
        <f t="shared" si="35"/>
        <v>0.197052</v>
      </c>
      <c r="BH12" s="28">
        <f t="shared" si="36"/>
        <v>0.102004</v>
      </c>
      <c r="BI12" s="28">
        <f t="shared" si="37"/>
        <v>0.151148</v>
      </c>
      <c r="BJ12" s="28"/>
      <c r="BK12" s="13"/>
      <c r="BL12" s="13">
        <f t="shared" si="38"/>
        <v>67.3129632</v>
      </c>
      <c r="BM12" s="13">
        <f t="shared" si="39"/>
        <v>67.3129632</v>
      </c>
      <c r="BN12" s="28">
        <f t="shared" si="40"/>
        <v>34.8445664</v>
      </c>
      <c r="BO12" s="28">
        <f t="shared" si="41"/>
        <v>51.632156800000004</v>
      </c>
      <c r="BP12" s="28"/>
      <c r="BQ12" s="13"/>
      <c r="BR12" s="13">
        <f t="shared" si="42"/>
        <v>432.8986125</v>
      </c>
      <c r="BS12" s="13">
        <f t="shared" si="43"/>
        <v>432.8986125</v>
      </c>
      <c r="BT12" s="28">
        <f t="shared" si="44"/>
        <v>224.0900375</v>
      </c>
      <c r="BU12" s="28">
        <f t="shared" si="45"/>
        <v>332.0532625</v>
      </c>
      <c r="BV12" s="28"/>
      <c r="BW12" s="13"/>
      <c r="BX12" s="13">
        <f t="shared" si="46"/>
        <v>279.6020091</v>
      </c>
      <c r="BY12" s="13">
        <f t="shared" si="47"/>
        <v>279.6020091</v>
      </c>
      <c r="BZ12" s="28">
        <f t="shared" si="48"/>
        <v>144.7360257</v>
      </c>
      <c r="CA12" s="28">
        <f t="shared" si="49"/>
        <v>214.4676759</v>
      </c>
      <c r="CB12" s="13"/>
      <c r="CC12" s="13"/>
      <c r="CD12" s="13">
        <f t="shared" si="50"/>
        <v>1076.4655182000001</v>
      </c>
      <c r="CE12" s="13">
        <f t="shared" si="51"/>
        <v>1076.4655182000001</v>
      </c>
      <c r="CF12" s="28">
        <f t="shared" si="52"/>
        <v>557.2325514</v>
      </c>
      <c r="CG12" s="28">
        <f t="shared" si="53"/>
        <v>825.6988517999999</v>
      </c>
      <c r="CH12" s="28"/>
      <c r="CI12" s="13"/>
      <c r="CJ12" s="13">
        <f t="shared" si="54"/>
        <v>68.55439080000001</v>
      </c>
      <c r="CK12" s="13">
        <f t="shared" si="55"/>
        <v>68.55439080000001</v>
      </c>
      <c r="CL12" s="28">
        <f t="shared" si="56"/>
        <v>35.4871916</v>
      </c>
      <c r="CM12" s="28">
        <f t="shared" si="57"/>
        <v>52.5843892</v>
      </c>
      <c r="CN12" s="28"/>
      <c r="CO12" s="13"/>
      <c r="CP12" s="13">
        <f t="shared" si="58"/>
        <v>185.5490895</v>
      </c>
      <c r="CQ12" s="13">
        <f t="shared" si="59"/>
        <v>185.5490895</v>
      </c>
      <c r="CR12" s="28">
        <f t="shared" si="60"/>
        <v>96.0495165</v>
      </c>
      <c r="CS12" s="28">
        <f t="shared" si="61"/>
        <v>142.3247355</v>
      </c>
      <c r="CT12" s="28"/>
      <c r="CU12" s="13"/>
      <c r="CV12" s="13">
        <f t="shared" si="62"/>
        <v>781.4441901</v>
      </c>
      <c r="CW12" s="13">
        <f t="shared" si="63"/>
        <v>781.4441901</v>
      </c>
      <c r="CX12" s="28">
        <f t="shared" si="64"/>
        <v>404.5147127</v>
      </c>
      <c r="CY12" s="28">
        <f t="shared" si="65"/>
        <v>599.4038449</v>
      </c>
      <c r="CZ12" s="28"/>
      <c r="DA12" s="13"/>
      <c r="DB12" s="13">
        <f t="shared" si="66"/>
        <v>35.3609814</v>
      </c>
      <c r="DC12" s="13">
        <f t="shared" si="67"/>
        <v>35.3609814</v>
      </c>
      <c r="DD12" s="28">
        <f t="shared" si="68"/>
        <v>18.3046178</v>
      </c>
      <c r="DE12" s="28">
        <f t="shared" si="69"/>
        <v>27.1235086</v>
      </c>
      <c r="DF12" s="28"/>
      <c r="DG12" s="13"/>
      <c r="DH12" s="13">
        <f t="shared" si="70"/>
        <v>499.6795353</v>
      </c>
      <c r="DI12" s="13">
        <f t="shared" si="71"/>
        <v>499.6795353</v>
      </c>
      <c r="DJ12" s="28">
        <f t="shared" si="72"/>
        <v>258.6591931</v>
      </c>
      <c r="DK12" s="28">
        <f t="shared" si="73"/>
        <v>383.2773197</v>
      </c>
      <c r="DL12" s="28"/>
      <c r="DM12" s="13"/>
      <c r="DN12" s="28">
        <f t="shared" si="74"/>
        <v>239.10289680000002</v>
      </c>
      <c r="DO12" s="13">
        <f t="shared" si="75"/>
        <v>239.10289680000002</v>
      </c>
      <c r="DP12" s="28">
        <f t="shared" si="76"/>
        <v>123.7716536</v>
      </c>
      <c r="DQ12" s="28">
        <f t="shared" si="77"/>
        <v>183.4029832</v>
      </c>
      <c r="DR12" s="28"/>
      <c r="DS12" s="13"/>
      <c r="DT12" s="13">
        <f t="shared" si="78"/>
        <v>397.07455890000006</v>
      </c>
      <c r="DU12" s="13">
        <f t="shared" si="79"/>
        <v>397.07455890000006</v>
      </c>
      <c r="DV12" s="28">
        <f t="shared" si="80"/>
        <v>205.5457103</v>
      </c>
      <c r="DW12" s="28">
        <f t="shared" si="81"/>
        <v>304.5745561</v>
      </c>
      <c r="DX12" s="28"/>
      <c r="DY12" s="13"/>
      <c r="DZ12" s="13">
        <f t="shared" si="82"/>
        <v>1207.7464869000003</v>
      </c>
      <c r="EA12" s="13">
        <f t="shared" si="83"/>
        <v>1207.7464869000003</v>
      </c>
      <c r="EB12" s="28">
        <f t="shared" si="84"/>
        <v>625.1901663</v>
      </c>
      <c r="EC12" s="28">
        <f t="shared" si="85"/>
        <v>926.3974281000001</v>
      </c>
      <c r="ED12" s="28"/>
      <c r="EE12" s="13"/>
      <c r="EF12" s="13">
        <f t="shared" si="86"/>
        <v>125.3398509</v>
      </c>
      <c r="EG12" s="13">
        <f t="shared" si="87"/>
        <v>125.3398509</v>
      </c>
      <c r="EH12" s="28">
        <f t="shared" si="88"/>
        <v>64.88219430000001</v>
      </c>
      <c r="EI12" s="28">
        <f t="shared" si="89"/>
        <v>96.14146410000001</v>
      </c>
      <c r="EJ12" s="28"/>
      <c r="EK12" s="13"/>
      <c r="EL12" s="13">
        <f t="shared" si="90"/>
        <v>63.3325128</v>
      </c>
      <c r="EM12" s="13">
        <f t="shared" si="91"/>
        <v>63.3325128</v>
      </c>
      <c r="EN12" s="28">
        <f t="shared" si="92"/>
        <v>32.7840856</v>
      </c>
      <c r="EO12" s="28">
        <f t="shared" si="93"/>
        <v>48.5789672</v>
      </c>
      <c r="EP12" s="28"/>
      <c r="EQ12" s="13"/>
      <c r="ER12" s="13">
        <f t="shared" si="94"/>
        <v>16.8233145</v>
      </c>
      <c r="ES12" s="13">
        <f t="shared" si="95"/>
        <v>16.8233145</v>
      </c>
      <c r="ET12" s="28">
        <f t="shared" si="96"/>
        <v>8.7085915</v>
      </c>
      <c r="EU12" s="28">
        <f t="shared" si="97"/>
        <v>12.9042605</v>
      </c>
      <c r="EV12" s="28"/>
      <c r="EW12" s="13"/>
      <c r="EX12" s="13">
        <f t="shared" si="98"/>
        <v>549.8686797</v>
      </c>
      <c r="EY12" s="13">
        <f t="shared" si="99"/>
        <v>549.8686797</v>
      </c>
      <c r="EZ12" s="28">
        <f t="shared" si="100"/>
        <v>284.63961190000003</v>
      </c>
      <c r="FA12" s="28">
        <f t="shared" si="101"/>
        <v>421.7747153</v>
      </c>
      <c r="FB12" s="28"/>
      <c r="FC12" s="13"/>
      <c r="FD12" s="13">
        <f t="shared" si="102"/>
        <v>2244.4173537</v>
      </c>
      <c r="FE12" s="13">
        <f t="shared" si="103"/>
        <v>2244.4173537</v>
      </c>
      <c r="FF12" s="28">
        <f t="shared" si="104"/>
        <v>1161.8230099</v>
      </c>
      <c r="FG12" s="28">
        <f t="shared" si="105"/>
        <v>1721.5719413</v>
      </c>
      <c r="FH12" s="28"/>
      <c r="FI12" s="13"/>
      <c r="FJ12" s="13">
        <f t="shared" si="106"/>
        <v>37.2970173</v>
      </c>
      <c r="FK12" s="13">
        <f t="shared" si="107"/>
        <v>37.2970173</v>
      </c>
      <c r="FL12" s="28">
        <f t="shared" si="108"/>
        <v>19.3068071</v>
      </c>
      <c r="FM12" s="28">
        <f t="shared" si="109"/>
        <v>28.6085377</v>
      </c>
      <c r="FN12" s="28"/>
      <c r="FO12" s="13"/>
      <c r="FP12" s="13">
        <f t="shared" si="110"/>
        <v>451.7220048</v>
      </c>
      <c r="FQ12" s="13">
        <f t="shared" si="111"/>
        <v>451.7220048</v>
      </c>
      <c r="FR12" s="28">
        <f t="shared" si="112"/>
        <v>233.8339696</v>
      </c>
      <c r="FS12" s="28">
        <f t="shared" si="113"/>
        <v>346.4916752</v>
      </c>
      <c r="FT12" s="28"/>
      <c r="FU12" s="13"/>
      <c r="FV12" s="13">
        <f t="shared" si="114"/>
        <v>187.50483060000002</v>
      </c>
      <c r="FW12" s="13">
        <f t="shared" si="115"/>
        <v>187.50483060000002</v>
      </c>
      <c r="FX12" s="28">
        <f t="shared" si="116"/>
        <v>97.0619062</v>
      </c>
      <c r="FY12" s="28">
        <f t="shared" si="117"/>
        <v>143.82487940000001</v>
      </c>
      <c r="FZ12" s="28"/>
    </row>
    <row r="13" spans="1:182" s="30" customFormat="1" ht="12.75">
      <c r="A13" s="29">
        <v>44652</v>
      </c>
      <c r="C13" s="14">
        <f>'2011B'!C13</f>
        <v>0</v>
      </c>
      <c r="D13" s="14">
        <f>'2011B'!D13</f>
        <v>49263</v>
      </c>
      <c r="E13" s="14">
        <f t="shared" si="0"/>
        <v>49263</v>
      </c>
      <c r="F13" s="14">
        <f>'2011B'!F13</f>
        <v>25501</v>
      </c>
      <c r="G13" s="14">
        <f>'2011B'!G13</f>
        <v>37787</v>
      </c>
      <c r="H13" s="28"/>
      <c r="I13" s="13">
        <f t="shared" si="1"/>
        <v>0</v>
      </c>
      <c r="J13" s="13">
        <f t="shared" si="2"/>
        <v>33489.04651560001</v>
      </c>
      <c r="K13" s="13">
        <f t="shared" si="3"/>
        <v>33489.04651560001</v>
      </c>
      <c r="L13" s="13">
        <f t="shared" si="4"/>
        <v>17335.610401200003</v>
      </c>
      <c r="M13" s="13">
        <f t="shared" si="5"/>
        <v>25687.647944400003</v>
      </c>
      <c r="N13" s="28"/>
      <c r="O13" s="13">
        <f t="shared" si="118"/>
        <v>0</v>
      </c>
      <c r="P13" s="13">
        <f t="shared" si="6"/>
        <v>3921.6747147</v>
      </c>
      <c r="Q13" s="28">
        <f t="shared" si="7"/>
        <v>3921.6747147</v>
      </c>
      <c r="R13" s="28">
        <f t="shared" si="8"/>
        <v>2030.0555568999998</v>
      </c>
      <c r="S13" s="28">
        <f t="shared" si="9"/>
        <v>3008.1059302999997</v>
      </c>
      <c r="T13" s="28"/>
      <c r="U13" s="13">
        <f t="shared" si="119"/>
        <v>0</v>
      </c>
      <c r="V13" s="13">
        <f t="shared" si="10"/>
        <v>4365.5047869</v>
      </c>
      <c r="W13" s="13">
        <f t="shared" si="11"/>
        <v>4365.5047869</v>
      </c>
      <c r="X13" s="28">
        <f t="shared" si="12"/>
        <v>2259.8042662999997</v>
      </c>
      <c r="Y13" s="28">
        <f t="shared" si="13"/>
        <v>3348.5441281</v>
      </c>
      <c r="Z13" s="28"/>
      <c r="AA13" s="28">
        <f t="shared" si="120"/>
        <v>0</v>
      </c>
      <c r="AB13" s="13">
        <f t="shared" si="14"/>
        <v>1612.0282227</v>
      </c>
      <c r="AC13" s="13">
        <f t="shared" si="15"/>
        <v>1612.0282227</v>
      </c>
      <c r="AD13" s="28">
        <f t="shared" si="16"/>
        <v>834.4666728999999</v>
      </c>
      <c r="AE13" s="28">
        <f t="shared" si="17"/>
        <v>1236.5002223</v>
      </c>
      <c r="AF13" s="28"/>
      <c r="AG13" s="13">
        <f t="shared" si="121"/>
        <v>0</v>
      </c>
      <c r="AH13" s="13">
        <f t="shared" si="18"/>
        <v>1204.2980769</v>
      </c>
      <c r="AI13" s="13">
        <f t="shared" si="19"/>
        <v>1204.2980769</v>
      </c>
      <c r="AJ13" s="28">
        <f t="shared" si="20"/>
        <v>623.4050963</v>
      </c>
      <c r="AK13" s="28">
        <f t="shared" si="21"/>
        <v>923.7523381</v>
      </c>
      <c r="AL13" s="13"/>
      <c r="AM13" s="13">
        <f t="shared" si="122"/>
        <v>0</v>
      </c>
      <c r="AN13" s="13">
        <f t="shared" si="22"/>
        <v>119.5169643</v>
      </c>
      <c r="AO13" s="13">
        <f t="shared" si="23"/>
        <v>119.5169643</v>
      </c>
      <c r="AP13" s="28">
        <f t="shared" si="24"/>
        <v>61.8679761</v>
      </c>
      <c r="AQ13" s="28">
        <f t="shared" si="25"/>
        <v>91.6750407</v>
      </c>
      <c r="AR13" s="28"/>
      <c r="AS13" s="13">
        <f>C13*3.25486/100</f>
        <v>0</v>
      </c>
      <c r="AT13" s="13">
        <f t="shared" si="26"/>
        <v>1603.4416818</v>
      </c>
      <c r="AU13" s="13">
        <f t="shared" si="27"/>
        <v>1603.4416818</v>
      </c>
      <c r="AV13" s="28">
        <f t="shared" si="28"/>
        <v>830.0218485999999</v>
      </c>
      <c r="AW13" s="28">
        <f t="shared" si="29"/>
        <v>1229.9139481999998</v>
      </c>
      <c r="AX13" s="13"/>
      <c r="AY13" s="13">
        <f>C13*23.78111/100</f>
        <v>0</v>
      </c>
      <c r="AZ13" s="13">
        <f t="shared" si="30"/>
        <v>11715.2882193</v>
      </c>
      <c r="BA13" s="13">
        <f t="shared" si="31"/>
        <v>11715.2882193</v>
      </c>
      <c r="BB13" s="28">
        <f t="shared" si="32"/>
        <v>6064.4208611</v>
      </c>
      <c r="BC13" s="28">
        <f t="shared" si="33"/>
        <v>8986.1680357</v>
      </c>
      <c r="BD13" s="28"/>
      <c r="BE13" s="13">
        <f>C13*0.0004/100</f>
        <v>0</v>
      </c>
      <c r="BF13" s="13">
        <f t="shared" si="34"/>
        <v>0.197052</v>
      </c>
      <c r="BG13" s="13">
        <f t="shared" si="35"/>
        <v>0.197052</v>
      </c>
      <c r="BH13" s="28">
        <f t="shared" si="36"/>
        <v>0.102004</v>
      </c>
      <c r="BI13" s="28">
        <f t="shared" si="37"/>
        <v>0.151148</v>
      </c>
      <c r="BJ13" s="28"/>
      <c r="BK13" s="13">
        <f>C13*0.13664/100</f>
        <v>0</v>
      </c>
      <c r="BL13" s="13">
        <f t="shared" si="38"/>
        <v>67.3129632</v>
      </c>
      <c r="BM13" s="13">
        <f t="shared" si="39"/>
        <v>67.3129632</v>
      </c>
      <c r="BN13" s="28">
        <f t="shared" si="40"/>
        <v>34.8445664</v>
      </c>
      <c r="BO13" s="28">
        <f t="shared" si="41"/>
        <v>51.632156800000004</v>
      </c>
      <c r="BP13" s="28"/>
      <c r="BQ13" s="13">
        <f>C13*0.87875/100</f>
        <v>0</v>
      </c>
      <c r="BR13" s="13">
        <f t="shared" si="42"/>
        <v>432.8986125</v>
      </c>
      <c r="BS13" s="13">
        <f t="shared" si="43"/>
        <v>432.8986125</v>
      </c>
      <c r="BT13" s="28">
        <f t="shared" si="44"/>
        <v>224.0900375</v>
      </c>
      <c r="BU13" s="28">
        <f t="shared" si="45"/>
        <v>332.0532625</v>
      </c>
      <c r="BV13" s="28"/>
      <c r="BW13" s="13">
        <f>C13*0.56757/100</f>
        <v>0</v>
      </c>
      <c r="BX13" s="13">
        <f t="shared" si="46"/>
        <v>279.6020091</v>
      </c>
      <c r="BY13" s="13">
        <f t="shared" si="47"/>
        <v>279.6020091</v>
      </c>
      <c r="BZ13" s="28">
        <f t="shared" si="48"/>
        <v>144.7360257</v>
      </c>
      <c r="CA13" s="28">
        <f t="shared" si="49"/>
        <v>214.4676759</v>
      </c>
      <c r="CB13" s="13"/>
      <c r="CC13" s="13">
        <f>C13*2.18514/100</f>
        <v>0</v>
      </c>
      <c r="CD13" s="13">
        <f t="shared" si="50"/>
        <v>1076.4655182000001</v>
      </c>
      <c r="CE13" s="13">
        <f t="shared" si="51"/>
        <v>1076.4655182000001</v>
      </c>
      <c r="CF13" s="28">
        <f t="shared" si="52"/>
        <v>557.2325514</v>
      </c>
      <c r="CG13" s="28">
        <f t="shared" si="53"/>
        <v>825.6988517999999</v>
      </c>
      <c r="CH13" s="28"/>
      <c r="CI13" s="13">
        <f>C13*0.13916/100</f>
        <v>0</v>
      </c>
      <c r="CJ13" s="13">
        <f t="shared" si="54"/>
        <v>68.55439080000001</v>
      </c>
      <c r="CK13" s="13">
        <f t="shared" si="55"/>
        <v>68.55439080000001</v>
      </c>
      <c r="CL13" s="28">
        <f t="shared" si="56"/>
        <v>35.4871916</v>
      </c>
      <c r="CM13" s="28">
        <f t="shared" si="57"/>
        <v>52.5843892</v>
      </c>
      <c r="CN13" s="28"/>
      <c r="CO13" s="13">
        <f>C13*0.37665/100</f>
        <v>0</v>
      </c>
      <c r="CP13" s="13">
        <f t="shared" si="58"/>
        <v>185.5490895</v>
      </c>
      <c r="CQ13" s="13">
        <f t="shared" si="59"/>
        <v>185.5490895</v>
      </c>
      <c r="CR13" s="28">
        <f t="shared" si="60"/>
        <v>96.0495165</v>
      </c>
      <c r="CS13" s="28">
        <f t="shared" si="61"/>
        <v>142.3247355</v>
      </c>
      <c r="CT13" s="28"/>
      <c r="CU13" s="13">
        <f>C13*1.58627/100</f>
        <v>0</v>
      </c>
      <c r="CV13" s="13">
        <f t="shared" si="62"/>
        <v>781.4441901</v>
      </c>
      <c r="CW13" s="13">
        <f t="shared" si="63"/>
        <v>781.4441901</v>
      </c>
      <c r="CX13" s="28">
        <f t="shared" si="64"/>
        <v>404.5147127</v>
      </c>
      <c r="CY13" s="28">
        <f t="shared" si="65"/>
        <v>599.4038449</v>
      </c>
      <c r="CZ13" s="28"/>
      <c r="DA13" s="13">
        <f>C13*0.07178/100</f>
        <v>0</v>
      </c>
      <c r="DB13" s="13">
        <f t="shared" si="66"/>
        <v>35.3609814</v>
      </c>
      <c r="DC13" s="13">
        <f t="shared" si="67"/>
        <v>35.3609814</v>
      </c>
      <c r="DD13" s="28">
        <f t="shared" si="68"/>
        <v>18.3046178</v>
      </c>
      <c r="DE13" s="28">
        <f t="shared" si="69"/>
        <v>27.1235086</v>
      </c>
      <c r="DF13" s="28"/>
      <c r="DG13" s="13">
        <f>C13*1.01431/100</f>
        <v>0</v>
      </c>
      <c r="DH13" s="13">
        <f t="shared" si="70"/>
        <v>499.6795353</v>
      </c>
      <c r="DI13" s="13">
        <f t="shared" si="71"/>
        <v>499.6795353</v>
      </c>
      <c r="DJ13" s="28">
        <f t="shared" si="72"/>
        <v>258.6591931</v>
      </c>
      <c r="DK13" s="28">
        <f t="shared" si="73"/>
        <v>383.2773197</v>
      </c>
      <c r="DL13" s="28"/>
      <c r="DM13" s="13">
        <f>C13*0.48536/100</f>
        <v>0</v>
      </c>
      <c r="DN13" s="28">
        <f t="shared" si="74"/>
        <v>239.10289680000002</v>
      </c>
      <c r="DO13" s="13">
        <f t="shared" si="75"/>
        <v>239.10289680000002</v>
      </c>
      <c r="DP13" s="28">
        <f t="shared" si="76"/>
        <v>123.7716536</v>
      </c>
      <c r="DQ13" s="28">
        <f t="shared" si="77"/>
        <v>183.4029832</v>
      </c>
      <c r="DR13" s="28"/>
      <c r="DS13" s="13">
        <f>C13*0.80603/100</f>
        <v>0</v>
      </c>
      <c r="DT13" s="13">
        <f t="shared" si="78"/>
        <v>397.07455890000006</v>
      </c>
      <c r="DU13" s="13">
        <f t="shared" si="79"/>
        <v>397.07455890000006</v>
      </c>
      <c r="DV13" s="28">
        <f t="shared" si="80"/>
        <v>205.5457103</v>
      </c>
      <c r="DW13" s="28">
        <f t="shared" si="81"/>
        <v>304.5745561</v>
      </c>
      <c r="DX13" s="28"/>
      <c r="DY13" s="13">
        <f>C13*2.45163/100</f>
        <v>0</v>
      </c>
      <c r="DZ13" s="13">
        <f t="shared" si="82"/>
        <v>1207.7464869000003</v>
      </c>
      <c r="EA13" s="13">
        <f t="shared" si="83"/>
        <v>1207.7464869000003</v>
      </c>
      <c r="EB13" s="28">
        <f t="shared" si="84"/>
        <v>625.1901663</v>
      </c>
      <c r="EC13" s="28">
        <f t="shared" si="85"/>
        <v>926.3974281000001</v>
      </c>
      <c r="ED13" s="28"/>
      <c r="EE13" s="13">
        <f>C13*0.25443/100</f>
        <v>0</v>
      </c>
      <c r="EF13" s="13">
        <f t="shared" si="86"/>
        <v>125.3398509</v>
      </c>
      <c r="EG13" s="13">
        <f t="shared" si="87"/>
        <v>125.3398509</v>
      </c>
      <c r="EH13" s="28">
        <f t="shared" si="88"/>
        <v>64.88219430000001</v>
      </c>
      <c r="EI13" s="28">
        <f t="shared" si="89"/>
        <v>96.14146410000001</v>
      </c>
      <c r="EJ13" s="28"/>
      <c r="EK13" s="13">
        <f>C13*0.12856/100</f>
        <v>0</v>
      </c>
      <c r="EL13" s="13">
        <f t="shared" si="90"/>
        <v>63.3325128</v>
      </c>
      <c r="EM13" s="13">
        <f t="shared" si="91"/>
        <v>63.3325128</v>
      </c>
      <c r="EN13" s="28">
        <f t="shared" si="92"/>
        <v>32.7840856</v>
      </c>
      <c r="EO13" s="28">
        <f t="shared" si="93"/>
        <v>48.5789672</v>
      </c>
      <c r="EP13" s="28"/>
      <c r="EQ13" s="13">
        <f>C13*0.03415/100</f>
        <v>0</v>
      </c>
      <c r="ER13" s="13">
        <f t="shared" si="94"/>
        <v>16.8233145</v>
      </c>
      <c r="ES13" s="13">
        <f t="shared" si="95"/>
        <v>16.8233145</v>
      </c>
      <c r="ET13" s="28">
        <f t="shared" si="96"/>
        <v>8.7085915</v>
      </c>
      <c r="EU13" s="28">
        <f t="shared" si="97"/>
        <v>12.9042605</v>
      </c>
      <c r="EV13" s="28"/>
      <c r="EW13" s="13">
        <f>C13*1.11619/100</f>
        <v>0</v>
      </c>
      <c r="EX13" s="13">
        <f t="shared" si="98"/>
        <v>549.8686797</v>
      </c>
      <c r="EY13" s="13">
        <f t="shared" si="99"/>
        <v>549.8686797</v>
      </c>
      <c r="EZ13" s="28">
        <f t="shared" si="100"/>
        <v>284.63961190000003</v>
      </c>
      <c r="FA13" s="28">
        <f t="shared" si="101"/>
        <v>421.7747153</v>
      </c>
      <c r="FB13" s="28"/>
      <c r="FC13" s="13">
        <f>C13*4.55599/100</f>
        <v>0</v>
      </c>
      <c r="FD13" s="13">
        <f t="shared" si="102"/>
        <v>2244.4173537</v>
      </c>
      <c r="FE13" s="13">
        <f t="shared" si="103"/>
        <v>2244.4173537</v>
      </c>
      <c r="FF13" s="28">
        <f t="shared" si="104"/>
        <v>1161.8230099</v>
      </c>
      <c r="FG13" s="28">
        <f t="shared" si="105"/>
        <v>1721.5719413</v>
      </c>
      <c r="FH13" s="28"/>
      <c r="FI13" s="13">
        <f>C13*0.07571/100</f>
        <v>0</v>
      </c>
      <c r="FJ13" s="13">
        <f t="shared" si="106"/>
        <v>37.2970173</v>
      </c>
      <c r="FK13" s="13">
        <f t="shared" si="107"/>
        <v>37.2970173</v>
      </c>
      <c r="FL13" s="28">
        <f t="shared" si="108"/>
        <v>19.3068071</v>
      </c>
      <c r="FM13" s="28">
        <f t="shared" si="109"/>
        <v>28.6085377</v>
      </c>
      <c r="FN13" s="28"/>
      <c r="FO13" s="13">
        <f>C13*0.91696/100</f>
        <v>0</v>
      </c>
      <c r="FP13" s="13">
        <f t="shared" si="110"/>
        <v>451.7220048</v>
      </c>
      <c r="FQ13" s="13">
        <f t="shared" si="111"/>
        <v>451.7220048</v>
      </c>
      <c r="FR13" s="28">
        <f t="shared" si="112"/>
        <v>233.8339696</v>
      </c>
      <c r="FS13" s="28">
        <f t="shared" si="113"/>
        <v>346.4916752</v>
      </c>
      <c r="FT13" s="28"/>
      <c r="FU13" s="13">
        <f>C13*0.38062/100</f>
        <v>0</v>
      </c>
      <c r="FV13" s="13">
        <f t="shared" si="114"/>
        <v>187.50483060000002</v>
      </c>
      <c r="FW13" s="13">
        <f t="shared" si="115"/>
        <v>187.50483060000002</v>
      </c>
      <c r="FX13" s="28">
        <f t="shared" si="116"/>
        <v>97.0619062</v>
      </c>
      <c r="FY13" s="28">
        <f t="shared" si="117"/>
        <v>143.82487940000001</v>
      </c>
      <c r="FZ13" s="28"/>
    </row>
    <row r="14" spans="1:182" s="30" customFormat="1" ht="12.75">
      <c r="A14" s="29">
        <v>44835</v>
      </c>
      <c r="C14" s="14">
        <f>'2011B'!C14</f>
        <v>0</v>
      </c>
      <c r="D14" s="14">
        <f>'2011B'!D14</f>
        <v>49263</v>
      </c>
      <c r="E14" s="14">
        <f t="shared" si="0"/>
        <v>49263</v>
      </c>
      <c r="F14" s="14">
        <f>'2011B'!F14</f>
        <v>25501</v>
      </c>
      <c r="G14" s="14">
        <f>'2011B'!G14</f>
        <v>37787</v>
      </c>
      <c r="H14" s="28"/>
      <c r="I14" s="13">
        <f t="shared" si="1"/>
        <v>0</v>
      </c>
      <c r="J14" s="13">
        <f t="shared" si="2"/>
        <v>33489.04651560001</v>
      </c>
      <c r="K14" s="13">
        <f t="shared" si="3"/>
        <v>33489.04651560001</v>
      </c>
      <c r="L14" s="13">
        <f t="shared" si="4"/>
        <v>17335.610401200003</v>
      </c>
      <c r="M14" s="13">
        <f t="shared" si="5"/>
        <v>25687.647944400003</v>
      </c>
      <c r="N14" s="28"/>
      <c r="O14" s="13"/>
      <c r="P14" s="13">
        <f t="shared" si="6"/>
        <v>3921.6747147</v>
      </c>
      <c r="Q14" s="28">
        <f t="shared" si="7"/>
        <v>3921.6747147</v>
      </c>
      <c r="R14" s="28">
        <f t="shared" si="8"/>
        <v>2030.0555568999998</v>
      </c>
      <c r="S14" s="28">
        <f t="shared" si="9"/>
        <v>3008.1059302999997</v>
      </c>
      <c r="T14" s="28"/>
      <c r="U14" s="13"/>
      <c r="V14" s="13">
        <f t="shared" si="10"/>
        <v>4365.5047869</v>
      </c>
      <c r="W14" s="13">
        <f t="shared" si="11"/>
        <v>4365.5047869</v>
      </c>
      <c r="X14" s="28">
        <f t="shared" si="12"/>
        <v>2259.8042662999997</v>
      </c>
      <c r="Y14" s="28">
        <f t="shared" si="13"/>
        <v>3348.5441281</v>
      </c>
      <c r="Z14" s="28"/>
      <c r="AA14" s="28"/>
      <c r="AB14" s="13">
        <f t="shared" si="14"/>
        <v>1612.0282227</v>
      </c>
      <c r="AC14" s="13">
        <f t="shared" si="15"/>
        <v>1612.0282227</v>
      </c>
      <c r="AD14" s="28">
        <f t="shared" si="16"/>
        <v>834.4666728999999</v>
      </c>
      <c r="AE14" s="28">
        <f t="shared" si="17"/>
        <v>1236.5002223</v>
      </c>
      <c r="AF14" s="28"/>
      <c r="AG14" s="13"/>
      <c r="AH14" s="13">
        <f t="shared" si="18"/>
        <v>1204.2980769</v>
      </c>
      <c r="AI14" s="13">
        <f t="shared" si="19"/>
        <v>1204.2980769</v>
      </c>
      <c r="AJ14" s="28">
        <f t="shared" si="20"/>
        <v>623.4050963</v>
      </c>
      <c r="AK14" s="28">
        <f t="shared" si="21"/>
        <v>923.7523381</v>
      </c>
      <c r="AL14" s="13"/>
      <c r="AM14" s="13"/>
      <c r="AN14" s="13">
        <f t="shared" si="22"/>
        <v>119.5169643</v>
      </c>
      <c r="AO14" s="13">
        <f t="shared" si="23"/>
        <v>119.5169643</v>
      </c>
      <c r="AP14" s="28">
        <f t="shared" si="24"/>
        <v>61.8679761</v>
      </c>
      <c r="AQ14" s="28">
        <f t="shared" si="25"/>
        <v>91.6750407</v>
      </c>
      <c r="AR14" s="28"/>
      <c r="AS14" s="13"/>
      <c r="AT14" s="13">
        <f t="shared" si="26"/>
        <v>1603.4416818</v>
      </c>
      <c r="AU14" s="13">
        <f t="shared" si="27"/>
        <v>1603.4416818</v>
      </c>
      <c r="AV14" s="28">
        <f t="shared" si="28"/>
        <v>830.0218485999999</v>
      </c>
      <c r="AW14" s="28">
        <f t="shared" si="29"/>
        <v>1229.9139481999998</v>
      </c>
      <c r="AX14" s="13"/>
      <c r="AY14" s="13"/>
      <c r="AZ14" s="13">
        <f t="shared" si="30"/>
        <v>11715.2882193</v>
      </c>
      <c r="BA14" s="13">
        <f t="shared" si="31"/>
        <v>11715.2882193</v>
      </c>
      <c r="BB14" s="28">
        <f t="shared" si="32"/>
        <v>6064.4208611</v>
      </c>
      <c r="BC14" s="28">
        <f t="shared" si="33"/>
        <v>8986.1680357</v>
      </c>
      <c r="BD14" s="28"/>
      <c r="BE14" s="13"/>
      <c r="BF14" s="13">
        <f t="shared" si="34"/>
        <v>0.197052</v>
      </c>
      <c r="BG14" s="13">
        <f t="shared" si="35"/>
        <v>0.197052</v>
      </c>
      <c r="BH14" s="28">
        <f t="shared" si="36"/>
        <v>0.102004</v>
      </c>
      <c r="BI14" s="28">
        <f t="shared" si="37"/>
        <v>0.151148</v>
      </c>
      <c r="BJ14" s="28"/>
      <c r="BK14" s="13"/>
      <c r="BL14" s="13">
        <f t="shared" si="38"/>
        <v>67.3129632</v>
      </c>
      <c r="BM14" s="13">
        <f t="shared" si="39"/>
        <v>67.3129632</v>
      </c>
      <c r="BN14" s="28">
        <f t="shared" si="40"/>
        <v>34.8445664</v>
      </c>
      <c r="BO14" s="28">
        <f t="shared" si="41"/>
        <v>51.632156800000004</v>
      </c>
      <c r="BP14" s="28"/>
      <c r="BQ14" s="13"/>
      <c r="BR14" s="13">
        <f t="shared" si="42"/>
        <v>432.8986125</v>
      </c>
      <c r="BS14" s="13">
        <f t="shared" si="43"/>
        <v>432.8986125</v>
      </c>
      <c r="BT14" s="28">
        <f t="shared" si="44"/>
        <v>224.0900375</v>
      </c>
      <c r="BU14" s="28">
        <f t="shared" si="45"/>
        <v>332.0532625</v>
      </c>
      <c r="BV14" s="28"/>
      <c r="BW14" s="13"/>
      <c r="BX14" s="13">
        <f t="shared" si="46"/>
        <v>279.6020091</v>
      </c>
      <c r="BY14" s="13">
        <f t="shared" si="47"/>
        <v>279.6020091</v>
      </c>
      <c r="BZ14" s="28">
        <f t="shared" si="48"/>
        <v>144.7360257</v>
      </c>
      <c r="CA14" s="28">
        <f t="shared" si="49"/>
        <v>214.4676759</v>
      </c>
      <c r="CB14" s="13"/>
      <c r="CC14" s="13"/>
      <c r="CD14" s="13">
        <f t="shared" si="50"/>
        <v>1076.4655182000001</v>
      </c>
      <c r="CE14" s="13">
        <f t="shared" si="51"/>
        <v>1076.4655182000001</v>
      </c>
      <c r="CF14" s="28">
        <f t="shared" si="52"/>
        <v>557.2325514</v>
      </c>
      <c r="CG14" s="28">
        <f t="shared" si="53"/>
        <v>825.6988517999999</v>
      </c>
      <c r="CH14" s="28"/>
      <c r="CI14" s="13"/>
      <c r="CJ14" s="13">
        <f t="shared" si="54"/>
        <v>68.55439080000001</v>
      </c>
      <c r="CK14" s="13">
        <f t="shared" si="55"/>
        <v>68.55439080000001</v>
      </c>
      <c r="CL14" s="28">
        <f t="shared" si="56"/>
        <v>35.4871916</v>
      </c>
      <c r="CM14" s="28">
        <f t="shared" si="57"/>
        <v>52.5843892</v>
      </c>
      <c r="CN14" s="28"/>
      <c r="CO14" s="13"/>
      <c r="CP14" s="13">
        <f t="shared" si="58"/>
        <v>185.5490895</v>
      </c>
      <c r="CQ14" s="13">
        <f t="shared" si="59"/>
        <v>185.5490895</v>
      </c>
      <c r="CR14" s="28">
        <f t="shared" si="60"/>
        <v>96.0495165</v>
      </c>
      <c r="CS14" s="28">
        <f t="shared" si="61"/>
        <v>142.3247355</v>
      </c>
      <c r="CT14" s="28"/>
      <c r="CU14" s="13"/>
      <c r="CV14" s="13">
        <f t="shared" si="62"/>
        <v>781.4441901</v>
      </c>
      <c r="CW14" s="13">
        <f t="shared" si="63"/>
        <v>781.4441901</v>
      </c>
      <c r="CX14" s="28">
        <f t="shared" si="64"/>
        <v>404.5147127</v>
      </c>
      <c r="CY14" s="28">
        <f t="shared" si="65"/>
        <v>599.4038449</v>
      </c>
      <c r="CZ14" s="28"/>
      <c r="DA14" s="13"/>
      <c r="DB14" s="13">
        <f t="shared" si="66"/>
        <v>35.3609814</v>
      </c>
      <c r="DC14" s="13">
        <f t="shared" si="67"/>
        <v>35.3609814</v>
      </c>
      <c r="DD14" s="28">
        <f t="shared" si="68"/>
        <v>18.3046178</v>
      </c>
      <c r="DE14" s="28">
        <f t="shared" si="69"/>
        <v>27.1235086</v>
      </c>
      <c r="DF14" s="28"/>
      <c r="DG14" s="13"/>
      <c r="DH14" s="13">
        <f t="shared" si="70"/>
        <v>499.6795353</v>
      </c>
      <c r="DI14" s="13">
        <f t="shared" si="71"/>
        <v>499.6795353</v>
      </c>
      <c r="DJ14" s="28">
        <f t="shared" si="72"/>
        <v>258.6591931</v>
      </c>
      <c r="DK14" s="28">
        <f t="shared" si="73"/>
        <v>383.2773197</v>
      </c>
      <c r="DL14" s="28"/>
      <c r="DM14" s="13"/>
      <c r="DN14" s="28">
        <f t="shared" si="74"/>
        <v>239.10289680000002</v>
      </c>
      <c r="DO14" s="13">
        <f t="shared" si="75"/>
        <v>239.10289680000002</v>
      </c>
      <c r="DP14" s="28">
        <f t="shared" si="76"/>
        <v>123.7716536</v>
      </c>
      <c r="DQ14" s="28">
        <f t="shared" si="77"/>
        <v>183.4029832</v>
      </c>
      <c r="DR14" s="28"/>
      <c r="DS14" s="13"/>
      <c r="DT14" s="13">
        <f t="shared" si="78"/>
        <v>397.07455890000006</v>
      </c>
      <c r="DU14" s="13">
        <f t="shared" si="79"/>
        <v>397.07455890000006</v>
      </c>
      <c r="DV14" s="28">
        <f t="shared" si="80"/>
        <v>205.5457103</v>
      </c>
      <c r="DW14" s="28">
        <f t="shared" si="81"/>
        <v>304.5745561</v>
      </c>
      <c r="DX14" s="28"/>
      <c r="DY14" s="13"/>
      <c r="DZ14" s="13">
        <f t="shared" si="82"/>
        <v>1207.7464869000003</v>
      </c>
      <c r="EA14" s="13">
        <f t="shared" si="83"/>
        <v>1207.7464869000003</v>
      </c>
      <c r="EB14" s="28">
        <f t="shared" si="84"/>
        <v>625.1901663</v>
      </c>
      <c r="EC14" s="28">
        <f t="shared" si="85"/>
        <v>926.3974281000001</v>
      </c>
      <c r="ED14" s="28"/>
      <c r="EE14" s="13"/>
      <c r="EF14" s="13">
        <f t="shared" si="86"/>
        <v>125.3398509</v>
      </c>
      <c r="EG14" s="13">
        <f t="shared" si="87"/>
        <v>125.3398509</v>
      </c>
      <c r="EH14" s="28">
        <f t="shared" si="88"/>
        <v>64.88219430000001</v>
      </c>
      <c r="EI14" s="28">
        <f t="shared" si="89"/>
        <v>96.14146410000001</v>
      </c>
      <c r="EJ14" s="28"/>
      <c r="EK14" s="13"/>
      <c r="EL14" s="13">
        <f t="shared" si="90"/>
        <v>63.3325128</v>
      </c>
      <c r="EM14" s="13">
        <f t="shared" si="91"/>
        <v>63.3325128</v>
      </c>
      <c r="EN14" s="28">
        <f t="shared" si="92"/>
        <v>32.7840856</v>
      </c>
      <c r="EO14" s="28">
        <f t="shared" si="93"/>
        <v>48.5789672</v>
      </c>
      <c r="EP14" s="28"/>
      <c r="EQ14" s="13"/>
      <c r="ER14" s="13">
        <f t="shared" si="94"/>
        <v>16.8233145</v>
      </c>
      <c r="ES14" s="13">
        <f t="shared" si="95"/>
        <v>16.8233145</v>
      </c>
      <c r="ET14" s="28">
        <f t="shared" si="96"/>
        <v>8.7085915</v>
      </c>
      <c r="EU14" s="28">
        <f t="shared" si="97"/>
        <v>12.9042605</v>
      </c>
      <c r="EV14" s="28"/>
      <c r="EW14" s="13"/>
      <c r="EX14" s="13">
        <f t="shared" si="98"/>
        <v>549.8686797</v>
      </c>
      <c r="EY14" s="13">
        <f t="shared" si="99"/>
        <v>549.8686797</v>
      </c>
      <c r="EZ14" s="28">
        <f t="shared" si="100"/>
        <v>284.63961190000003</v>
      </c>
      <c r="FA14" s="28">
        <f t="shared" si="101"/>
        <v>421.7747153</v>
      </c>
      <c r="FB14" s="28"/>
      <c r="FC14" s="13"/>
      <c r="FD14" s="13">
        <f t="shared" si="102"/>
        <v>2244.4173537</v>
      </c>
      <c r="FE14" s="13">
        <f t="shared" si="103"/>
        <v>2244.4173537</v>
      </c>
      <c r="FF14" s="28">
        <f t="shared" si="104"/>
        <v>1161.8230099</v>
      </c>
      <c r="FG14" s="28">
        <f t="shared" si="105"/>
        <v>1721.5719413</v>
      </c>
      <c r="FH14" s="28"/>
      <c r="FI14" s="13"/>
      <c r="FJ14" s="13">
        <f t="shared" si="106"/>
        <v>37.2970173</v>
      </c>
      <c r="FK14" s="13">
        <f t="shared" si="107"/>
        <v>37.2970173</v>
      </c>
      <c r="FL14" s="28">
        <f t="shared" si="108"/>
        <v>19.3068071</v>
      </c>
      <c r="FM14" s="28">
        <f t="shared" si="109"/>
        <v>28.6085377</v>
      </c>
      <c r="FN14" s="28"/>
      <c r="FO14" s="13"/>
      <c r="FP14" s="13">
        <f t="shared" si="110"/>
        <v>451.7220048</v>
      </c>
      <c r="FQ14" s="13">
        <f t="shared" si="111"/>
        <v>451.7220048</v>
      </c>
      <c r="FR14" s="28">
        <f t="shared" si="112"/>
        <v>233.8339696</v>
      </c>
      <c r="FS14" s="28">
        <f t="shared" si="113"/>
        <v>346.4916752</v>
      </c>
      <c r="FT14" s="28"/>
      <c r="FU14" s="13"/>
      <c r="FV14" s="13">
        <f t="shared" si="114"/>
        <v>187.50483060000002</v>
      </c>
      <c r="FW14" s="13">
        <f t="shared" si="115"/>
        <v>187.50483060000002</v>
      </c>
      <c r="FX14" s="28">
        <f t="shared" si="116"/>
        <v>97.0619062</v>
      </c>
      <c r="FY14" s="28">
        <f t="shared" si="117"/>
        <v>143.82487940000001</v>
      </c>
      <c r="FZ14" s="28"/>
    </row>
    <row r="15" spans="1:182" s="30" customFormat="1" ht="12.75">
      <c r="A15" s="29">
        <v>45017</v>
      </c>
      <c r="C15" s="14">
        <f>'2011B'!C15</f>
        <v>0</v>
      </c>
      <c r="D15" s="14">
        <f>'2011B'!D15</f>
        <v>49263</v>
      </c>
      <c r="E15" s="14">
        <f t="shared" si="0"/>
        <v>49263</v>
      </c>
      <c r="F15" s="14">
        <f>'2011B'!F15</f>
        <v>25501</v>
      </c>
      <c r="G15" s="14">
        <f>'2011B'!G15</f>
        <v>37787</v>
      </c>
      <c r="H15" s="28"/>
      <c r="I15" s="13">
        <f t="shared" si="1"/>
        <v>0</v>
      </c>
      <c r="J15" s="13">
        <f t="shared" si="2"/>
        <v>33489.04651560001</v>
      </c>
      <c r="K15" s="13">
        <f t="shared" si="3"/>
        <v>33489.04651560001</v>
      </c>
      <c r="L15" s="13">
        <f t="shared" si="4"/>
        <v>17335.610401200003</v>
      </c>
      <c r="M15" s="13">
        <f t="shared" si="5"/>
        <v>25687.647944400003</v>
      </c>
      <c r="N15" s="28"/>
      <c r="O15" s="13">
        <f t="shared" si="118"/>
        <v>0</v>
      </c>
      <c r="P15" s="13">
        <f t="shared" si="6"/>
        <v>3921.6747147</v>
      </c>
      <c r="Q15" s="28">
        <f t="shared" si="7"/>
        <v>3921.6747147</v>
      </c>
      <c r="R15" s="28">
        <f t="shared" si="8"/>
        <v>2030.0555568999998</v>
      </c>
      <c r="S15" s="28">
        <f t="shared" si="9"/>
        <v>3008.1059302999997</v>
      </c>
      <c r="T15" s="28"/>
      <c r="U15" s="13">
        <f t="shared" si="119"/>
        <v>0</v>
      </c>
      <c r="V15" s="13">
        <f t="shared" si="10"/>
        <v>4365.5047869</v>
      </c>
      <c r="W15" s="13">
        <f t="shared" si="11"/>
        <v>4365.5047869</v>
      </c>
      <c r="X15" s="28">
        <f t="shared" si="12"/>
        <v>2259.8042662999997</v>
      </c>
      <c r="Y15" s="28">
        <f t="shared" si="13"/>
        <v>3348.5441281</v>
      </c>
      <c r="Z15" s="28"/>
      <c r="AA15" s="28">
        <f t="shared" si="120"/>
        <v>0</v>
      </c>
      <c r="AB15" s="13">
        <f t="shared" si="14"/>
        <v>1612.0282227</v>
      </c>
      <c r="AC15" s="13">
        <f t="shared" si="15"/>
        <v>1612.0282227</v>
      </c>
      <c r="AD15" s="28">
        <f t="shared" si="16"/>
        <v>834.4666728999999</v>
      </c>
      <c r="AE15" s="28">
        <f t="shared" si="17"/>
        <v>1236.5002223</v>
      </c>
      <c r="AF15" s="28"/>
      <c r="AG15" s="13">
        <f t="shared" si="121"/>
        <v>0</v>
      </c>
      <c r="AH15" s="13">
        <f t="shared" si="18"/>
        <v>1204.2980769</v>
      </c>
      <c r="AI15" s="13">
        <f t="shared" si="19"/>
        <v>1204.2980769</v>
      </c>
      <c r="AJ15" s="28">
        <f t="shared" si="20"/>
        <v>623.4050963</v>
      </c>
      <c r="AK15" s="28">
        <f t="shared" si="21"/>
        <v>923.7523381</v>
      </c>
      <c r="AL15" s="13"/>
      <c r="AM15" s="13">
        <f t="shared" si="122"/>
        <v>0</v>
      </c>
      <c r="AN15" s="13">
        <f t="shared" si="22"/>
        <v>119.5169643</v>
      </c>
      <c r="AO15" s="13">
        <f t="shared" si="23"/>
        <v>119.5169643</v>
      </c>
      <c r="AP15" s="28">
        <f t="shared" si="24"/>
        <v>61.8679761</v>
      </c>
      <c r="AQ15" s="28">
        <f t="shared" si="25"/>
        <v>91.6750407</v>
      </c>
      <c r="AR15" s="28"/>
      <c r="AS15" s="13">
        <f>C15*3.25486/100</f>
        <v>0</v>
      </c>
      <c r="AT15" s="13">
        <f t="shared" si="26"/>
        <v>1603.4416818</v>
      </c>
      <c r="AU15" s="13">
        <f t="shared" si="27"/>
        <v>1603.4416818</v>
      </c>
      <c r="AV15" s="28">
        <f t="shared" si="28"/>
        <v>830.0218485999999</v>
      </c>
      <c r="AW15" s="28">
        <f t="shared" si="29"/>
        <v>1229.9139481999998</v>
      </c>
      <c r="AX15" s="13"/>
      <c r="AY15" s="13">
        <f>C15*23.78111/100</f>
        <v>0</v>
      </c>
      <c r="AZ15" s="13">
        <f t="shared" si="30"/>
        <v>11715.2882193</v>
      </c>
      <c r="BA15" s="13">
        <f t="shared" si="31"/>
        <v>11715.2882193</v>
      </c>
      <c r="BB15" s="28">
        <f t="shared" si="32"/>
        <v>6064.4208611</v>
      </c>
      <c r="BC15" s="28">
        <f t="shared" si="33"/>
        <v>8986.1680357</v>
      </c>
      <c r="BD15" s="28"/>
      <c r="BE15" s="13">
        <f>C15*0.0004/100</f>
        <v>0</v>
      </c>
      <c r="BF15" s="13">
        <f t="shared" si="34"/>
        <v>0.197052</v>
      </c>
      <c r="BG15" s="13">
        <f t="shared" si="35"/>
        <v>0.197052</v>
      </c>
      <c r="BH15" s="28">
        <f t="shared" si="36"/>
        <v>0.102004</v>
      </c>
      <c r="BI15" s="28">
        <f t="shared" si="37"/>
        <v>0.151148</v>
      </c>
      <c r="BJ15" s="28"/>
      <c r="BK15" s="13">
        <f>C15*0.13664/100</f>
        <v>0</v>
      </c>
      <c r="BL15" s="13">
        <f t="shared" si="38"/>
        <v>67.3129632</v>
      </c>
      <c r="BM15" s="13">
        <f t="shared" si="39"/>
        <v>67.3129632</v>
      </c>
      <c r="BN15" s="28">
        <f t="shared" si="40"/>
        <v>34.8445664</v>
      </c>
      <c r="BO15" s="28">
        <f t="shared" si="41"/>
        <v>51.632156800000004</v>
      </c>
      <c r="BP15" s="28"/>
      <c r="BQ15" s="13">
        <f>C15*0.87875/100</f>
        <v>0</v>
      </c>
      <c r="BR15" s="13">
        <f t="shared" si="42"/>
        <v>432.8986125</v>
      </c>
      <c r="BS15" s="13">
        <f t="shared" si="43"/>
        <v>432.8986125</v>
      </c>
      <c r="BT15" s="28">
        <f t="shared" si="44"/>
        <v>224.0900375</v>
      </c>
      <c r="BU15" s="28">
        <f t="shared" si="45"/>
        <v>332.0532625</v>
      </c>
      <c r="BV15" s="28"/>
      <c r="BW15" s="13">
        <f>C15*0.56757/100</f>
        <v>0</v>
      </c>
      <c r="BX15" s="13">
        <f t="shared" si="46"/>
        <v>279.6020091</v>
      </c>
      <c r="BY15" s="13">
        <f t="shared" si="47"/>
        <v>279.6020091</v>
      </c>
      <c r="BZ15" s="28">
        <f t="shared" si="48"/>
        <v>144.7360257</v>
      </c>
      <c r="CA15" s="28">
        <f t="shared" si="49"/>
        <v>214.4676759</v>
      </c>
      <c r="CB15" s="13"/>
      <c r="CC15" s="13">
        <f>C15*2.18514/100</f>
        <v>0</v>
      </c>
      <c r="CD15" s="13">
        <f t="shared" si="50"/>
        <v>1076.4655182000001</v>
      </c>
      <c r="CE15" s="13">
        <f t="shared" si="51"/>
        <v>1076.4655182000001</v>
      </c>
      <c r="CF15" s="28">
        <f t="shared" si="52"/>
        <v>557.2325514</v>
      </c>
      <c r="CG15" s="28">
        <f t="shared" si="53"/>
        <v>825.6988517999999</v>
      </c>
      <c r="CH15" s="28"/>
      <c r="CI15" s="13">
        <f>C15*0.13916/100</f>
        <v>0</v>
      </c>
      <c r="CJ15" s="13">
        <f t="shared" si="54"/>
        <v>68.55439080000001</v>
      </c>
      <c r="CK15" s="13">
        <f t="shared" si="55"/>
        <v>68.55439080000001</v>
      </c>
      <c r="CL15" s="28">
        <f t="shared" si="56"/>
        <v>35.4871916</v>
      </c>
      <c r="CM15" s="28">
        <f t="shared" si="57"/>
        <v>52.5843892</v>
      </c>
      <c r="CN15" s="28"/>
      <c r="CO15" s="13">
        <f>C15*0.37665/100</f>
        <v>0</v>
      </c>
      <c r="CP15" s="13">
        <f t="shared" si="58"/>
        <v>185.5490895</v>
      </c>
      <c r="CQ15" s="13">
        <f t="shared" si="59"/>
        <v>185.5490895</v>
      </c>
      <c r="CR15" s="28">
        <f t="shared" si="60"/>
        <v>96.0495165</v>
      </c>
      <c r="CS15" s="28">
        <f t="shared" si="61"/>
        <v>142.3247355</v>
      </c>
      <c r="CT15" s="28"/>
      <c r="CU15" s="13">
        <f>C15*1.58627/100</f>
        <v>0</v>
      </c>
      <c r="CV15" s="13">
        <f t="shared" si="62"/>
        <v>781.4441901</v>
      </c>
      <c r="CW15" s="13">
        <f t="shared" si="63"/>
        <v>781.4441901</v>
      </c>
      <c r="CX15" s="28">
        <f t="shared" si="64"/>
        <v>404.5147127</v>
      </c>
      <c r="CY15" s="28">
        <f t="shared" si="65"/>
        <v>599.4038449</v>
      </c>
      <c r="CZ15" s="28"/>
      <c r="DA15" s="13">
        <f>C15*0.07178/100</f>
        <v>0</v>
      </c>
      <c r="DB15" s="13">
        <f t="shared" si="66"/>
        <v>35.3609814</v>
      </c>
      <c r="DC15" s="13">
        <f t="shared" si="67"/>
        <v>35.3609814</v>
      </c>
      <c r="DD15" s="28">
        <f t="shared" si="68"/>
        <v>18.3046178</v>
      </c>
      <c r="DE15" s="28">
        <f t="shared" si="69"/>
        <v>27.1235086</v>
      </c>
      <c r="DF15" s="28"/>
      <c r="DG15" s="13">
        <f>C15*1.01431/100</f>
        <v>0</v>
      </c>
      <c r="DH15" s="13">
        <f t="shared" si="70"/>
        <v>499.6795353</v>
      </c>
      <c r="DI15" s="13">
        <f t="shared" si="71"/>
        <v>499.6795353</v>
      </c>
      <c r="DJ15" s="28">
        <f t="shared" si="72"/>
        <v>258.6591931</v>
      </c>
      <c r="DK15" s="28">
        <f t="shared" si="73"/>
        <v>383.2773197</v>
      </c>
      <c r="DL15" s="28"/>
      <c r="DM15" s="13">
        <f>C15*0.48536/100</f>
        <v>0</v>
      </c>
      <c r="DN15" s="28">
        <f t="shared" si="74"/>
        <v>239.10289680000002</v>
      </c>
      <c r="DO15" s="13">
        <f t="shared" si="75"/>
        <v>239.10289680000002</v>
      </c>
      <c r="DP15" s="28">
        <f t="shared" si="76"/>
        <v>123.7716536</v>
      </c>
      <c r="DQ15" s="28">
        <f t="shared" si="77"/>
        <v>183.4029832</v>
      </c>
      <c r="DR15" s="28"/>
      <c r="DS15" s="13">
        <f>C15*0.80603/100</f>
        <v>0</v>
      </c>
      <c r="DT15" s="13">
        <f t="shared" si="78"/>
        <v>397.07455890000006</v>
      </c>
      <c r="DU15" s="13">
        <f t="shared" si="79"/>
        <v>397.07455890000006</v>
      </c>
      <c r="DV15" s="28">
        <f t="shared" si="80"/>
        <v>205.5457103</v>
      </c>
      <c r="DW15" s="28">
        <f t="shared" si="81"/>
        <v>304.5745561</v>
      </c>
      <c r="DX15" s="28"/>
      <c r="DY15" s="13">
        <f>C15*2.45163/100</f>
        <v>0</v>
      </c>
      <c r="DZ15" s="13">
        <f t="shared" si="82"/>
        <v>1207.7464869000003</v>
      </c>
      <c r="EA15" s="13">
        <f t="shared" si="83"/>
        <v>1207.7464869000003</v>
      </c>
      <c r="EB15" s="28">
        <f t="shared" si="84"/>
        <v>625.1901663</v>
      </c>
      <c r="EC15" s="28">
        <f t="shared" si="85"/>
        <v>926.3974281000001</v>
      </c>
      <c r="ED15" s="28"/>
      <c r="EE15" s="13">
        <f>C15*0.25443/100</f>
        <v>0</v>
      </c>
      <c r="EF15" s="13">
        <f t="shared" si="86"/>
        <v>125.3398509</v>
      </c>
      <c r="EG15" s="13">
        <f t="shared" si="87"/>
        <v>125.3398509</v>
      </c>
      <c r="EH15" s="28">
        <f t="shared" si="88"/>
        <v>64.88219430000001</v>
      </c>
      <c r="EI15" s="28">
        <f t="shared" si="89"/>
        <v>96.14146410000001</v>
      </c>
      <c r="EJ15" s="28"/>
      <c r="EK15" s="13">
        <f>C15*0.12856/100</f>
        <v>0</v>
      </c>
      <c r="EL15" s="13">
        <f t="shared" si="90"/>
        <v>63.3325128</v>
      </c>
      <c r="EM15" s="13">
        <f t="shared" si="91"/>
        <v>63.3325128</v>
      </c>
      <c r="EN15" s="28">
        <f t="shared" si="92"/>
        <v>32.7840856</v>
      </c>
      <c r="EO15" s="28">
        <f t="shared" si="93"/>
        <v>48.5789672</v>
      </c>
      <c r="EP15" s="28"/>
      <c r="EQ15" s="13">
        <f>C15*0.03415/100</f>
        <v>0</v>
      </c>
      <c r="ER15" s="13">
        <f t="shared" si="94"/>
        <v>16.8233145</v>
      </c>
      <c r="ES15" s="13">
        <f t="shared" si="95"/>
        <v>16.8233145</v>
      </c>
      <c r="ET15" s="28">
        <f t="shared" si="96"/>
        <v>8.7085915</v>
      </c>
      <c r="EU15" s="28">
        <f t="shared" si="97"/>
        <v>12.9042605</v>
      </c>
      <c r="EV15" s="28"/>
      <c r="EW15" s="13">
        <f>C15*1.11619/100</f>
        <v>0</v>
      </c>
      <c r="EX15" s="13">
        <f t="shared" si="98"/>
        <v>549.8686797</v>
      </c>
      <c r="EY15" s="13">
        <f t="shared" si="99"/>
        <v>549.8686797</v>
      </c>
      <c r="EZ15" s="28">
        <f t="shared" si="100"/>
        <v>284.63961190000003</v>
      </c>
      <c r="FA15" s="28">
        <f t="shared" si="101"/>
        <v>421.7747153</v>
      </c>
      <c r="FB15" s="28"/>
      <c r="FC15" s="13">
        <f>C15*4.55599/100</f>
        <v>0</v>
      </c>
      <c r="FD15" s="13">
        <f t="shared" si="102"/>
        <v>2244.4173537</v>
      </c>
      <c r="FE15" s="13">
        <f t="shared" si="103"/>
        <v>2244.4173537</v>
      </c>
      <c r="FF15" s="28">
        <f t="shared" si="104"/>
        <v>1161.8230099</v>
      </c>
      <c r="FG15" s="28">
        <f t="shared" si="105"/>
        <v>1721.5719413</v>
      </c>
      <c r="FH15" s="28"/>
      <c r="FI15" s="13">
        <f>C15*0.07571/100</f>
        <v>0</v>
      </c>
      <c r="FJ15" s="13">
        <f t="shared" si="106"/>
        <v>37.2970173</v>
      </c>
      <c r="FK15" s="13">
        <f t="shared" si="107"/>
        <v>37.2970173</v>
      </c>
      <c r="FL15" s="28">
        <f t="shared" si="108"/>
        <v>19.3068071</v>
      </c>
      <c r="FM15" s="28">
        <f t="shared" si="109"/>
        <v>28.6085377</v>
      </c>
      <c r="FN15" s="28"/>
      <c r="FO15" s="13">
        <f>C15*0.91696/100</f>
        <v>0</v>
      </c>
      <c r="FP15" s="13">
        <f t="shared" si="110"/>
        <v>451.7220048</v>
      </c>
      <c r="FQ15" s="13">
        <f t="shared" si="111"/>
        <v>451.7220048</v>
      </c>
      <c r="FR15" s="28">
        <f t="shared" si="112"/>
        <v>233.8339696</v>
      </c>
      <c r="FS15" s="28">
        <f t="shared" si="113"/>
        <v>346.4916752</v>
      </c>
      <c r="FT15" s="28"/>
      <c r="FU15" s="13">
        <f>C15*0.38062/100</f>
        <v>0</v>
      </c>
      <c r="FV15" s="13">
        <f t="shared" si="114"/>
        <v>187.50483060000002</v>
      </c>
      <c r="FW15" s="13">
        <f t="shared" si="115"/>
        <v>187.50483060000002</v>
      </c>
      <c r="FX15" s="28">
        <f t="shared" si="116"/>
        <v>97.0619062</v>
      </c>
      <c r="FY15" s="28">
        <f t="shared" si="117"/>
        <v>143.82487940000001</v>
      </c>
      <c r="FZ15" s="28"/>
    </row>
    <row r="16" spans="1:182" s="30" customFormat="1" ht="12.75">
      <c r="A16" s="29">
        <v>45200</v>
      </c>
      <c r="C16" s="14">
        <f>'2011B'!C16</f>
        <v>0</v>
      </c>
      <c r="D16" s="14">
        <f>'2011B'!D16</f>
        <v>49263</v>
      </c>
      <c r="E16" s="14">
        <f t="shared" si="0"/>
        <v>49263</v>
      </c>
      <c r="F16" s="14">
        <f>'2011B'!F16</f>
        <v>25501</v>
      </c>
      <c r="G16" s="14">
        <f>'2011B'!G16</f>
        <v>37787</v>
      </c>
      <c r="H16" s="28"/>
      <c r="I16" s="13">
        <f t="shared" si="1"/>
        <v>0</v>
      </c>
      <c r="J16" s="13">
        <f t="shared" si="2"/>
        <v>33489.04651560001</v>
      </c>
      <c r="K16" s="13">
        <f t="shared" si="3"/>
        <v>33489.04651560001</v>
      </c>
      <c r="L16" s="13">
        <f t="shared" si="4"/>
        <v>17335.610401200003</v>
      </c>
      <c r="M16" s="13">
        <f t="shared" si="5"/>
        <v>25687.647944400003</v>
      </c>
      <c r="N16" s="28"/>
      <c r="O16" s="13"/>
      <c r="P16" s="13">
        <f t="shared" si="6"/>
        <v>3921.6747147</v>
      </c>
      <c r="Q16" s="28">
        <f t="shared" si="7"/>
        <v>3921.6747147</v>
      </c>
      <c r="R16" s="28">
        <f t="shared" si="8"/>
        <v>2030.0555568999998</v>
      </c>
      <c r="S16" s="28">
        <f t="shared" si="9"/>
        <v>3008.1059302999997</v>
      </c>
      <c r="T16" s="28"/>
      <c r="U16" s="13"/>
      <c r="V16" s="13">
        <f t="shared" si="10"/>
        <v>4365.5047869</v>
      </c>
      <c r="W16" s="13">
        <f t="shared" si="11"/>
        <v>4365.5047869</v>
      </c>
      <c r="X16" s="28">
        <f t="shared" si="12"/>
        <v>2259.8042662999997</v>
      </c>
      <c r="Y16" s="28">
        <f t="shared" si="13"/>
        <v>3348.5441281</v>
      </c>
      <c r="Z16" s="28"/>
      <c r="AA16" s="28"/>
      <c r="AB16" s="13">
        <f t="shared" si="14"/>
        <v>1612.0282227</v>
      </c>
      <c r="AC16" s="13">
        <f t="shared" si="15"/>
        <v>1612.0282227</v>
      </c>
      <c r="AD16" s="28">
        <f t="shared" si="16"/>
        <v>834.4666728999999</v>
      </c>
      <c r="AE16" s="28">
        <f t="shared" si="17"/>
        <v>1236.5002223</v>
      </c>
      <c r="AF16" s="28"/>
      <c r="AG16" s="13"/>
      <c r="AH16" s="13">
        <f t="shared" si="18"/>
        <v>1204.2980769</v>
      </c>
      <c r="AI16" s="13">
        <f t="shared" si="19"/>
        <v>1204.2980769</v>
      </c>
      <c r="AJ16" s="28">
        <f t="shared" si="20"/>
        <v>623.4050963</v>
      </c>
      <c r="AK16" s="28">
        <f t="shared" si="21"/>
        <v>923.7523381</v>
      </c>
      <c r="AL16" s="13"/>
      <c r="AM16" s="13"/>
      <c r="AN16" s="13">
        <f t="shared" si="22"/>
        <v>119.5169643</v>
      </c>
      <c r="AO16" s="13">
        <f t="shared" si="23"/>
        <v>119.5169643</v>
      </c>
      <c r="AP16" s="28">
        <f t="shared" si="24"/>
        <v>61.8679761</v>
      </c>
      <c r="AQ16" s="28">
        <f t="shared" si="25"/>
        <v>91.6750407</v>
      </c>
      <c r="AR16" s="28"/>
      <c r="AS16" s="13"/>
      <c r="AT16" s="13">
        <f t="shared" si="26"/>
        <v>1603.4416818</v>
      </c>
      <c r="AU16" s="13">
        <f t="shared" si="27"/>
        <v>1603.4416818</v>
      </c>
      <c r="AV16" s="28">
        <f t="shared" si="28"/>
        <v>830.0218485999999</v>
      </c>
      <c r="AW16" s="28">
        <f t="shared" si="29"/>
        <v>1229.9139481999998</v>
      </c>
      <c r="AX16" s="13"/>
      <c r="AY16" s="13"/>
      <c r="AZ16" s="13">
        <f t="shared" si="30"/>
        <v>11715.2882193</v>
      </c>
      <c r="BA16" s="13">
        <f t="shared" si="31"/>
        <v>11715.2882193</v>
      </c>
      <c r="BB16" s="28">
        <f t="shared" si="32"/>
        <v>6064.4208611</v>
      </c>
      <c r="BC16" s="28">
        <f t="shared" si="33"/>
        <v>8986.1680357</v>
      </c>
      <c r="BD16" s="28"/>
      <c r="BE16" s="13"/>
      <c r="BF16" s="13">
        <f t="shared" si="34"/>
        <v>0.197052</v>
      </c>
      <c r="BG16" s="13">
        <f t="shared" si="35"/>
        <v>0.197052</v>
      </c>
      <c r="BH16" s="28">
        <f>BF$6*$F16</f>
        <v>0.102004</v>
      </c>
      <c r="BI16" s="28">
        <f>BF$6*$G16</f>
        <v>0.151148</v>
      </c>
      <c r="BJ16" s="28"/>
      <c r="BK16" s="13"/>
      <c r="BL16" s="13">
        <f t="shared" si="38"/>
        <v>67.3129632</v>
      </c>
      <c r="BM16" s="13">
        <f t="shared" si="39"/>
        <v>67.3129632</v>
      </c>
      <c r="BN16" s="28">
        <f t="shared" si="40"/>
        <v>34.8445664</v>
      </c>
      <c r="BO16" s="28">
        <f t="shared" si="41"/>
        <v>51.632156800000004</v>
      </c>
      <c r="BP16" s="28"/>
      <c r="BQ16" s="13"/>
      <c r="BR16" s="13">
        <f t="shared" si="42"/>
        <v>432.8986125</v>
      </c>
      <c r="BS16" s="13">
        <f t="shared" si="43"/>
        <v>432.8986125</v>
      </c>
      <c r="BT16" s="28">
        <f t="shared" si="44"/>
        <v>224.0900375</v>
      </c>
      <c r="BU16" s="28">
        <f t="shared" si="45"/>
        <v>332.0532625</v>
      </c>
      <c r="BV16" s="28"/>
      <c r="BW16" s="13"/>
      <c r="BX16" s="13">
        <f t="shared" si="46"/>
        <v>279.6020091</v>
      </c>
      <c r="BY16" s="13">
        <f t="shared" si="47"/>
        <v>279.6020091</v>
      </c>
      <c r="BZ16" s="28">
        <f t="shared" si="48"/>
        <v>144.7360257</v>
      </c>
      <c r="CA16" s="28">
        <f t="shared" si="49"/>
        <v>214.4676759</v>
      </c>
      <c r="CB16" s="13"/>
      <c r="CC16" s="13"/>
      <c r="CD16" s="13">
        <f t="shared" si="50"/>
        <v>1076.4655182000001</v>
      </c>
      <c r="CE16" s="13">
        <f t="shared" si="51"/>
        <v>1076.4655182000001</v>
      </c>
      <c r="CF16" s="28">
        <f t="shared" si="52"/>
        <v>557.2325514</v>
      </c>
      <c r="CG16" s="28">
        <f t="shared" si="53"/>
        <v>825.6988517999999</v>
      </c>
      <c r="CH16" s="28"/>
      <c r="CI16" s="13"/>
      <c r="CJ16" s="13">
        <f t="shared" si="54"/>
        <v>68.55439080000001</v>
      </c>
      <c r="CK16" s="13">
        <f t="shared" si="55"/>
        <v>68.55439080000001</v>
      </c>
      <c r="CL16" s="28">
        <f t="shared" si="56"/>
        <v>35.4871916</v>
      </c>
      <c r="CM16" s="28">
        <f t="shared" si="57"/>
        <v>52.5843892</v>
      </c>
      <c r="CN16" s="28"/>
      <c r="CO16" s="13"/>
      <c r="CP16" s="13">
        <f t="shared" si="58"/>
        <v>185.5490895</v>
      </c>
      <c r="CQ16" s="13">
        <f t="shared" si="59"/>
        <v>185.5490895</v>
      </c>
      <c r="CR16" s="28">
        <f t="shared" si="60"/>
        <v>96.0495165</v>
      </c>
      <c r="CS16" s="28">
        <f t="shared" si="61"/>
        <v>142.3247355</v>
      </c>
      <c r="CT16" s="28"/>
      <c r="CU16" s="13"/>
      <c r="CV16" s="13">
        <f t="shared" si="62"/>
        <v>781.4441901</v>
      </c>
      <c r="CW16" s="13">
        <f t="shared" si="63"/>
        <v>781.4441901</v>
      </c>
      <c r="CX16" s="28">
        <f t="shared" si="64"/>
        <v>404.5147127</v>
      </c>
      <c r="CY16" s="28">
        <f t="shared" si="65"/>
        <v>599.4038449</v>
      </c>
      <c r="CZ16" s="28"/>
      <c r="DA16" s="13"/>
      <c r="DB16" s="13">
        <f t="shared" si="66"/>
        <v>35.3609814</v>
      </c>
      <c r="DC16" s="13">
        <f t="shared" si="67"/>
        <v>35.3609814</v>
      </c>
      <c r="DD16" s="28">
        <f t="shared" si="68"/>
        <v>18.3046178</v>
      </c>
      <c r="DE16" s="28">
        <f t="shared" si="69"/>
        <v>27.1235086</v>
      </c>
      <c r="DF16" s="28"/>
      <c r="DG16" s="13"/>
      <c r="DH16" s="13">
        <f t="shared" si="70"/>
        <v>499.6795353</v>
      </c>
      <c r="DI16" s="13">
        <f t="shared" si="71"/>
        <v>499.6795353</v>
      </c>
      <c r="DJ16" s="28">
        <f t="shared" si="72"/>
        <v>258.6591931</v>
      </c>
      <c r="DK16" s="28">
        <f t="shared" si="73"/>
        <v>383.2773197</v>
      </c>
      <c r="DL16" s="28"/>
      <c r="DM16" s="13"/>
      <c r="DN16" s="28">
        <f t="shared" si="74"/>
        <v>239.10289680000002</v>
      </c>
      <c r="DO16" s="13">
        <f t="shared" si="75"/>
        <v>239.10289680000002</v>
      </c>
      <c r="DP16" s="28">
        <f t="shared" si="76"/>
        <v>123.7716536</v>
      </c>
      <c r="DQ16" s="28">
        <f t="shared" si="77"/>
        <v>183.4029832</v>
      </c>
      <c r="DR16" s="28"/>
      <c r="DS16" s="13"/>
      <c r="DT16" s="13">
        <f t="shared" si="78"/>
        <v>397.07455890000006</v>
      </c>
      <c r="DU16" s="13">
        <f t="shared" si="79"/>
        <v>397.07455890000006</v>
      </c>
      <c r="DV16" s="28">
        <f t="shared" si="80"/>
        <v>205.5457103</v>
      </c>
      <c r="DW16" s="28">
        <f t="shared" si="81"/>
        <v>304.5745561</v>
      </c>
      <c r="DX16" s="28"/>
      <c r="DY16" s="13"/>
      <c r="DZ16" s="13">
        <f t="shared" si="82"/>
        <v>1207.7464869000003</v>
      </c>
      <c r="EA16" s="13">
        <f t="shared" si="83"/>
        <v>1207.7464869000003</v>
      </c>
      <c r="EB16" s="28">
        <f t="shared" si="84"/>
        <v>625.1901663</v>
      </c>
      <c r="EC16" s="28">
        <f t="shared" si="85"/>
        <v>926.3974281000001</v>
      </c>
      <c r="ED16" s="28"/>
      <c r="EE16" s="13"/>
      <c r="EF16" s="13">
        <f t="shared" si="86"/>
        <v>125.3398509</v>
      </c>
      <c r="EG16" s="13">
        <f t="shared" si="87"/>
        <v>125.3398509</v>
      </c>
      <c r="EH16" s="28">
        <f t="shared" si="88"/>
        <v>64.88219430000001</v>
      </c>
      <c r="EI16" s="28">
        <f t="shared" si="89"/>
        <v>96.14146410000001</v>
      </c>
      <c r="EJ16" s="28"/>
      <c r="EK16" s="13"/>
      <c r="EL16" s="13">
        <f t="shared" si="90"/>
        <v>63.3325128</v>
      </c>
      <c r="EM16" s="13">
        <f t="shared" si="91"/>
        <v>63.3325128</v>
      </c>
      <c r="EN16" s="28">
        <f t="shared" si="92"/>
        <v>32.7840856</v>
      </c>
      <c r="EO16" s="28">
        <f t="shared" si="93"/>
        <v>48.5789672</v>
      </c>
      <c r="EP16" s="28"/>
      <c r="EQ16" s="13"/>
      <c r="ER16" s="13">
        <f t="shared" si="94"/>
        <v>16.8233145</v>
      </c>
      <c r="ES16" s="13">
        <f t="shared" si="95"/>
        <v>16.8233145</v>
      </c>
      <c r="ET16" s="28">
        <f t="shared" si="96"/>
        <v>8.7085915</v>
      </c>
      <c r="EU16" s="28">
        <f t="shared" si="97"/>
        <v>12.9042605</v>
      </c>
      <c r="EV16" s="28"/>
      <c r="EW16" s="13"/>
      <c r="EX16" s="13">
        <f t="shared" si="98"/>
        <v>549.8686797</v>
      </c>
      <c r="EY16" s="13">
        <f t="shared" si="99"/>
        <v>549.8686797</v>
      </c>
      <c r="EZ16" s="28">
        <f t="shared" si="100"/>
        <v>284.63961190000003</v>
      </c>
      <c r="FA16" s="28">
        <f t="shared" si="101"/>
        <v>421.7747153</v>
      </c>
      <c r="FB16" s="28"/>
      <c r="FC16" s="13"/>
      <c r="FD16" s="13">
        <f t="shared" si="102"/>
        <v>2244.4173537</v>
      </c>
      <c r="FE16" s="13">
        <f t="shared" si="103"/>
        <v>2244.4173537</v>
      </c>
      <c r="FF16" s="28">
        <f t="shared" si="104"/>
        <v>1161.8230099</v>
      </c>
      <c r="FG16" s="28">
        <f t="shared" si="105"/>
        <v>1721.5719413</v>
      </c>
      <c r="FH16" s="28"/>
      <c r="FI16" s="13"/>
      <c r="FJ16" s="13">
        <f t="shared" si="106"/>
        <v>37.2970173</v>
      </c>
      <c r="FK16" s="13">
        <f t="shared" si="107"/>
        <v>37.2970173</v>
      </c>
      <c r="FL16" s="28">
        <f t="shared" si="108"/>
        <v>19.3068071</v>
      </c>
      <c r="FM16" s="28">
        <f t="shared" si="109"/>
        <v>28.6085377</v>
      </c>
      <c r="FN16" s="28"/>
      <c r="FO16" s="13"/>
      <c r="FP16" s="13">
        <f t="shared" si="110"/>
        <v>451.7220048</v>
      </c>
      <c r="FQ16" s="13">
        <f t="shared" si="111"/>
        <v>451.7220048</v>
      </c>
      <c r="FR16" s="28">
        <f t="shared" si="112"/>
        <v>233.8339696</v>
      </c>
      <c r="FS16" s="28">
        <f t="shared" si="113"/>
        <v>346.4916752</v>
      </c>
      <c r="FT16" s="28"/>
      <c r="FU16" s="13"/>
      <c r="FV16" s="13">
        <f t="shared" si="114"/>
        <v>187.50483060000002</v>
      </c>
      <c r="FW16" s="13">
        <f t="shared" si="115"/>
        <v>187.50483060000002</v>
      </c>
      <c r="FX16" s="28">
        <f t="shared" si="116"/>
        <v>97.0619062</v>
      </c>
      <c r="FY16" s="28">
        <f t="shared" si="117"/>
        <v>143.82487940000001</v>
      </c>
      <c r="FZ16" s="28"/>
    </row>
    <row r="17" spans="1:182" s="30" customFormat="1" ht="12.75">
      <c r="A17" s="29">
        <v>45383</v>
      </c>
      <c r="C17" s="14">
        <f>'2011B'!C17</f>
        <v>2815000</v>
      </c>
      <c r="D17" s="14">
        <f>'2011B'!D17</f>
        <v>49263</v>
      </c>
      <c r="E17" s="14">
        <f t="shared" si="0"/>
        <v>2864263</v>
      </c>
      <c r="F17" s="14">
        <f>'2011B'!F17</f>
        <v>25501</v>
      </c>
      <c r="G17" s="14">
        <f>'2011B'!G17</f>
        <v>37787</v>
      </c>
      <c r="H17" s="28"/>
      <c r="I17" s="13">
        <f t="shared" si="1"/>
        <v>1913640.3780000003</v>
      </c>
      <c r="J17" s="13">
        <f t="shared" si="2"/>
        <v>33489.04651560001</v>
      </c>
      <c r="K17" s="13">
        <f t="shared" si="3"/>
        <v>1947129.4245156003</v>
      </c>
      <c r="L17" s="13">
        <f t="shared" si="4"/>
        <v>17335.610401200003</v>
      </c>
      <c r="M17" s="13">
        <f t="shared" si="5"/>
        <v>25687.647944400003</v>
      </c>
      <c r="N17" s="28"/>
      <c r="O17" s="13">
        <f t="shared" si="118"/>
        <v>224093.42349999998</v>
      </c>
      <c r="P17" s="13">
        <f t="shared" si="6"/>
        <v>3921.6747147</v>
      </c>
      <c r="Q17" s="28">
        <f t="shared" si="7"/>
        <v>228015.09821469997</v>
      </c>
      <c r="R17" s="28">
        <f t="shared" si="8"/>
        <v>2030.0555568999998</v>
      </c>
      <c r="S17" s="28">
        <f t="shared" si="9"/>
        <v>3008.1059302999997</v>
      </c>
      <c r="T17" s="28"/>
      <c r="U17" s="13">
        <f t="shared" si="119"/>
        <v>249454.8845</v>
      </c>
      <c r="V17" s="13">
        <f t="shared" si="10"/>
        <v>4365.5047869</v>
      </c>
      <c r="W17" s="13">
        <f t="shared" si="11"/>
        <v>253820.3892869</v>
      </c>
      <c r="X17" s="28">
        <f t="shared" si="12"/>
        <v>2259.8042662999997</v>
      </c>
      <c r="Y17" s="28">
        <f t="shared" si="13"/>
        <v>3348.5441281</v>
      </c>
      <c r="Z17" s="28"/>
      <c r="AA17" s="28">
        <f t="shared" si="120"/>
        <v>92114.9635</v>
      </c>
      <c r="AB17" s="13">
        <f t="shared" si="14"/>
        <v>1612.0282227</v>
      </c>
      <c r="AC17" s="13">
        <f t="shared" si="15"/>
        <v>93726.9917227</v>
      </c>
      <c r="AD17" s="28">
        <f t="shared" si="16"/>
        <v>834.4666728999999</v>
      </c>
      <c r="AE17" s="28">
        <f t="shared" si="17"/>
        <v>1236.5002223</v>
      </c>
      <c r="AF17" s="28"/>
      <c r="AG17" s="13">
        <f t="shared" si="121"/>
        <v>68816.3345</v>
      </c>
      <c r="AH17" s="13">
        <f t="shared" si="18"/>
        <v>1204.2980769</v>
      </c>
      <c r="AI17" s="13">
        <f t="shared" si="19"/>
        <v>70020.6325769</v>
      </c>
      <c r="AJ17" s="28">
        <f t="shared" si="20"/>
        <v>623.4050963</v>
      </c>
      <c r="AK17" s="28">
        <f t="shared" si="21"/>
        <v>923.7523381</v>
      </c>
      <c r="AL17" s="13"/>
      <c r="AM17" s="13">
        <f t="shared" si="122"/>
        <v>6829.471500000001</v>
      </c>
      <c r="AN17" s="13">
        <f t="shared" si="22"/>
        <v>119.5169643</v>
      </c>
      <c r="AO17" s="13">
        <f t="shared" si="23"/>
        <v>6948.9884643000005</v>
      </c>
      <c r="AP17" s="28">
        <f t="shared" si="24"/>
        <v>61.8679761</v>
      </c>
      <c r="AQ17" s="28">
        <f t="shared" si="25"/>
        <v>91.6750407</v>
      </c>
      <c r="AR17" s="28"/>
      <c r="AS17" s="13">
        <f>C17*3.25486/100</f>
        <v>91624.30900000001</v>
      </c>
      <c r="AT17" s="13">
        <f t="shared" si="26"/>
        <v>1603.4416818</v>
      </c>
      <c r="AU17" s="13">
        <f t="shared" si="27"/>
        <v>93227.75068180001</v>
      </c>
      <c r="AV17" s="28">
        <f t="shared" si="28"/>
        <v>830.0218485999999</v>
      </c>
      <c r="AW17" s="28">
        <f t="shared" si="29"/>
        <v>1229.9139481999998</v>
      </c>
      <c r="AX17" s="13"/>
      <c r="AY17" s="13">
        <f>C17*23.78111/100</f>
        <v>669438.2465</v>
      </c>
      <c r="AZ17" s="13">
        <f t="shared" si="30"/>
        <v>11715.2882193</v>
      </c>
      <c r="BA17" s="13">
        <f t="shared" si="31"/>
        <v>681153.5347193</v>
      </c>
      <c r="BB17" s="28">
        <f t="shared" si="32"/>
        <v>6064.4208611</v>
      </c>
      <c r="BC17" s="28">
        <f t="shared" si="33"/>
        <v>8986.1680357</v>
      </c>
      <c r="BD17" s="28"/>
      <c r="BE17" s="13">
        <f>C17*0.0004/100</f>
        <v>11.26</v>
      </c>
      <c r="BF17" s="13">
        <f t="shared" si="34"/>
        <v>0.197052</v>
      </c>
      <c r="BG17" s="13">
        <f t="shared" si="35"/>
        <v>11.457052</v>
      </c>
      <c r="BH17" s="28">
        <f>BF$6*$F17</f>
        <v>0.102004</v>
      </c>
      <c r="BI17" s="28">
        <f>BF$6*$G17</f>
        <v>0.151148</v>
      </c>
      <c r="BJ17" s="28"/>
      <c r="BK17" s="13">
        <f>C17*0.13664/100</f>
        <v>3846.416</v>
      </c>
      <c r="BL17" s="13">
        <f t="shared" si="38"/>
        <v>67.3129632</v>
      </c>
      <c r="BM17" s="13">
        <f t="shared" si="39"/>
        <v>3913.7289632</v>
      </c>
      <c r="BN17" s="28">
        <f t="shared" si="40"/>
        <v>34.8445664</v>
      </c>
      <c r="BO17" s="28">
        <f t="shared" si="41"/>
        <v>51.632156800000004</v>
      </c>
      <c r="BP17" s="28"/>
      <c r="BQ17" s="13">
        <f>C17*0.87875/100</f>
        <v>24736.8125</v>
      </c>
      <c r="BR17" s="13">
        <f t="shared" si="42"/>
        <v>432.8986125</v>
      </c>
      <c r="BS17" s="13">
        <f t="shared" si="43"/>
        <v>25169.7111125</v>
      </c>
      <c r="BT17" s="28">
        <f t="shared" si="44"/>
        <v>224.0900375</v>
      </c>
      <c r="BU17" s="28">
        <f t="shared" si="45"/>
        <v>332.0532625</v>
      </c>
      <c r="BV17" s="28"/>
      <c r="BW17" s="13">
        <f>C17*0.56757/100</f>
        <v>15977.095500000001</v>
      </c>
      <c r="BX17" s="13">
        <f t="shared" si="46"/>
        <v>279.6020091</v>
      </c>
      <c r="BY17" s="13">
        <f t="shared" si="47"/>
        <v>16256.6975091</v>
      </c>
      <c r="BZ17" s="28">
        <f t="shared" si="48"/>
        <v>144.7360257</v>
      </c>
      <c r="CA17" s="28">
        <f t="shared" si="49"/>
        <v>214.4676759</v>
      </c>
      <c r="CB17" s="13"/>
      <c r="CC17" s="13">
        <f>C17*2.18514/100</f>
        <v>61511.691000000006</v>
      </c>
      <c r="CD17" s="13">
        <f t="shared" si="50"/>
        <v>1076.4655182000001</v>
      </c>
      <c r="CE17" s="13">
        <f t="shared" si="51"/>
        <v>62588.156518200005</v>
      </c>
      <c r="CF17" s="28">
        <f t="shared" si="52"/>
        <v>557.2325514</v>
      </c>
      <c r="CG17" s="28">
        <f t="shared" si="53"/>
        <v>825.6988517999999</v>
      </c>
      <c r="CH17" s="28"/>
      <c r="CI17" s="13">
        <f>C17*0.13916/100</f>
        <v>3917.3540000000003</v>
      </c>
      <c r="CJ17" s="13">
        <f t="shared" si="54"/>
        <v>68.55439080000001</v>
      </c>
      <c r="CK17" s="13">
        <f t="shared" si="55"/>
        <v>3985.9083908000002</v>
      </c>
      <c r="CL17" s="28">
        <f t="shared" si="56"/>
        <v>35.4871916</v>
      </c>
      <c r="CM17" s="28">
        <f t="shared" si="57"/>
        <v>52.5843892</v>
      </c>
      <c r="CN17" s="28"/>
      <c r="CO17" s="13">
        <f>C17*0.37665/100</f>
        <v>10602.6975</v>
      </c>
      <c r="CP17" s="13">
        <f t="shared" si="58"/>
        <v>185.5490895</v>
      </c>
      <c r="CQ17" s="13">
        <f t="shared" si="59"/>
        <v>10788.2465895</v>
      </c>
      <c r="CR17" s="28">
        <f t="shared" si="60"/>
        <v>96.0495165</v>
      </c>
      <c r="CS17" s="28">
        <f t="shared" si="61"/>
        <v>142.3247355</v>
      </c>
      <c r="CT17" s="28"/>
      <c r="CU17" s="13">
        <f>C17*1.58627/100</f>
        <v>44653.500499999995</v>
      </c>
      <c r="CV17" s="13">
        <f t="shared" si="62"/>
        <v>781.4441901</v>
      </c>
      <c r="CW17" s="13">
        <f t="shared" si="63"/>
        <v>45434.9446901</v>
      </c>
      <c r="CX17" s="28">
        <f t="shared" si="64"/>
        <v>404.5147127</v>
      </c>
      <c r="CY17" s="28">
        <f t="shared" si="65"/>
        <v>599.4038449</v>
      </c>
      <c r="CZ17" s="28"/>
      <c r="DA17" s="13">
        <f>C17*0.07178/100</f>
        <v>2020.6069999999997</v>
      </c>
      <c r="DB17" s="13">
        <f t="shared" si="66"/>
        <v>35.3609814</v>
      </c>
      <c r="DC17" s="13">
        <f t="shared" si="67"/>
        <v>2055.9679813999996</v>
      </c>
      <c r="DD17" s="28">
        <f t="shared" si="68"/>
        <v>18.3046178</v>
      </c>
      <c r="DE17" s="28">
        <f t="shared" si="69"/>
        <v>27.1235086</v>
      </c>
      <c r="DF17" s="28"/>
      <c r="DG17" s="13">
        <f>C17*1.01431/100</f>
        <v>28552.8265</v>
      </c>
      <c r="DH17" s="13">
        <f t="shared" si="70"/>
        <v>499.6795353</v>
      </c>
      <c r="DI17" s="13">
        <f t="shared" si="71"/>
        <v>29052.5060353</v>
      </c>
      <c r="DJ17" s="28">
        <f t="shared" si="72"/>
        <v>258.6591931</v>
      </c>
      <c r="DK17" s="28">
        <f t="shared" si="73"/>
        <v>383.2773197</v>
      </c>
      <c r="DL17" s="28"/>
      <c r="DM17" s="13">
        <f>C17*0.48536/100</f>
        <v>13662.884000000002</v>
      </c>
      <c r="DN17" s="28">
        <f t="shared" si="74"/>
        <v>239.10289680000002</v>
      </c>
      <c r="DO17" s="13">
        <f t="shared" si="75"/>
        <v>13901.986896800001</v>
      </c>
      <c r="DP17" s="28">
        <f t="shared" si="76"/>
        <v>123.7716536</v>
      </c>
      <c r="DQ17" s="28">
        <f t="shared" si="77"/>
        <v>183.4029832</v>
      </c>
      <c r="DR17" s="28"/>
      <c r="DS17" s="13">
        <f>C17*0.80603/100</f>
        <v>22689.7445</v>
      </c>
      <c r="DT17" s="13">
        <f t="shared" si="78"/>
        <v>397.07455890000006</v>
      </c>
      <c r="DU17" s="13">
        <f t="shared" si="79"/>
        <v>23086.8190589</v>
      </c>
      <c r="DV17" s="28">
        <f t="shared" si="80"/>
        <v>205.5457103</v>
      </c>
      <c r="DW17" s="28">
        <f t="shared" si="81"/>
        <v>304.5745561</v>
      </c>
      <c r="DX17" s="28"/>
      <c r="DY17" s="13">
        <f>C17*2.45163/100</f>
        <v>69013.3845</v>
      </c>
      <c r="DZ17" s="13">
        <f t="shared" si="82"/>
        <v>1207.7464869000003</v>
      </c>
      <c r="EA17" s="13">
        <f t="shared" si="83"/>
        <v>70221.1309869</v>
      </c>
      <c r="EB17" s="28">
        <f t="shared" si="84"/>
        <v>625.1901663</v>
      </c>
      <c r="EC17" s="28">
        <f t="shared" si="85"/>
        <v>926.3974281000001</v>
      </c>
      <c r="ED17" s="28"/>
      <c r="EE17" s="13">
        <f>C17*0.25443/100</f>
        <v>7162.2045</v>
      </c>
      <c r="EF17" s="13">
        <f t="shared" si="86"/>
        <v>125.3398509</v>
      </c>
      <c r="EG17" s="13">
        <f t="shared" si="87"/>
        <v>7287.5443509</v>
      </c>
      <c r="EH17" s="28">
        <f t="shared" si="88"/>
        <v>64.88219430000001</v>
      </c>
      <c r="EI17" s="28">
        <f t="shared" si="89"/>
        <v>96.14146410000001</v>
      </c>
      <c r="EJ17" s="28"/>
      <c r="EK17" s="13">
        <f>C17*0.12856/100</f>
        <v>3618.9640000000004</v>
      </c>
      <c r="EL17" s="13">
        <f t="shared" si="90"/>
        <v>63.3325128</v>
      </c>
      <c r="EM17" s="13">
        <f t="shared" si="91"/>
        <v>3682.2965128000005</v>
      </c>
      <c r="EN17" s="28">
        <f t="shared" si="92"/>
        <v>32.7840856</v>
      </c>
      <c r="EO17" s="28">
        <f t="shared" si="93"/>
        <v>48.5789672</v>
      </c>
      <c r="EP17" s="28"/>
      <c r="EQ17" s="13">
        <f>C17*0.03415/100</f>
        <v>961.3225</v>
      </c>
      <c r="ER17" s="13">
        <f t="shared" si="94"/>
        <v>16.8233145</v>
      </c>
      <c r="ES17" s="13">
        <f t="shared" si="95"/>
        <v>978.1458145</v>
      </c>
      <c r="ET17" s="28">
        <f t="shared" si="96"/>
        <v>8.7085915</v>
      </c>
      <c r="EU17" s="28">
        <f t="shared" si="97"/>
        <v>12.9042605</v>
      </c>
      <c r="EV17" s="28"/>
      <c r="EW17" s="13">
        <f>C17*1.11619/100</f>
        <v>31420.7485</v>
      </c>
      <c r="EX17" s="13">
        <f t="shared" si="98"/>
        <v>549.8686797</v>
      </c>
      <c r="EY17" s="13">
        <f t="shared" si="99"/>
        <v>31970.617179700002</v>
      </c>
      <c r="EZ17" s="28">
        <f t="shared" si="100"/>
        <v>284.63961190000003</v>
      </c>
      <c r="FA17" s="28">
        <f t="shared" si="101"/>
        <v>421.7747153</v>
      </c>
      <c r="FB17" s="28"/>
      <c r="FC17" s="13">
        <f>C17*4.55599/100</f>
        <v>128251.11850000001</v>
      </c>
      <c r="FD17" s="13">
        <f t="shared" si="102"/>
        <v>2244.4173537</v>
      </c>
      <c r="FE17" s="13">
        <f t="shared" si="103"/>
        <v>130495.53585370001</v>
      </c>
      <c r="FF17" s="28">
        <f t="shared" si="104"/>
        <v>1161.8230099</v>
      </c>
      <c r="FG17" s="28">
        <f t="shared" si="105"/>
        <v>1721.5719413</v>
      </c>
      <c r="FH17" s="28"/>
      <c r="FI17" s="13">
        <f>C17*0.07571/100</f>
        <v>2131.2365</v>
      </c>
      <c r="FJ17" s="13">
        <f t="shared" si="106"/>
        <v>37.2970173</v>
      </c>
      <c r="FK17" s="13">
        <f t="shared" si="107"/>
        <v>2168.5335173</v>
      </c>
      <c r="FL17" s="28">
        <f t="shared" si="108"/>
        <v>19.3068071</v>
      </c>
      <c r="FM17" s="28">
        <f t="shared" si="109"/>
        <v>28.6085377</v>
      </c>
      <c r="FN17" s="28"/>
      <c r="FO17" s="13">
        <f>C17*0.91696/100</f>
        <v>25812.424</v>
      </c>
      <c r="FP17" s="13">
        <f t="shared" si="110"/>
        <v>451.7220048</v>
      </c>
      <c r="FQ17" s="13">
        <f t="shared" si="111"/>
        <v>26264.1460048</v>
      </c>
      <c r="FR17" s="28">
        <f t="shared" si="112"/>
        <v>233.8339696</v>
      </c>
      <c r="FS17" s="28">
        <f t="shared" si="113"/>
        <v>346.4916752</v>
      </c>
      <c r="FT17" s="28"/>
      <c r="FU17" s="13">
        <f>C17*0.38062/100</f>
        <v>10714.453000000001</v>
      </c>
      <c r="FV17" s="13">
        <f t="shared" si="114"/>
        <v>187.50483060000002</v>
      </c>
      <c r="FW17" s="13">
        <f t="shared" si="115"/>
        <v>10901.957830600002</v>
      </c>
      <c r="FX17" s="28">
        <f t="shared" si="116"/>
        <v>97.0619062</v>
      </c>
      <c r="FY17" s="28">
        <f t="shared" si="117"/>
        <v>143.82487940000001</v>
      </c>
      <c r="FZ17" s="28"/>
    </row>
    <row r="18" ht="12.75">
      <c r="AA18" s="28"/>
    </row>
    <row r="19" spans="1:181" ht="13.5" thickBot="1">
      <c r="A19" s="11" t="s">
        <v>0</v>
      </c>
      <c r="C19" s="27">
        <f>SUM(C8:C18)</f>
        <v>2815000</v>
      </c>
      <c r="D19" s="27">
        <f>SUM(D8:D18)</f>
        <v>492630</v>
      </c>
      <c r="E19" s="27">
        <f>SUM(E8:E18)</f>
        <v>3307630</v>
      </c>
      <c r="F19" s="27">
        <f>SUM(F8:F18)</f>
        <v>255010</v>
      </c>
      <c r="G19" s="27">
        <f>SUM(G8:G18)</f>
        <v>377870</v>
      </c>
      <c r="I19" s="27">
        <f>SUM(I8:I18)</f>
        <v>1913640.3780000003</v>
      </c>
      <c r="J19" s="27">
        <f>SUM(J8:J18)</f>
        <v>334890.46515600005</v>
      </c>
      <c r="K19" s="27">
        <f>SUM(K8:K18)</f>
        <v>2248530.8431560006</v>
      </c>
      <c r="L19" s="27">
        <f>SUM(L8:L18)</f>
        <v>173356.10401200005</v>
      </c>
      <c r="M19" s="27">
        <f>SUM(M8:M18)</f>
        <v>256876.47944400003</v>
      </c>
      <c r="O19" s="27">
        <f>SUM(O8:O18)</f>
        <v>224093.42349999998</v>
      </c>
      <c r="P19" s="27">
        <f>SUM(P8:P18)</f>
        <v>39216.747146999995</v>
      </c>
      <c r="Q19" s="27">
        <f>SUM(Q8:Q18)</f>
        <v>263310.17064699996</v>
      </c>
      <c r="R19" s="27">
        <f>SUM(R8:R18)</f>
        <v>20300.555568999993</v>
      </c>
      <c r="S19" s="27">
        <f>SUM(S8:S18)</f>
        <v>30081.059302999998</v>
      </c>
      <c r="U19" s="27">
        <f>SUM(U8:U18)</f>
        <v>249454.8845</v>
      </c>
      <c r="V19" s="27">
        <f>SUM(V8:V18)</f>
        <v>43655.047868999995</v>
      </c>
      <c r="W19" s="27">
        <f>SUM(W8:W18)</f>
        <v>293109.932369</v>
      </c>
      <c r="X19" s="27">
        <f>SUM(X8:X18)</f>
        <v>22598.042663</v>
      </c>
      <c r="Y19" s="27">
        <f>SUM(Y8:Y18)</f>
        <v>33485.44128099999</v>
      </c>
      <c r="AA19" s="27">
        <f>SUM(AA8:AA18)</f>
        <v>92114.9635</v>
      </c>
      <c r="AB19" s="27">
        <f>SUM(AB8:AB18)</f>
        <v>16120.282227000003</v>
      </c>
      <c r="AC19" s="27">
        <f>SUM(AC8:AC18)</f>
        <v>108235.245727</v>
      </c>
      <c r="AD19" s="27">
        <f>SUM(AD8:AD18)</f>
        <v>8344.666728999999</v>
      </c>
      <c r="AE19" s="27">
        <f>SUM(AE8:AE18)</f>
        <v>12365.002222999998</v>
      </c>
      <c r="AG19" s="27">
        <f>SUM(AG8:AG18)</f>
        <v>68816.3345</v>
      </c>
      <c r="AH19" s="27">
        <f>SUM(AH8:AH18)</f>
        <v>12042.980769000003</v>
      </c>
      <c r="AI19" s="27">
        <f>SUM(AI8:AI18)</f>
        <v>80859.315269</v>
      </c>
      <c r="AJ19" s="27">
        <f>SUM(AJ8:AJ18)</f>
        <v>6234.050963</v>
      </c>
      <c r="AK19" s="27">
        <f>SUM(AK8:AK18)</f>
        <v>9237.523380999999</v>
      </c>
      <c r="AL19" s="20"/>
      <c r="AM19" s="27">
        <f>SUM(AM8:AM18)</f>
        <v>6829.471500000001</v>
      </c>
      <c r="AN19" s="27">
        <f>SUM(AN8:AN18)</f>
        <v>1195.169643</v>
      </c>
      <c r="AO19" s="27">
        <f>SUM(AO8:AO18)</f>
        <v>8024.641143000001</v>
      </c>
      <c r="AP19" s="27">
        <f>SUM(AP8:AP18)</f>
        <v>618.679761</v>
      </c>
      <c r="AQ19" s="27">
        <f>SUM(AQ8:AQ18)</f>
        <v>916.7504069999998</v>
      </c>
      <c r="AS19" s="27">
        <f>SUM(AS8:AS18)</f>
        <v>91624.30900000001</v>
      </c>
      <c r="AT19" s="27">
        <f>SUM(AT8:AT18)</f>
        <v>16034.416817999998</v>
      </c>
      <c r="AU19" s="27">
        <f>SUM(AU8:AU18)</f>
        <v>107658.725818</v>
      </c>
      <c r="AV19" s="27">
        <f>SUM(AV8:AV18)</f>
        <v>8300.218485999996</v>
      </c>
      <c r="AW19" s="27">
        <f>SUM(AW8:AW18)</f>
        <v>12299.139481999997</v>
      </c>
      <c r="AX19" s="27"/>
      <c r="AY19" s="27">
        <f>SUM(AY8:AY18)</f>
        <v>669438.2465</v>
      </c>
      <c r="AZ19" s="27">
        <f>SUM(AZ8:AZ18)</f>
        <v>117152.88219299998</v>
      </c>
      <c r="BA19" s="27">
        <f>SUM(BA8:BA18)</f>
        <v>786591.128693</v>
      </c>
      <c r="BB19" s="27">
        <f>SUM(BB8:BB18)</f>
        <v>60644.208611</v>
      </c>
      <c r="BC19" s="27">
        <f>SUM(BC8:BC18)</f>
        <v>89861.680357</v>
      </c>
      <c r="BE19" s="27">
        <f>SUM(BE8:BE18)</f>
        <v>11.26</v>
      </c>
      <c r="BF19" s="27">
        <f>SUM(BF8:BF18)</f>
        <v>1.97052</v>
      </c>
      <c r="BG19" s="27">
        <f>SUM(BG8:BG18)</f>
        <v>13.230519999999999</v>
      </c>
      <c r="BH19" s="27">
        <f>SUM(BH8:BH18)</f>
        <v>1.02004</v>
      </c>
      <c r="BI19" s="27">
        <f>SUM(BI8:BI18)</f>
        <v>1.5114800000000004</v>
      </c>
      <c r="BK19" s="27">
        <f>SUM(BK8:BK18)</f>
        <v>3846.416</v>
      </c>
      <c r="BL19" s="27">
        <f>SUM(BL8:BL18)</f>
        <v>673.129632</v>
      </c>
      <c r="BM19" s="27">
        <f>SUM(BM8:BM18)</f>
        <v>4519.545632</v>
      </c>
      <c r="BN19" s="27">
        <f>SUM(BN8:BN18)</f>
        <v>348.445664</v>
      </c>
      <c r="BO19" s="27">
        <f>SUM(BO8:BO18)</f>
        <v>516.3215680000001</v>
      </c>
      <c r="BQ19" s="27">
        <f>SUM(BQ8:BQ18)</f>
        <v>24736.8125</v>
      </c>
      <c r="BR19" s="27">
        <f>SUM(BR8:BR18)</f>
        <v>4328.986125</v>
      </c>
      <c r="BS19" s="27">
        <f>SUM(BS8:BS18)</f>
        <v>29065.798625000003</v>
      </c>
      <c r="BT19" s="27">
        <f>SUM(BT8:BT18)</f>
        <v>2240.9003750000006</v>
      </c>
      <c r="BU19" s="27">
        <f>SUM(BU8:BU18)</f>
        <v>3320.5326250000003</v>
      </c>
      <c r="BW19" s="27">
        <f>SUM(BW8:BW18)</f>
        <v>15977.095500000001</v>
      </c>
      <c r="BX19" s="27">
        <f>SUM(BX8:BX18)</f>
        <v>2796.020091</v>
      </c>
      <c r="BY19" s="27">
        <f>SUM(BY8:BY18)</f>
        <v>18773.115591</v>
      </c>
      <c r="BZ19" s="27">
        <f>SUM(BZ8:BZ18)</f>
        <v>1447.360257</v>
      </c>
      <c r="CA19" s="27">
        <f>SUM(CA8:CA18)</f>
        <v>2144.6767589999995</v>
      </c>
      <c r="CB19" s="20"/>
      <c r="CC19" s="27">
        <f>SUM(CC8:CC18)</f>
        <v>61511.691000000006</v>
      </c>
      <c r="CD19" s="27">
        <f>SUM(CD8:CD18)</f>
        <v>10764.655182000004</v>
      </c>
      <c r="CE19" s="27">
        <f>SUM(CE8:CE18)</f>
        <v>72276.34618200001</v>
      </c>
      <c r="CF19" s="27">
        <f>SUM(CF8:CF18)</f>
        <v>5572.325514000001</v>
      </c>
      <c r="CG19" s="27">
        <f>SUM(CG8:CG18)</f>
        <v>8256.988518</v>
      </c>
      <c r="CI19" s="27">
        <f>SUM(CI8:CI18)</f>
        <v>3917.3540000000003</v>
      </c>
      <c r="CJ19" s="27">
        <f>SUM(CJ8:CJ18)</f>
        <v>685.543908</v>
      </c>
      <c r="CK19" s="27">
        <f>SUM(CK8:CK18)</f>
        <v>4602.897908</v>
      </c>
      <c r="CL19" s="27">
        <f>SUM(CL8:CL18)</f>
        <v>354.8719160000001</v>
      </c>
      <c r="CM19" s="27">
        <f>SUM(CM8:CM18)</f>
        <v>525.8438919999999</v>
      </c>
      <c r="CO19" s="27">
        <f>SUM(CO8:CO18)</f>
        <v>10602.6975</v>
      </c>
      <c r="CP19" s="27">
        <f>SUM(CP8:CP18)</f>
        <v>1855.4908950000001</v>
      </c>
      <c r="CQ19" s="27">
        <f>SUM(CQ8:CQ18)</f>
        <v>12458.188395000001</v>
      </c>
      <c r="CR19" s="27">
        <f>SUM(CR8:CR18)</f>
        <v>960.4951649999999</v>
      </c>
      <c r="CS19" s="27">
        <f>SUM(CS8:CS18)</f>
        <v>1423.2473550000002</v>
      </c>
      <c r="CU19" s="27">
        <f>SUM(CU8:CU18)</f>
        <v>44653.500499999995</v>
      </c>
      <c r="CV19" s="27">
        <f>SUM(CV8:CV18)</f>
        <v>7814.441901</v>
      </c>
      <c r="CW19" s="27">
        <f>SUM(CW8:CW18)</f>
        <v>52467.942401</v>
      </c>
      <c r="CX19" s="27">
        <f>SUM(CX8:CX18)</f>
        <v>4045.147127</v>
      </c>
      <c r="CY19" s="27">
        <f>SUM(CY8:CY18)</f>
        <v>5994.038449</v>
      </c>
      <c r="DA19" s="27">
        <f>SUM(DA8:DA18)</f>
        <v>2020.6069999999997</v>
      </c>
      <c r="DB19" s="27">
        <f>SUM(DB8:DB18)</f>
        <v>353.6098140000001</v>
      </c>
      <c r="DC19" s="27">
        <f>SUM(DC8:DC18)</f>
        <v>2374.216814</v>
      </c>
      <c r="DD19" s="27">
        <f>SUM(DD8:DD18)</f>
        <v>183.04617799999997</v>
      </c>
      <c r="DE19" s="27">
        <f>SUM(DE8:DE18)</f>
        <v>271.235086</v>
      </c>
      <c r="DG19" s="27">
        <f>SUM(DG8:DG18)</f>
        <v>28552.8265</v>
      </c>
      <c r="DH19" s="27">
        <f>SUM(DH8:DH18)</f>
        <v>4996.795352999999</v>
      </c>
      <c r="DI19" s="27">
        <f>SUM(DI8:DI18)</f>
        <v>33549.621853</v>
      </c>
      <c r="DJ19" s="27">
        <f>SUM(DJ8:DJ18)</f>
        <v>2586.5919309999995</v>
      </c>
      <c r="DK19" s="27">
        <f>SUM(DK8:DK18)</f>
        <v>3832.773197000001</v>
      </c>
      <c r="DM19" s="27">
        <f>SUM(DM8:DM18)</f>
        <v>13662.884000000002</v>
      </c>
      <c r="DN19" s="27">
        <f>SUM(DN8:DN18)</f>
        <v>2391.028968</v>
      </c>
      <c r="DO19" s="27">
        <f>SUM(DO8:DO18)</f>
        <v>16053.912968</v>
      </c>
      <c r="DP19" s="27">
        <f>SUM(DP8:DP18)</f>
        <v>1237.7165360000001</v>
      </c>
      <c r="DQ19" s="27">
        <f>SUM(DQ8:DQ18)</f>
        <v>1834.0298320000002</v>
      </c>
      <c r="DS19" s="27">
        <f>SUM(DS8:DS18)</f>
        <v>22689.7445</v>
      </c>
      <c r="DT19" s="27">
        <f>SUM(DT8:DT18)</f>
        <v>3970.745589</v>
      </c>
      <c r="DU19" s="27">
        <f>SUM(DU8:DU18)</f>
        <v>26660.490089</v>
      </c>
      <c r="DV19" s="27">
        <f>SUM(DV8:DV18)</f>
        <v>2055.4571029999993</v>
      </c>
      <c r="DW19" s="27">
        <f>SUM(DW8:DW18)</f>
        <v>3045.7455609999993</v>
      </c>
      <c r="DY19" s="27">
        <f>SUM(DY8:DY18)</f>
        <v>69013.3845</v>
      </c>
      <c r="DZ19" s="27">
        <f>SUM(DZ8:DZ18)</f>
        <v>12077.464869000001</v>
      </c>
      <c r="EA19" s="27">
        <f>SUM(EA8:EA18)</f>
        <v>81090.849369</v>
      </c>
      <c r="EB19" s="27">
        <f>SUM(EB8:EB18)</f>
        <v>6251.901663</v>
      </c>
      <c r="EC19" s="27">
        <f>SUM(EC8:EC18)</f>
        <v>9263.974281000003</v>
      </c>
      <c r="EE19" s="27">
        <f>SUM(EE8:EE18)</f>
        <v>7162.2045</v>
      </c>
      <c r="EF19" s="27">
        <f>SUM(EF8:EF18)</f>
        <v>1253.398509</v>
      </c>
      <c r="EG19" s="27">
        <f>SUM(EG8:EG18)</f>
        <v>8415.603009</v>
      </c>
      <c r="EH19" s="27">
        <f>SUM(EH8:EH18)</f>
        <v>648.8219430000003</v>
      </c>
      <c r="EI19" s="27">
        <f>SUM(EI8:EI18)</f>
        <v>961.4146410000001</v>
      </c>
      <c r="EK19" s="27">
        <f>SUM(EK8:EK18)</f>
        <v>3618.9640000000004</v>
      </c>
      <c r="EL19" s="27">
        <f>SUM(EL8:EL18)</f>
        <v>633.3251280000001</v>
      </c>
      <c r="EM19" s="27">
        <f>SUM(EM8:EM18)</f>
        <v>4252.289128</v>
      </c>
      <c r="EN19" s="27">
        <f>SUM(EN8:EN18)</f>
        <v>327.84085600000003</v>
      </c>
      <c r="EO19" s="27">
        <f>SUM(EO8:EO18)</f>
        <v>485.7896720000001</v>
      </c>
      <c r="EQ19" s="27">
        <f>SUM(EQ8:EQ18)</f>
        <v>961.3225</v>
      </c>
      <c r="ER19" s="27">
        <f>SUM(ER8:ER18)</f>
        <v>168.233145</v>
      </c>
      <c r="ES19" s="27">
        <f>SUM(ES8:ES18)</f>
        <v>1129.555645</v>
      </c>
      <c r="ET19" s="27">
        <f>SUM(ET8:ET18)</f>
        <v>87.08591499999999</v>
      </c>
      <c r="EU19" s="27">
        <f>SUM(EU8:EU18)</f>
        <v>129.04260499999995</v>
      </c>
      <c r="EW19" s="27">
        <f>SUM(EW8:EW18)</f>
        <v>31420.7485</v>
      </c>
      <c r="EX19" s="27">
        <f>SUM(EX8:EX18)</f>
        <v>5498.686797</v>
      </c>
      <c r="EY19" s="27">
        <f>SUM(EY8:EY18)</f>
        <v>36919.435297</v>
      </c>
      <c r="EZ19" s="27">
        <f>SUM(EZ8:EZ18)</f>
        <v>2846.3961190000005</v>
      </c>
      <c r="FA19" s="27">
        <f>SUM(FA8:FA18)</f>
        <v>4217.747153</v>
      </c>
      <c r="FC19" s="27">
        <f>SUM(FC8:FC18)</f>
        <v>128251.11850000001</v>
      </c>
      <c r="FD19" s="27">
        <f>SUM(FD8:FD18)</f>
        <v>22444.173537</v>
      </c>
      <c r="FE19" s="27">
        <f>SUM(FE8:FE18)</f>
        <v>150695.292037</v>
      </c>
      <c r="FF19" s="27">
        <f>SUM(FF8:FF18)</f>
        <v>11618.230098999999</v>
      </c>
      <c r="FG19" s="27">
        <f>SUM(FG8:FG18)</f>
        <v>17215.719413000003</v>
      </c>
      <c r="FI19" s="27">
        <f>SUM(FI8:FI18)</f>
        <v>2131.2365</v>
      </c>
      <c r="FJ19" s="27">
        <f>SUM(FJ8:FJ18)</f>
        <v>372.970173</v>
      </c>
      <c r="FK19" s="27">
        <f>SUM(FK8:FK18)</f>
        <v>2504.2066729999997</v>
      </c>
      <c r="FL19" s="27">
        <f>SUM(FL8:FL18)</f>
        <v>193.06807100000003</v>
      </c>
      <c r="FM19" s="27">
        <f>SUM(FM8:FM18)</f>
        <v>286.085377</v>
      </c>
      <c r="FO19" s="27">
        <f>SUM(FO8:FO18)</f>
        <v>25812.424</v>
      </c>
      <c r="FP19" s="27">
        <f>SUM(FP8:FP18)</f>
        <v>4517.220048</v>
      </c>
      <c r="FQ19" s="27">
        <f>SUM(FQ8:FQ18)</f>
        <v>30329.644048000002</v>
      </c>
      <c r="FR19" s="27">
        <f>SUM(FR8:FR18)</f>
        <v>2338.339696</v>
      </c>
      <c r="FS19" s="27">
        <f>SUM(FS8:FS18)</f>
        <v>3464.9167519999996</v>
      </c>
      <c r="FU19" s="27">
        <f>SUM(FU8:FU18)</f>
        <v>10714.453000000001</v>
      </c>
      <c r="FV19" s="27">
        <f>SUM(FV8:FV18)</f>
        <v>1875.0483060000006</v>
      </c>
      <c r="FW19" s="27">
        <f>SUM(FW8:FW18)</f>
        <v>12589.501306000002</v>
      </c>
      <c r="FX19" s="27">
        <f>SUM(FX8:FX18)</f>
        <v>970.6190619999998</v>
      </c>
      <c r="FY19" s="27">
        <f>SUM(FY8:FY18)</f>
        <v>1438.2487940000003</v>
      </c>
    </row>
    <row r="20" ht="13.5" thickTop="1"/>
    <row r="31" spans="1:7" ht="12.75">
      <c r="A31"/>
      <c r="C31"/>
      <c r="D31"/>
      <c r="E31"/>
      <c r="F31"/>
      <c r="G31"/>
    </row>
    <row r="32" spans="1:7" ht="12.75">
      <c r="A32"/>
      <c r="C32"/>
      <c r="D32"/>
      <c r="E32"/>
      <c r="F32"/>
      <c r="G32"/>
    </row>
    <row r="33" spans="1:18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</row>
    <row r="34" spans="1:18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</row>
    <row r="35" spans="1:18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</row>
    <row r="36" spans="1:18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</row>
    <row r="37" spans="1:18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</row>
    <row r="38" spans="1:18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</row>
    <row r="39" spans="1:18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</row>
    <row r="40" spans="1:18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</row>
    <row r="41" spans="1:18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</row>
    <row r="42" spans="1:18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</row>
    <row r="43" spans="1:18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</row>
    <row r="44" spans="1:18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</row>
    <row r="45" spans="1:18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</row>
    <row r="46" spans="1:18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</row>
    <row r="47" spans="1:18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</row>
    <row r="48" spans="1:18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</row>
    <row r="49" spans="1:18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1:18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1:18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  <row r="56" spans="1:18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</row>
    <row r="57" spans="1:18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</row>
    <row r="58" spans="8:182" ht="12.75"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</row>
    <row r="59" spans="8:182" ht="12.75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</sheetData>
  <sheetProtection/>
  <printOptions/>
  <pageMargins left="0.75" right="0.75" top="1" bottom="1" header="0.5" footer="0.5"/>
  <pageSetup orientation="landscape" scale="68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J38"/>
  <sheetViews>
    <sheetView zoomScale="144" zoomScaleNormal="144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1" sqref="E21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8.8515625" style="0" customWidth="1"/>
    <col min="7" max="10" width="13.7109375" style="0" customWidth="1"/>
  </cols>
  <sheetData>
    <row r="6" spans="1:10" ht="12.75">
      <c r="A6" s="4" t="s">
        <v>1</v>
      </c>
      <c r="B6" s="15" t="s">
        <v>33</v>
      </c>
      <c r="C6" s="16"/>
      <c r="D6" s="17"/>
      <c r="E6" s="19"/>
      <c r="G6" s="40" t="s">
        <v>57</v>
      </c>
      <c r="H6" s="16"/>
      <c r="I6" s="17"/>
      <c r="J6" s="19"/>
    </row>
    <row r="7" spans="1:10" ht="12.75">
      <c r="A7" s="24" t="s">
        <v>2</v>
      </c>
      <c r="B7" s="18"/>
      <c r="C7" s="31">
        <v>0.0024261</v>
      </c>
      <c r="D7" s="17"/>
      <c r="E7" s="19" t="s">
        <v>55</v>
      </c>
      <c r="G7" s="18"/>
      <c r="H7" s="31"/>
      <c r="I7" s="17"/>
      <c r="J7" s="19" t="s">
        <v>55</v>
      </c>
    </row>
    <row r="8" spans="1:10" ht="12.75">
      <c r="A8" s="8"/>
      <c r="B8" s="19" t="s">
        <v>3</v>
      </c>
      <c r="C8" s="19" t="s">
        <v>4</v>
      </c>
      <c r="D8" s="19" t="s">
        <v>0</v>
      </c>
      <c r="E8" s="19" t="s">
        <v>56</v>
      </c>
      <c r="G8" s="19" t="s">
        <v>3</v>
      </c>
      <c r="H8" s="19" t="s">
        <v>4</v>
      </c>
      <c r="I8" s="19" t="s">
        <v>0</v>
      </c>
      <c r="J8" s="19" t="s">
        <v>56</v>
      </c>
    </row>
    <row r="9" spans="1:10" ht="12.75">
      <c r="A9" s="2">
        <v>40452</v>
      </c>
      <c r="B9" s="13"/>
      <c r="C9" s="13">
        <v>1671.2796375</v>
      </c>
      <c r="D9" s="13">
        <v>1671.2796375</v>
      </c>
      <c r="E9" s="13">
        <v>29</v>
      </c>
      <c r="G9" s="13"/>
      <c r="H9" s="13">
        <v>1671.2796375</v>
      </c>
      <c r="I9" s="13">
        <v>1671.2796375</v>
      </c>
      <c r="J9" s="13">
        <v>29</v>
      </c>
    </row>
    <row r="10" spans="1:10" ht="12.75">
      <c r="A10" s="2">
        <v>40634</v>
      </c>
      <c r="B10" s="13">
        <v>3542.1059999999998</v>
      </c>
      <c r="C10" s="13">
        <v>1671.2796375</v>
      </c>
      <c r="D10" s="13">
        <v>5213.3856375</v>
      </c>
      <c r="E10" s="13">
        <v>29</v>
      </c>
      <c r="G10" s="13">
        <v>3542.1059999999998</v>
      </c>
      <c r="H10" s="13">
        <v>1671.2796375</v>
      </c>
      <c r="I10" s="13">
        <v>5213.3856375</v>
      </c>
      <c r="J10" s="13">
        <v>29</v>
      </c>
    </row>
    <row r="11" spans="1:10" ht="12.75">
      <c r="A11" s="2">
        <v>40817</v>
      </c>
      <c r="B11" s="13"/>
      <c r="C11" s="13">
        <v>1591.5822524999999</v>
      </c>
      <c r="D11" s="13">
        <v>1591.5822524999999</v>
      </c>
      <c r="E11" s="13">
        <v>29</v>
      </c>
      <c r="G11" s="13"/>
      <c r="H11" s="13">
        <v>1591.5822524999999</v>
      </c>
      <c r="I11" s="13">
        <v>1591.5822524999999</v>
      </c>
      <c r="J11" s="13">
        <v>29</v>
      </c>
    </row>
    <row r="12" spans="1:10" ht="12.75">
      <c r="A12" s="2">
        <v>41000</v>
      </c>
      <c r="B12" s="13">
        <v>3699.8025</v>
      </c>
      <c r="C12" s="13">
        <v>1591.5822524999999</v>
      </c>
      <c r="D12" s="13">
        <v>5291.3847525</v>
      </c>
      <c r="E12" s="13">
        <v>29</v>
      </c>
      <c r="G12" s="13">
        <v>3699.8025</v>
      </c>
      <c r="H12" s="13">
        <v>1591.5822524999999</v>
      </c>
      <c r="I12" s="13">
        <v>5291.3847525</v>
      </c>
      <c r="J12" s="13">
        <v>29</v>
      </c>
    </row>
    <row r="13" spans="1:10" ht="12.75">
      <c r="A13" s="2">
        <v>41183</v>
      </c>
      <c r="B13" s="13"/>
      <c r="C13" s="13">
        <v>1508.3379092999999</v>
      </c>
      <c r="D13" s="13">
        <v>1508.3379092999999</v>
      </c>
      <c r="E13" s="13">
        <v>29</v>
      </c>
      <c r="G13" s="13"/>
      <c r="H13" s="13">
        <v>1508.3379092999999</v>
      </c>
      <c r="I13" s="13">
        <v>1508.3379092999999</v>
      </c>
      <c r="J13" s="13">
        <v>29</v>
      </c>
    </row>
    <row r="14" spans="1:10" ht="12.75">
      <c r="A14" s="2">
        <v>41365</v>
      </c>
      <c r="B14" s="13">
        <v>3869.6295</v>
      </c>
      <c r="C14" s="13">
        <v>1508.3379092999999</v>
      </c>
      <c r="D14" s="13">
        <v>5377.967409299999</v>
      </c>
      <c r="E14" s="13">
        <v>29</v>
      </c>
      <c r="G14" s="13">
        <v>3869.6295</v>
      </c>
      <c r="H14" s="13">
        <v>1508.3379092999999</v>
      </c>
      <c r="I14" s="13">
        <v>5377.967409299999</v>
      </c>
      <c r="J14" s="13">
        <v>29</v>
      </c>
    </row>
    <row r="15" spans="1:10" ht="12.75">
      <c r="A15" s="2">
        <v>41548</v>
      </c>
      <c r="B15" s="13"/>
      <c r="C15" s="13">
        <v>1421.2700325</v>
      </c>
      <c r="D15" s="13">
        <v>1421.2700325</v>
      </c>
      <c r="E15" s="13">
        <v>29</v>
      </c>
      <c r="G15" s="13"/>
      <c r="H15" s="13">
        <v>1421.2700325</v>
      </c>
      <c r="I15" s="13">
        <v>1421.2700325</v>
      </c>
      <c r="J15" s="13">
        <v>29</v>
      </c>
    </row>
    <row r="16" spans="1:10" ht="12.75">
      <c r="A16" s="2">
        <v>41730</v>
      </c>
      <c r="B16" s="13">
        <v>4051.587</v>
      </c>
      <c r="C16" s="13">
        <v>1421.2700325</v>
      </c>
      <c r="D16" s="13">
        <v>5472.8570325</v>
      </c>
      <c r="E16" s="13">
        <v>29</v>
      </c>
      <c r="G16" s="13">
        <v>4051.587</v>
      </c>
      <c r="H16" s="13">
        <v>1421.2700325</v>
      </c>
      <c r="I16" s="13">
        <v>5472.8570325</v>
      </c>
      <c r="J16" s="13">
        <v>29</v>
      </c>
    </row>
    <row r="17" spans="1:10" ht="12.75">
      <c r="A17" s="2">
        <v>41913</v>
      </c>
      <c r="B17" s="13"/>
      <c r="C17" s="13">
        <v>1330.109325</v>
      </c>
      <c r="D17" s="13">
        <v>1330.109325</v>
      </c>
      <c r="E17" s="13">
        <v>29</v>
      </c>
      <c r="G17" s="13"/>
      <c r="H17" s="13">
        <v>1330.109325</v>
      </c>
      <c r="I17" s="13">
        <v>1330.109325</v>
      </c>
      <c r="J17" s="13">
        <v>29</v>
      </c>
    </row>
    <row r="18" spans="1:10" ht="12.75">
      <c r="A18" s="2">
        <v>42095</v>
      </c>
      <c r="B18" s="13">
        <v>4233.5445</v>
      </c>
      <c r="C18" s="13">
        <v>1330.109325</v>
      </c>
      <c r="D18" s="13">
        <v>5563.653824999999</v>
      </c>
      <c r="E18" s="13">
        <v>29</v>
      </c>
      <c r="G18" s="13">
        <v>4233.5445</v>
      </c>
      <c r="H18" s="13">
        <v>1330.109325</v>
      </c>
      <c r="I18" s="13">
        <v>5563.653824999999</v>
      </c>
      <c r="J18" s="13">
        <v>29</v>
      </c>
    </row>
    <row r="19" spans="1:10" ht="12.75">
      <c r="A19" s="2">
        <v>42278</v>
      </c>
      <c r="B19" s="13"/>
      <c r="C19" s="13">
        <v>1224.2707125</v>
      </c>
      <c r="D19" s="13">
        <v>1224.2707125</v>
      </c>
      <c r="E19" s="13">
        <v>29</v>
      </c>
      <c r="G19" s="13"/>
      <c r="H19" s="13">
        <v>1224.2707125</v>
      </c>
      <c r="I19" s="13">
        <v>1224.2707125</v>
      </c>
      <c r="J19" s="13">
        <v>29</v>
      </c>
    </row>
    <row r="20" spans="1:10" ht="12.75">
      <c r="A20" s="2">
        <v>42461</v>
      </c>
      <c r="B20" s="13">
        <v>4439.763</v>
      </c>
      <c r="C20" s="13">
        <v>1224.2707125</v>
      </c>
      <c r="D20" s="13">
        <v>5664.0337125</v>
      </c>
      <c r="E20" s="13">
        <v>29</v>
      </c>
      <c r="G20" s="13">
        <v>4439.763</v>
      </c>
      <c r="H20" s="13">
        <v>1224.2707125</v>
      </c>
      <c r="I20" s="13">
        <v>5664.0337125</v>
      </c>
      <c r="J20" s="13">
        <v>29</v>
      </c>
    </row>
    <row r="21" spans="1:10" ht="12.75">
      <c r="A21" s="2">
        <v>42644</v>
      </c>
      <c r="B21" s="13"/>
      <c r="C21" s="13">
        <v>1113.2766374999999</v>
      </c>
      <c r="D21" s="13">
        <v>1113.2766374999999</v>
      </c>
      <c r="E21" s="13">
        <v>29</v>
      </c>
      <c r="G21" s="13"/>
      <c r="H21" s="13">
        <v>1113.2766374999999</v>
      </c>
      <c r="I21" s="13">
        <v>1113.2766374999999</v>
      </c>
      <c r="J21" s="13">
        <v>29</v>
      </c>
    </row>
    <row r="22" spans="1:10" ht="12.75">
      <c r="A22" s="2">
        <v>42826</v>
      </c>
      <c r="B22" s="13">
        <v>4658.112</v>
      </c>
      <c r="C22" s="13">
        <v>1113.2766374999999</v>
      </c>
      <c r="D22" s="13">
        <v>5771.3886375</v>
      </c>
      <c r="E22" s="13">
        <v>29</v>
      </c>
      <c r="G22" s="13">
        <v>4658.112</v>
      </c>
      <c r="H22" s="13">
        <v>1113.2766374999999</v>
      </c>
      <c r="I22" s="13">
        <v>5771.3886375</v>
      </c>
      <c r="J22" s="13">
        <v>29</v>
      </c>
    </row>
    <row r="23" spans="1:10" ht="12.75">
      <c r="A23" s="2">
        <v>43009</v>
      </c>
      <c r="B23" s="13"/>
      <c r="C23" s="13">
        <v>996.8238375</v>
      </c>
      <c r="D23" s="13">
        <v>996.8238375</v>
      </c>
      <c r="E23" s="13">
        <v>29</v>
      </c>
      <c r="G23" s="13"/>
      <c r="H23" s="13">
        <v>996.8238375</v>
      </c>
      <c r="I23" s="13">
        <v>996.8238375</v>
      </c>
      <c r="J23" s="13">
        <v>29</v>
      </c>
    </row>
    <row r="24" spans="1:10" ht="12.75">
      <c r="A24" s="29">
        <v>43191</v>
      </c>
      <c r="B24" s="13">
        <v>4900.722</v>
      </c>
      <c r="C24" s="13">
        <v>996.8238375</v>
      </c>
      <c r="D24" s="13">
        <v>5897.5458375</v>
      </c>
      <c r="E24" s="13">
        <v>29</v>
      </c>
      <c r="G24" s="13">
        <v>4900.722</v>
      </c>
      <c r="H24" s="13">
        <v>996.8238375</v>
      </c>
      <c r="I24" s="13">
        <v>5897.5458375</v>
      </c>
      <c r="J24" s="13">
        <v>29</v>
      </c>
    </row>
    <row r="25" spans="1:10" ht="12.75">
      <c r="A25" s="29">
        <v>43374</v>
      </c>
      <c r="B25" s="13"/>
      <c r="C25" s="13">
        <v>874.3057875</v>
      </c>
      <c r="D25" s="13">
        <v>874.3057875</v>
      </c>
      <c r="E25" s="13">
        <v>29</v>
      </c>
      <c r="G25" s="13"/>
      <c r="H25" s="13">
        <v>874.3057875</v>
      </c>
      <c r="I25" s="13">
        <v>874.3057875</v>
      </c>
      <c r="J25" s="13">
        <v>29</v>
      </c>
    </row>
    <row r="26" spans="1:10" ht="12.75">
      <c r="A26" s="29">
        <v>43556</v>
      </c>
      <c r="B26" s="13">
        <v>5143.332</v>
      </c>
      <c r="C26" s="13">
        <v>874.3057875</v>
      </c>
      <c r="D26" s="13">
        <v>6017.6377875</v>
      </c>
      <c r="E26" s="13">
        <v>29</v>
      </c>
      <c r="G26" s="13">
        <v>5143.332</v>
      </c>
      <c r="H26" s="13">
        <v>874.3057875</v>
      </c>
      <c r="I26" s="13">
        <v>6017.6377875</v>
      </c>
      <c r="J26" s="13">
        <v>29</v>
      </c>
    </row>
    <row r="27" spans="1:10" ht="12.75">
      <c r="A27" s="29">
        <v>43739</v>
      </c>
      <c r="B27" s="13"/>
      <c r="C27" s="13">
        <v>745.7224874999999</v>
      </c>
      <c r="D27" s="13">
        <v>745.7224874999999</v>
      </c>
      <c r="E27" s="13">
        <v>29</v>
      </c>
      <c r="G27" s="13"/>
      <c r="H27" s="13">
        <v>745.7224874999999</v>
      </c>
      <c r="I27" s="13">
        <v>745.7224874999999</v>
      </c>
      <c r="J27" s="13">
        <v>29</v>
      </c>
    </row>
    <row r="28" spans="1:10" ht="12.75">
      <c r="A28" s="29">
        <v>43922</v>
      </c>
      <c r="B28" s="13">
        <v>5398.0725</v>
      </c>
      <c r="C28" s="13">
        <v>745.7224874999999</v>
      </c>
      <c r="D28" s="13">
        <v>6143.7949875</v>
      </c>
      <c r="E28" s="13">
        <v>29</v>
      </c>
      <c r="G28" s="13">
        <v>5398.0725</v>
      </c>
      <c r="H28" s="13">
        <v>745.7224874999999</v>
      </c>
      <c r="I28" s="13">
        <v>6143.7949875</v>
      </c>
      <c r="J28" s="13">
        <v>29</v>
      </c>
    </row>
    <row r="29" spans="1:10" ht="12.75">
      <c r="A29" s="29">
        <v>44105</v>
      </c>
      <c r="B29" s="13"/>
      <c r="C29" s="13">
        <v>610.770675</v>
      </c>
      <c r="D29" s="13">
        <v>610.770675</v>
      </c>
      <c r="E29" s="13">
        <v>29</v>
      </c>
      <c r="G29" s="13"/>
      <c r="H29" s="13">
        <v>610.770675</v>
      </c>
      <c r="I29" s="13">
        <v>610.770675</v>
      </c>
      <c r="J29" s="13">
        <v>29</v>
      </c>
    </row>
    <row r="30" spans="1:10" ht="12.75">
      <c r="A30" s="29">
        <v>44287</v>
      </c>
      <c r="B30" s="13">
        <v>5664.943499999999</v>
      </c>
      <c r="C30" s="13">
        <v>610.770675</v>
      </c>
      <c r="D30" s="13">
        <v>6275.714174999999</v>
      </c>
      <c r="E30" s="13">
        <v>29</v>
      </c>
      <c r="G30" s="13">
        <v>5664.943499999999</v>
      </c>
      <c r="H30" s="13">
        <v>610.770675</v>
      </c>
      <c r="I30" s="13">
        <v>6275.714174999999</v>
      </c>
      <c r="J30" s="13">
        <v>29</v>
      </c>
    </row>
    <row r="31" spans="1:10" ht="12.75">
      <c r="A31" s="29">
        <v>44470</v>
      </c>
      <c r="B31" s="13"/>
      <c r="C31" s="13">
        <v>469.1470875</v>
      </c>
      <c r="D31" s="13">
        <v>469.1470875</v>
      </c>
      <c r="E31" s="13">
        <v>29</v>
      </c>
      <c r="G31" s="13"/>
      <c r="H31" s="13">
        <v>469.1470875</v>
      </c>
      <c r="I31" s="13">
        <v>469.1470875</v>
      </c>
      <c r="J31" s="13">
        <v>29</v>
      </c>
    </row>
    <row r="32" spans="1:10" ht="12.75">
      <c r="A32" s="29">
        <v>44652</v>
      </c>
      <c r="B32" s="13">
        <v>5956.075499999999</v>
      </c>
      <c r="C32" s="13">
        <v>469.1470875</v>
      </c>
      <c r="D32" s="13">
        <v>6425.222587499999</v>
      </c>
      <c r="E32" s="13">
        <v>29</v>
      </c>
      <c r="G32" s="13">
        <v>5956.075499999999</v>
      </c>
      <c r="H32" s="13">
        <v>469.1470875</v>
      </c>
      <c r="I32" s="13">
        <v>6425.222587499999</v>
      </c>
      <c r="J32" s="13">
        <v>29</v>
      </c>
    </row>
    <row r="33" spans="1:10" ht="12.75">
      <c r="A33" s="29">
        <v>44835</v>
      </c>
      <c r="B33" s="13"/>
      <c r="C33" s="13">
        <v>320.2452</v>
      </c>
      <c r="D33" s="13">
        <v>320.2452</v>
      </c>
      <c r="E33" s="13">
        <v>29</v>
      </c>
      <c r="G33" s="13"/>
      <c r="H33" s="13">
        <v>320.2452</v>
      </c>
      <c r="I33" s="13">
        <v>320.2452</v>
      </c>
      <c r="J33" s="13">
        <v>29</v>
      </c>
    </row>
    <row r="34" spans="1:10" ht="12.75">
      <c r="A34" s="29">
        <v>45017</v>
      </c>
      <c r="B34" s="13">
        <v>6247.2075</v>
      </c>
      <c r="C34" s="13">
        <v>320.2452</v>
      </c>
      <c r="D34" s="13">
        <v>6567.452700000001</v>
      </c>
      <c r="E34" s="13">
        <v>29</v>
      </c>
      <c r="G34" s="13">
        <v>6247.2075</v>
      </c>
      <c r="H34" s="13">
        <v>320.2452</v>
      </c>
      <c r="I34" s="13">
        <v>6567.452700000001</v>
      </c>
      <c r="J34" s="13">
        <v>29</v>
      </c>
    </row>
    <row r="35" spans="1:10" ht="12.75">
      <c r="A35" s="29">
        <v>45200</v>
      </c>
      <c r="B35" s="13"/>
      <c r="C35" s="13">
        <v>164.06501250000002</v>
      </c>
      <c r="D35" s="13">
        <v>164.06501250000002</v>
      </c>
      <c r="E35" s="13">
        <v>29</v>
      </c>
      <c r="G35" s="13"/>
      <c r="H35" s="13">
        <v>164.06501250000002</v>
      </c>
      <c r="I35" s="13">
        <v>164.06501250000002</v>
      </c>
      <c r="J35" s="13">
        <v>29</v>
      </c>
    </row>
    <row r="36" spans="1:10" ht="12.75">
      <c r="A36" s="29">
        <v>45383</v>
      </c>
      <c r="B36" s="13">
        <v>6562.6005</v>
      </c>
      <c r="C36" s="13">
        <v>164.06501250000002</v>
      </c>
      <c r="D36" s="13">
        <v>6726.6655125</v>
      </c>
      <c r="E36" s="13">
        <v>19</v>
      </c>
      <c r="G36" s="13">
        <v>6562.6005</v>
      </c>
      <c r="H36" s="13">
        <v>164.06501250000002</v>
      </c>
      <c r="I36" s="13">
        <v>6726.6655125</v>
      </c>
      <c r="J36" s="13">
        <v>19</v>
      </c>
    </row>
    <row r="37" spans="1:10" ht="12.75">
      <c r="A37" s="2"/>
      <c r="B37" s="13"/>
      <c r="C37" s="13"/>
      <c r="D37" s="13"/>
      <c r="E37" s="13"/>
      <c r="G37" s="13"/>
      <c r="H37" s="13"/>
      <c r="I37" s="13"/>
      <c r="J37" s="13"/>
    </row>
    <row r="38" spans="1:10" ht="13.5" thickBot="1">
      <c r="A38" s="11" t="s">
        <v>0</v>
      </c>
      <c r="B38" s="27">
        <v>68367.498</v>
      </c>
      <c r="C38" s="27">
        <v>28082.413188600003</v>
      </c>
      <c r="D38" s="27">
        <v>96449.9111886</v>
      </c>
      <c r="E38" s="27">
        <v>802</v>
      </c>
      <c r="G38" s="27">
        <f>SUM(G9:G37)</f>
        <v>68367.498</v>
      </c>
      <c r="H38" s="27">
        <f>SUM(H9:H37)</f>
        <v>28082.413188600003</v>
      </c>
      <c r="I38" s="27">
        <f>SUM(I9:I37)</f>
        <v>96449.9111886</v>
      </c>
      <c r="J38" s="27">
        <f>SUM(J9:J37)</f>
        <v>802</v>
      </c>
    </row>
    <row r="39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2020-01-15T16:00:05Z</cp:lastPrinted>
  <dcterms:created xsi:type="dcterms:W3CDTF">1998-02-23T20:58:01Z</dcterms:created>
  <dcterms:modified xsi:type="dcterms:W3CDTF">2020-01-15T16:00:26Z</dcterms:modified>
  <cp:category/>
  <cp:version/>
  <cp:contentType/>
  <cp:contentStatus/>
</cp:coreProperties>
</file>