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0(D&amp;E)" sheetId="1" r:id="rId1"/>
    <sheet name="Academic Project " sheetId="2" r:id="rId2"/>
    <sheet name="2019C" sheetId="3" r:id="rId3"/>
    <sheet name="2019C Academic" sheetId="4" r:id="rId4"/>
    <sheet name="Percentage - Final" sheetId="5" r:id="rId5"/>
    <sheet name="Percentage-090111" sheetId="6" r:id="rId6"/>
  </sheets>
  <definedNames>
    <definedName name="_xlnm.Print_Area" localSheetId="4">'Percentage - Final'!$A$1:$R$65</definedName>
    <definedName name="_xlnm.Print_Titles" localSheetId="0">'2010(D&amp;E)'!$A:$A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<sst xmlns="http://schemas.openxmlformats.org/spreadsheetml/2006/main" count="1350" uniqueCount="183">
  <si>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</si>
  <si>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</si>
  <si>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</si>
  <si>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</si>
  <si>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</si>
  <si>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</si>
  <si>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</si>
  <si>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</si>
  <si>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</si>
  <si>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</si>
  <si>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</si>
  <si>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</si>
  <si>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</si>
  <si>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</si>
  <si>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</si>
  <si>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</si>
  <si>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</si>
  <si>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</si>
  <si>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</si>
  <si>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</si>
  <si>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</si>
  <si>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</si>
  <si>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</si>
  <si>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</si>
  <si>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</si>
  <si>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</si>
  <si>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</si>
  <si>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</si>
  <si>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</si>
  <si>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</si>
  <si>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</si>
  <si>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</si>
  <si>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</si>
  <si>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</si>
  <si>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</si>
  <si>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</si>
  <si>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</si>
  <si>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</si>
  <si>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</si>
  <si>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</si>
  <si>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</si>
  <si>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</si>
  <si>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</si>
  <si>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</si>
  <si>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</si>
  <si>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</si>
  <si>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</si>
  <si>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</si>
  <si>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</si>
  <si>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</si>
  <si>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</si>
  <si>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</si>
  <si>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</si>
  <si>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</si>
  <si>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</si>
  <si>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</si>
  <si>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</si>
  <si>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</si>
  <si>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</si>
  <si>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</si>
  <si>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</si>
  <si>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</si>
  <si>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</si>
  <si>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</si>
  <si>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</si>
  <si>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</si>
  <si>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</si>
  <si>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</si>
  <si>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</si>
  <si>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</si>
  <si>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</si>
  <si>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</si>
  <si>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</si>
  <si>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</si>
  <si>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</si>
  <si>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</si>
  <si>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</si>
  <si>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</si>
  <si>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</si>
  <si>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</si>
  <si>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</si>
  <si>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</si>
  <si>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</si>
  <si>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</si>
  <si>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</si>
  <si>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</si>
  <si>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</si>
  <si>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</si>
  <si>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</si>
  <si>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</si>
  <si>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</si>
  <si>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</si>
  <si>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</si>
  <si>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</si>
  <si>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</si>
  <si>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</si>
  <si>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</si>
  <si>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</si>
  <si>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</si>
  <si>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</si>
  <si>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</si>
  <si>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</si>
  <si>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</si>
  <si>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</si>
  <si>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</si>
  <si>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</si>
  <si>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</si>
  <si>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</si>
  <si>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</si>
  <si>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</si>
  <si>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</si>
  <si>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</si>
  <si>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</si>
  <si>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</si>
  <si>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</si>
  <si>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</si>
  <si>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</si>
  <si>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</si>
  <si>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</si>
  <si>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</si>
  <si>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</si>
  <si>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</si>
  <si>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</si>
  <si>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</si>
  <si>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</si>
  <si>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</si>
  <si>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</si>
  <si>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</si>
  <si>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</si>
  <si>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</si>
  <si>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</si>
  <si>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</si>
  <si>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</si>
  <si>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</si>
  <si>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</si>
  <si>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</si>
  <si>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</si>
  <si>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</si>
  <si>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</si>
  <si>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</si>
  <si>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</si>
  <si>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</si>
  <si>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</si>
  <si>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</si>
  <si>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</si>
  <si>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</si>
  <si>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</si>
  <si>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</si>
  <si>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</si>
  <si>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</si>
  <si>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</si>
  <si>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</si>
  <si>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</si>
  <si>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</si>
  <si>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</si>
  <si>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</si>
  <si>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</si>
  <si>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</si>
  <si>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</si>
  <si>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</si>
  <si>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</si>
  <si>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</si>
  <si>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</si>
  <si>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</si>
  <si>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</si>
  <si>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</si>
  <si>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</si>
  <si>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</si>
  <si>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</si>
  <si>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</si>
  <si>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</si>
  <si>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</si>
  <si>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</si>
  <si>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</si>
  <si>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</si>
  <si>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</si>
  <si>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</si>
  <si>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</si>
  <si>
    <t>After 2019 C</t>
  </si>
  <si>
    <t>2010 Series D &amp; 2010 Series E Bond Funded Projects After 2019C</t>
  </si>
  <si>
    <t>2010 Series D &amp; 2010 Series E Bond Funded Projects Refinanced on  2019C</t>
  </si>
  <si>
    <t>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</si>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</sst>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right"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561"/>
  <sheetViews>
    <sheetView tabSelected="1" zoomScale="150" zoomScaleNormal="15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6" sqref="F26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6" customWidth="1"/>
    <col min="58" max="61" width="13.7109375" style="0" customWidth="1"/>
    <col min="62" max="62" width="3.7109375" style="0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2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  <col min="138" max="141" width="13.7109375" style="6" customWidth="1"/>
    <col min="142" max="142" width="3.7109375" style="6" customWidth="1"/>
    <col min="143" max="146" width="13.7109375" style="6" customWidth="1"/>
    <col min="147" max="147" width="3.7109375" style="6" customWidth="1"/>
    <col min="148" max="151" width="13.7109375" style="6" customWidth="1"/>
    <col min="152" max="152" width="3.7109375" style="6" customWidth="1"/>
    <col min="153" max="156" width="13.7109375" style="6" customWidth="1"/>
    <col min="157" max="157" width="3.7109375" style="6" customWidth="1"/>
    <col min="158" max="160" width="13.7109375" style="6" customWidth="1"/>
    <col min="161" max="161" width="3.7109375" style="0" customWidth="1"/>
  </cols>
  <sheetData>
    <row r="1" spans="1:153" ht="12.75">
      <c r="A1" s="1"/>
      <c r="B1" s="2"/>
      <c r="C1" s="4" t="s">
        <v>98</v>
      </c>
      <c r="D1" s="4"/>
      <c r="H1" s="4"/>
      <c r="M1" s="4" t="s">
        <v>98</v>
      </c>
      <c r="AB1" s="4" t="s">
        <v>98</v>
      </c>
      <c r="AQ1" s="4" t="s">
        <v>98</v>
      </c>
      <c r="BK1" s="4" t="s">
        <v>98</v>
      </c>
      <c r="BP1" s="4"/>
      <c r="BU1" s="4"/>
      <c r="BZ1" s="4" t="s">
        <v>98</v>
      </c>
      <c r="CT1" s="4" t="s">
        <v>98</v>
      </c>
      <c r="DI1" s="4" t="s">
        <v>98</v>
      </c>
      <c r="DX1" s="4" t="s">
        <v>98</v>
      </c>
      <c r="EH1" s="4"/>
      <c r="EW1" s="4" t="s">
        <v>98</v>
      </c>
    </row>
    <row r="2" spans="1:153" ht="12.75">
      <c r="A2" s="1"/>
      <c r="B2" s="2"/>
      <c r="C2" s="4" t="s">
        <v>99</v>
      </c>
      <c r="D2" s="4"/>
      <c r="H2" s="4"/>
      <c r="M2" s="4" t="s">
        <v>99</v>
      </c>
      <c r="AB2" s="4" t="s">
        <v>99</v>
      </c>
      <c r="AQ2" s="4" t="s">
        <v>99</v>
      </c>
      <c r="BK2" s="4" t="s">
        <v>99</v>
      </c>
      <c r="BP2" s="4"/>
      <c r="BU2" s="4"/>
      <c r="BZ2" s="4" t="s">
        <v>99</v>
      </c>
      <c r="CT2" s="4" t="s">
        <v>99</v>
      </c>
      <c r="DI2" s="4" t="s">
        <v>99</v>
      </c>
      <c r="DX2" s="4" t="s">
        <v>99</v>
      </c>
      <c r="EH2" s="4"/>
      <c r="EW2" s="4" t="s">
        <v>99</v>
      </c>
    </row>
    <row r="3" spans="1:153" ht="12.75">
      <c r="A3" s="1"/>
      <c r="B3" s="2"/>
      <c r="C3" s="4" t="s">
        <v>179</v>
      </c>
      <c r="D3" s="7"/>
      <c r="H3" s="4"/>
      <c r="M3" s="4" t="s">
        <v>116</v>
      </c>
      <c r="N3" s="8"/>
      <c r="AB3" s="4" t="s">
        <v>116</v>
      </c>
      <c r="AQ3" s="4" t="s">
        <v>116</v>
      </c>
      <c r="BK3" s="4" t="s">
        <v>116</v>
      </c>
      <c r="BP3" s="4"/>
      <c r="BU3" s="4"/>
      <c r="BZ3" s="4" t="s">
        <v>116</v>
      </c>
      <c r="CT3" s="4" t="s">
        <v>116</v>
      </c>
      <c r="DI3" s="4" t="s">
        <v>116</v>
      </c>
      <c r="DX3" s="4" t="s">
        <v>116</v>
      </c>
      <c r="EH3" s="4"/>
      <c r="EW3" s="4" t="s">
        <v>116</v>
      </c>
    </row>
    <row r="4" spans="1:4" ht="12.75">
      <c r="A4" s="1"/>
      <c r="B4" s="2"/>
      <c r="C4" s="4"/>
      <c r="D4" s="4"/>
    </row>
    <row r="5" spans="1:160" ht="12.75">
      <c r="A5" s="9" t="s">
        <v>0</v>
      </c>
      <c r="C5" s="78" t="s">
        <v>173</v>
      </c>
      <c r="D5" s="78"/>
      <c r="E5" s="79"/>
      <c r="F5" s="10"/>
      <c r="H5" s="11" t="s">
        <v>171</v>
      </c>
      <c r="I5" s="12"/>
      <c r="J5" s="13"/>
      <c r="K5" s="81"/>
      <c r="M5" s="11" t="s">
        <v>172</v>
      </c>
      <c r="N5" s="14"/>
      <c r="O5" s="13"/>
      <c r="P5" s="81"/>
      <c r="R5" s="18" t="s">
        <v>170</v>
      </c>
      <c r="S5" s="16"/>
      <c r="T5" s="17"/>
      <c r="U5" s="81"/>
      <c r="W5" s="15" t="s">
        <v>1</v>
      </c>
      <c r="X5" s="16"/>
      <c r="Y5" s="17"/>
      <c r="Z5" s="81"/>
      <c r="AB5" s="18" t="s">
        <v>2</v>
      </c>
      <c r="AC5" s="16"/>
      <c r="AD5" s="17"/>
      <c r="AE5" s="81"/>
      <c r="AG5" s="18" t="s">
        <v>3</v>
      </c>
      <c r="AH5" s="16"/>
      <c r="AI5" s="17"/>
      <c r="AJ5" s="81"/>
      <c r="AL5" s="18" t="s">
        <v>97</v>
      </c>
      <c r="AM5" s="16"/>
      <c r="AN5" s="17"/>
      <c r="AO5" s="81"/>
      <c r="AQ5" s="18" t="s">
        <v>137</v>
      </c>
      <c r="AR5" s="16"/>
      <c r="AS5" s="17"/>
      <c r="AT5" s="81"/>
      <c r="AV5" s="15" t="s">
        <v>4</v>
      </c>
      <c r="AW5" s="16"/>
      <c r="AX5" s="17"/>
      <c r="AY5" s="81"/>
      <c r="BA5" s="15" t="s">
        <v>5</v>
      </c>
      <c r="BB5" s="16"/>
      <c r="BC5" s="17"/>
      <c r="BD5" s="81"/>
      <c r="BF5" s="18" t="s">
        <v>138</v>
      </c>
      <c r="BG5" s="16"/>
      <c r="BH5" s="17"/>
      <c r="BI5" s="81"/>
      <c r="BJ5" s="19"/>
      <c r="BK5" s="18" t="s">
        <v>140</v>
      </c>
      <c r="BL5" s="16"/>
      <c r="BM5" s="17"/>
      <c r="BN5" s="81"/>
      <c r="BP5" s="18" t="s">
        <v>6</v>
      </c>
      <c r="BQ5" s="16"/>
      <c r="BR5" s="17"/>
      <c r="BS5" s="81"/>
      <c r="BU5" s="18" t="s">
        <v>141</v>
      </c>
      <c r="BV5" s="16"/>
      <c r="BW5" s="17"/>
      <c r="BX5" s="81"/>
      <c r="BZ5" s="15" t="s">
        <v>7</v>
      </c>
      <c r="CA5" s="16"/>
      <c r="CB5" s="17"/>
      <c r="CC5" s="81"/>
      <c r="CE5" s="15" t="s">
        <v>8</v>
      </c>
      <c r="CF5" s="16"/>
      <c r="CG5" s="17"/>
      <c r="CH5" s="81"/>
      <c r="CJ5" s="84" t="s">
        <v>177</v>
      </c>
      <c r="CK5" s="16"/>
      <c r="CL5" s="17"/>
      <c r="CM5" s="81"/>
      <c r="CO5" s="15" t="s">
        <v>9</v>
      </c>
      <c r="CP5" s="16"/>
      <c r="CQ5" s="17"/>
      <c r="CR5" s="81"/>
      <c r="CT5" s="15" t="s">
        <v>10</v>
      </c>
      <c r="CU5" s="16"/>
      <c r="CV5" s="17"/>
      <c r="CW5" s="81"/>
      <c r="CY5" s="15" t="s">
        <v>11</v>
      </c>
      <c r="CZ5" s="16"/>
      <c r="DA5" s="17"/>
      <c r="DB5" s="81"/>
      <c r="DD5" s="15" t="s">
        <v>12</v>
      </c>
      <c r="DE5" s="16"/>
      <c r="DF5" s="17"/>
      <c r="DG5" s="81"/>
      <c r="DI5" s="18" t="s">
        <v>142</v>
      </c>
      <c r="DJ5" s="16"/>
      <c r="DK5" s="17"/>
      <c r="DL5" s="81"/>
      <c r="DN5" s="15" t="s">
        <v>143</v>
      </c>
      <c r="DO5" s="16"/>
      <c r="DP5" s="17"/>
      <c r="DQ5" s="81"/>
      <c r="DS5" s="15" t="s">
        <v>144</v>
      </c>
      <c r="DT5" s="16"/>
      <c r="DU5" s="17"/>
      <c r="DV5" s="81"/>
      <c r="DX5" s="15" t="s">
        <v>145</v>
      </c>
      <c r="DY5" s="16"/>
      <c r="DZ5" s="17"/>
      <c r="EA5" s="81"/>
      <c r="EC5" s="18" t="s">
        <v>13</v>
      </c>
      <c r="ED5" s="16"/>
      <c r="EE5" s="17"/>
      <c r="EF5" s="81"/>
      <c r="EH5" s="18" t="s">
        <v>148</v>
      </c>
      <c r="EI5" s="16"/>
      <c r="EJ5" s="17"/>
      <c r="EK5" s="81"/>
      <c r="EM5" s="18" t="s">
        <v>146</v>
      </c>
      <c r="EN5" s="16"/>
      <c r="EO5" s="17"/>
      <c r="EP5" s="81"/>
      <c r="ER5" s="18" t="s">
        <v>147</v>
      </c>
      <c r="ES5" s="16"/>
      <c r="ET5" s="17"/>
      <c r="EU5" s="81"/>
      <c r="EW5" s="18" t="s">
        <v>139</v>
      </c>
      <c r="EX5" s="16"/>
      <c r="EY5" s="17"/>
      <c r="EZ5" s="81"/>
      <c r="FA5" s="19"/>
      <c r="FB5" s="18" t="s">
        <v>14</v>
      </c>
      <c r="FC5" s="16"/>
      <c r="FD5" s="17"/>
    </row>
    <row r="6" spans="1:160" s="8" customFormat="1" ht="12.75">
      <c r="A6" s="20" t="s">
        <v>15</v>
      </c>
      <c r="C6" s="40"/>
      <c r="D6" s="41" t="s">
        <v>178</v>
      </c>
      <c r="E6" s="13"/>
      <c r="F6" s="80" t="s">
        <v>174</v>
      </c>
      <c r="G6" s="5"/>
      <c r="H6" s="21">
        <v>0.1422725</v>
      </c>
      <c r="I6" s="22">
        <v>0.223231</v>
      </c>
      <c r="J6" s="23"/>
      <c r="K6" s="80" t="s">
        <v>174</v>
      </c>
      <c r="L6" s="5"/>
      <c r="M6" s="21">
        <f>W6+AB6+AG6+AL6+AQ6+AV6+BA6+BF6+BK6+BP6+BU6+BZ6+CE6+CO6+CT6+CY6+DD6+DI6+DN6+DS6+DX6+EC6+EH6+EM6+ER6+EW6+FB6</f>
        <v>0.8577275</v>
      </c>
      <c r="N6" s="24">
        <f>S6+X6+AC6+AH6+AM6+AR6+AW6+BB6+BG6+BL6+BQ6+BV6+CA6+CF6+CP6+CU6+CZ6+DE6+DJ6+DO6+DT6+DY6+ED6+EI6+CK6+EN6+ES6+EX6</f>
        <v>0.7767690000000002</v>
      </c>
      <c r="O6" s="23"/>
      <c r="P6" s="80" t="s">
        <v>174</v>
      </c>
      <c r="Q6" s="5"/>
      <c r="R6" s="25">
        <v>0</v>
      </c>
      <c r="S6" s="26">
        <v>0.0002172</v>
      </c>
      <c r="T6" s="23"/>
      <c r="U6" s="80" t="s">
        <v>174</v>
      </c>
      <c r="V6" s="5"/>
      <c r="W6" s="25">
        <v>0.0028932</v>
      </c>
      <c r="X6" s="26">
        <v>0.0231145</v>
      </c>
      <c r="Y6" s="23"/>
      <c r="Z6" s="80" t="s">
        <v>174</v>
      </c>
      <c r="AA6" s="5"/>
      <c r="AB6" s="25">
        <v>0.0013944</v>
      </c>
      <c r="AC6" s="26">
        <v>0.0014183</v>
      </c>
      <c r="AD6" s="23"/>
      <c r="AE6" s="80" t="s">
        <v>174</v>
      </c>
      <c r="AF6" s="5"/>
      <c r="AG6" s="25">
        <v>0.0093135</v>
      </c>
      <c r="AH6" s="26">
        <v>0.0102579</v>
      </c>
      <c r="AI6" s="23"/>
      <c r="AJ6" s="80" t="s">
        <v>174</v>
      </c>
      <c r="AK6" s="5"/>
      <c r="AL6" s="25">
        <v>0.0039354</v>
      </c>
      <c r="AM6" s="26">
        <v>0.0081136</v>
      </c>
      <c r="AN6" s="23"/>
      <c r="AO6" s="80" t="s">
        <v>174</v>
      </c>
      <c r="AP6" s="5"/>
      <c r="AQ6" s="25">
        <v>0.0021448</v>
      </c>
      <c r="AR6" s="26">
        <v>0.0021644</v>
      </c>
      <c r="AS6" s="23"/>
      <c r="AT6" s="80" t="s">
        <v>174</v>
      </c>
      <c r="AU6" s="5"/>
      <c r="AV6" s="25">
        <v>0.0242511</v>
      </c>
      <c r="AW6" s="26">
        <v>0.0244732</v>
      </c>
      <c r="AX6" s="23"/>
      <c r="AY6" s="80" t="s">
        <v>174</v>
      </c>
      <c r="BA6" s="25">
        <v>0.0004264</v>
      </c>
      <c r="BB6" s="26">
        <v>0.0004303</v>
      </c>
      <c r="BC6" s="23"/>
      <c r="BD6" s="80" t="s">
        <v>174</v>
      </c>
      <c r="BF6" s="25">
        <v>9.1E-05</v>
      </c>
      <c r="BG6" s="26">
        <v>9.19E-05</v>
      </c>
      <c r="BH6" s="23"/>
      <c r="BI6" s="80" t="s">
        <v>174</v>
      </c>
      <c r="BJ6" s="71"/>
      <c r="BK6" s="25">
        <v>0.0835219</v>
      </c>
      <c r="BL6" s="26">
        <v>0.087894</v>
      </c>
      <c r="BM6" s="23"/>
      <c r="BN6" s="80" t="s">
        <v>174</v>
      </c>
      <c r="BP6" s="25">
        <v>0.000168</v>
      </c>
      <c r="BQ6" s="26">
        <v>0.0001695</v>
      </c>
      <c r="BR6" s="23"/>
      <c r="BS6" s="80" t="s">
        <v>174</v>
      </c>
      <c r="BU6" s="25">
        <v>9.98E-05</v>
      </c>
      <c r="BV6" s="26">
        <v>0.0001007</v>
      </c>
      <c r="BW6" s="23"/>
      <c r="BX6" s="80" t="s">
        <v>174</v>
      </c>
      <c r="BZ6" s="25">
        <v>0.0062262</v>
      </c>
      <c r="CA6" s="26">
        <v>0.0062832</v>
      </c>
      <c r="CB6" s="23"/>
      <c r="CC6" s="80" t="s">
        <v>174</v>
      </c>
      <c r="CE6" s="25">
        <v>3.24E-05</v>
      </c>
      <c r="CF6" s="26">
        <v>0.0006637</v>
      </c>
      <c r="CG6" s="23"/>
      <c r="CH6" s="80" t="s">
        <v>174</v>
      </c>
      <c r="CJ6" s="25">
        <v>0</v>
      </c>
      <c r="CK6" s="26">
        <v>0.0018131</v>
      </c>
      <c r="CL6" s="23"/>
      <c r="CM6" s="80" t="s">
        <v>174</v>
      </c>
      <c r="CO6" s="25">
        <v>0.0122709</v>
      </c>
      <c r="CP6" s="26">
        <v>0.0177351</v>
      </c>
      <c r="CQ6" s="23"/>
      <c r="CR6" s="80" t="s">
        <v>174</v>
      </c>
      <c r="CT6" s="25">
        <v>5.78E-05</v>
      </c>
      <c r="CU6" s="26">
        <v>0.0024492</v>
      </c>
      <c r="CV6" s="23"/>
      <c r="CW6" s="80" t="s">
        <v>174</v>
      </c>
      <c r="CY6" s="25">
        <v>0.0096951</v>
      </c>
      <c r="CZ6" s="26">
        <v>0.009784</v>
      </c>
      <c r="DA6" s="23"/>
      <c r="DB6" s="80" t="s">
        <v>174</v>
      </c>
      <c r="DD6" s="25">
        <v>0.0662914</v>
      </c>
      <c r="DE6" s="26">
        <v>0.078675</v>
      </c>
      <c r="DF6" s="23"/>
      <c r="DG6" s="80" t="s">
        <v>174</v>
      </c>
      <c r="DI6" s="25">
        <v>0.08456</v>
      </c>
      <c r="DJ6" s="26">
        <v>0.1175335</v>
      </c>
      <c r="DK6" s="23"/>
      <c r="DL6" s="80" t="s">
        <v>174</v>
      </c>
      <c r="DN6" s="25">
        <v>0.0005018</v>
      </c>
      <c r="DO6" s="26">
        <v>0.0009796</v>
      </c>
      <c r="DP6" s="23"/>
      <c r="DQ6" s="80" t="s">
        <v>174</v>
      </c>
      <c r="DS6" s="25">
        <v>0.0224714</v>
      </c>
      <c r="DT6" s="26">
        <v>0.0375623</v>
      </c>
      <c r="DU6" s="23"/>
      <c r="DV6" s="80" t="s">
        <v>174</v>
      </c>
      <c r="DX6" s="25">
        <v>0.0498319</v>
      </c>
      <c r="DY6" s="26">
        <v>0.0626721</v>
      </c>
      <c r="DZ6" s="23"/>
      <c r="EA6" s="80" t="s">
        <v>174</v>
      </c>
      <c r="EC6" s="25">
        <v>0.0149322</v>
      </c>
      <c r="ED6" s="26">
        <v>0.0536561</v>
      </c>
      <c r="EE6" s="23"/>
      <c r="EF6" s="80" t="s">
        <v>174</v>
      </c>
      <c r="EH6" s="25">
        <v>0.0231774</v>
      </c>
      <c r="EI6" s="26">
        <v>0.0532049</v>
      </c>
      <c r="EJ6" s="23"/>
      <c r="EK6" s="80" t="s">
        <v>174</v>
      </c>
      <c r="EM6" s="25">
        <v>0.0657351</v>
      </c>
      <c r="EN6" s="26">
        <v>0.0771446</v>
      </c>
      <c r="EO6" s="23"/>
      <c r="EP6" s="80" t="s">
        <v>174</v>
      </c>
      <c r="ER6" s="25">
        <v>0.0583439</v>
      </c>
      <c r="ES6" s="26">
        <v>0.0977162</v>
      </c>
      <c r="ET6" s="23"/>
      <c r="EU6" s="80" t="s">
        <v>174</v>
      </c>
      <c r="EW6" s="25">
        <v>0.000332</v>
      </c>
      <c r="EX6" s="26">
        <v>0.0004509</v>
      </c>
      <c r="EY6" s="23"/>
      <c r="EZ6" s="80" t="s">
        <v>174</v>
      </c>
      <c r="FA6" s="27"/>
      <c r="FB6" s="25">
        <v>0.3150285</v>
      </c>
      <c r="FC6" s="26"/>
      <c r="FD6" s="28"/>
    </row>
    <row r="7" spans="1:160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H7" s="30" t="s">
        <v>16</v>
      </c>
      <c r="I7" s="30" t="s">
        <v>17</v>
      </c>
      <c r="J7" s="30" t="s">
        <v>18</v>
      </c>
      <c r="K7" s="30" t="s">
        <v>175</v>
      </c>
      <c r="M7" s="30" t="s">
        <v>16</v>
      </c>
      <c r="N7" s="30" t="s">
        <v>17</v>
      </c>
      <c r="O7" s="30" t="s">
        <v>18</v>
      </c>
      <c r="P7" s="30" t="s">
        <v>175</v>
      </c>
      <c r="R7" s="31" t="s">
        <v>16</v>
      </c>
      <c r="S7" s="31" t="s">
        <v>17</v>
      </c>
      <c r="T7" s="31" t="s">
        <v>18</v>
      </c>
      <c r="U7" s="30" t="s">
        <v>175</v>
      </c>
      <c r="W7" s="31" t="s">
        <v>16</v>
      </c>
      <c r="X7" s="31" t="s">
        <v>17</v>
      </c>
      <c r="Y7" s="31" t="s">
        <v>18</v>
      </c>
      <c r="Z7" s="30" t="s">
        <v>175</v>
      </c>
      <c r="AB7" s="31" t="s">
        <v>16</v>
      </c>
      <c r="AC7" s="31" t="s">
        <v>17</v>
      </c>
      <c r="AD7" s="31" t="s">
        <v>18</v>
      </c>
      <c r="AE7" s="30" t="s">
        <v>175</v>
      </c>
      <c r="AG7" s="31" t="s">
        <v>16</v>
      </c>
      <c r="AH7" s="31" t="s">
        <v>17</v>
      </c>
      <c r="AI7" s="31" t="s">
        <v>18</v>
      </c>
      <c r="AJ7" s="30" t="s">
        <v>175</v>
      </c>
      <c r="AL7" s="31" t="s">
        <v>16</v>
      </c>
      <c r="AM7" s="31" t="s">
        <v>17</v>
      </c>
      <c r="AN7" s="31" t="s">
        <v>18</v>
      </c>
      <c r="AO7" s="30" t="s">
        <v>175</v>
      </c>
      <c r="AQ7" s="31" t="s">
        <v>16</v>
      </c>
      <c r="AR7" s="31" t="s">
        <v>17</v>
      </c>
      <c r="AS7" s="31" t="s">
        <v>18</v>
      </c>
      <c r="AT7" s="30" t="s">
        <v>175</v>
      </c>
      <c r="AV7" s="31" t="s">
        <v>16</v>
      </c>
      <c r="AW7" s="31" t="s">
        <v>17</v>
      </c>
      <c r="AX7" s="31" t="s">
        <v>18</v>
      </c>
      <c r="AY7" s="30" t="s">
        <v>175</v>
      </c>
      <c r="BA7" s="31" t="s">
        <v>16</v>
      </c>
      <c r="BB7" s="31" t="s">
        <v>17</v>
      </c>
      <c r="BC7" s="31" t="s">
        <v>18</v>
      </c>
      <c r="BD7" s="30" t="s">
        <v>175</v>
      </c>
      <c r="BF7" s="31" t="s">
        <v>16</v>
      </c>
      <c r="BG7" s="31" t="s">
        <v>17</v>
      </c>
      <c r="BH7" s="31" t="s">
        <v>18</v>
      </c>
      <c r="BI7" s="30" t="s">
        <v>175</v>
      </c>
      <c r="BJ7" s="32"/>
      <c r="BK7" s="31" t="s">
        <v>16</v>
      </c>
      <c r="BL7" s="31" t="s">
        <v>17</v>
      </c>
      <c r="BM7" s="31" t="s">
        <v>18</v>
      </c>
      <c r="BN7" s="30" t="s">
        <v>175</v>
      </c>
      <c r="BP7" s="31" t="s">
        <v>16</v>
      </c>
      <c r="BQ7" s="31" t="s">
        <v>17</v>
      </c>
      <c r="BR7" s="31" t="s">
        <v>18</v>
      </c>
      <c r="BS7" s="30" t="s">
        <v>175</v>
      </c>
      <c r="BU7" s="31" t="s">
        <v>16</v>
      </c>
      <c r="BV7" s="31" t="s">
        <v>17</v>
      </c>
      <c r="BW7" s="31" t="s">
        <v>18</v>
      </c>
      <c r="BX7" s="30" t="s">
        <v>175</v>
      </c>
      <c r="BZ7" s="31" t="s">
        <v>16</v>
      </c>
      <c r="CA7" s="31" t="s">
        <v>17</v>
      </c>
      <c r="CB7" s="31" t="s">
        <v>18</v>
      </c>
      <c r="CC7" s="30" t="s">
        <v>175</v>
      </c>
      <c r="CE7" s="31" t="s">
        <v>16</v>
      </c>
      <c r="CF7" s="31" t="s">
        <v>17</v>
      </c>
      <c r="CG7" s="31" t="s">
        <v>18</v>
      </c>
      <c r="CH7" s="30" t="s">
        <v>175</v>
      </c>
      <c r="CJ7" s="31" t="s">
        <v>16</v>
      </c>
      <c r="CK7" s="31" t="s">
        <v>17</v>
      </c>
      <c r="CL7" s="31" t="s">
        <v>18</v>
      </c>
      <c r="CM7" s="30" t="s">
        <v>175</v>
      </c>
      <c r="CO7" s="31" t="s">
        <v>16</v>
      </c>
      <c r="CP7" s="31" t="s">
        <v>17</v>
      </c>
      <c r="CQ7" s="31" t="s">
        <v>18</v>
      </c>
      <c r="CR7" s="30" t="s">
        <v>175</v>
      </c>
      <c r="CT7" s="31" t="s">
        <v>16</v>
      </c>
      <c r="CU7" s="31" t="s">
        <v>17</v>
      </c>
      <c r="CV7" s="31" t="s">
        <v>18</v>
      </c>
      <c r="CW7" s="30" t="s">
        <v>175</v>
      </c>
      <c r="CY7" s="31" t="s">
        <v>16</v>
      </c>
      <c r="CZ7" s="31" t="s">
        <v>17</v>
      </c>
      <c r="DA7" s="31" t="s">
        <v>18</v>
      </c>
      <c r="DB7" s="30" t="s">
        <v>175</v>
      </c>
      <c r="DD7" s="31" t="s">
        <v>16</v>
      </c>
      <c r="DE7" s="31" t="s">
        <v>17</v>
      </c>
      <c r="DF7" s="31" t="s">
        <v>18</v>
      </c>
      <c r="DG7" s="30" t="s">
        <v>175</v>
      </c>
      <c r="DI7" s="31" t="s">
        <v>16</v>
      </c>
      <c r="DJ7" s="31" t="s">
        <v>17</v>
      </c>
      <c r="DK7" s="31" t="s">
        <v>18</v>
      </c>
      <c r="DL7" s="30" t="s">
        <v>175</v>
      </c>
      <c r="DN7" s="31" t="s">
        <v>16</v>
      </c>
      <c r="DO7" s="31" t="s">
        <v>17</v>
      </c>
      <c r="DP7" s="31" t="s">
        <v>18</v>
      </c>
      <c r="DQ7" s="30" t="s">
        <v>175</v>
      </c>
      <c r="DS7" s="31" t="s">
        <v>16</v>
      </c>
      <c r="DT7" s="31" t="s">
        <v>17</v>
      </c>
      <c r="DU7" s="31" t="s">
        <v>18</v>
      </c>
      <c r="DV7" s="30" t="s">
        <v>175</v>
      </c>
      <c r="DX7" s="31" t="s">
        <v>16</v>
      </c>
      <c r="DY7" s="31" t="s">
        <v>17</v>
      </c>
      <c r="DZ7" s="31" t="s">
        <v>18</v>
      </c>
      <c r="EA7" s="30" t="s">
        <v>175</v>
      </c>
      <c r="EC7" s="31" t="s">
        <v>16</v>
      </c>
      <c r="ED7" s="31" t="s">
        <v>17</v>
      </c>
      <c r="EE7" s="31" t="s">
        <v>18</v>
      </c>
      <c r="EF7" s="30" t="s">
        <v>175</v>
      </c>
      <c r="EH7" s="31" t="s">
        <v>16</v>
      </c>
      <c r="EI7" s="31" t="s">
        <v>17</v>
      </c>
      <c r="EJ7" s="31" t="s">
        <v>18</v>
      </c>
      <c r="EK7" s="30" t="s">
        <v>175</v>
      </c>
      <c r="EM7" s="31" t="s">
        <v>16</v>
      </c>
      <c r="EN7" s="31" t="s">
        <v>17</v>
      </c>
      <c r="EO7" s="31" t="s">
        <v>18</v>
      </c>
      <c r="EP7" s="30" t="s">
        <v>175</v>
      </c>
      <c r="ER7" s="31" t="s">
        <v>16</v>
      </c>
      <c r="ES7" s="31" t="s">
        <v>17</v>
      </c>
      <c r="ET7" s="31" t="s">
        <v>18</v>
      </c>
      <c r="EU7" s="30" t="s">
        <v>175</v>
      </c>
      <c r="EW7" s="31" t="s">
        <v>16</v>
      </c>
      <c r="EX7" s="31" t="s">
        <v>17</v>
      </c>
      <c r="EY7" s="31" t="s">
        <v>18</v>
      </c>
      <c r="EZ7" s="30" t="s">
        <v>175</v>
      </c>
      <c r="FA7" s="32"/>
      <c r="FB7" s="31" t="s">
        <v>16</v>
      </c>
      <c r="FC7" s="31" t="s">
        <v>17</v>
      </c>
      <c r="FD7" s="31" t="s">
        <v>18</v>
      </c>
    </row>
    <row r="8" spans="1:199" ht="12.75">
      <c r="A8" s="36">
        <v>43739</v>
      </c>
      <c r="D8" s="3">
        <v>1247174</v>
      </c>
      <c r="E8" s="34">
        <f aca="true" t="shared" si="0" ref="E8:E29">C8+D8</f>
        <v>1247174</v>
      </c>
      <c r="F8" s="34">
        <v>79572</v>
      </c>
      <c r="H8" s="35">
        <f>'Academic Project '!H8</f>
        <v>0</v>
      </c>
      <c r="I8" s="35">
        <f>'Academic Project '!I8</f>
        <v>278407.899194</v>
      </c>
      <c r="J8" s="35">
        <f>H8+I8</f>
        <v>278407.899194</v>
      </c>
      <c r="K8" s="35">
        <f>'Academic Project '!K8</f>
        <v>17762.937132</v>
      </c>
      <c r="M8" s="35"/>
      <c r="N8" s="34">
        <f aca="true" t="shared" si="1" ref="N8:N29">S8+X8+AC8+AH8+AM8+AR8+AW8+BB8+BG8+BL8+BQ8+BV8+CA8+CF8+CP8+CU8+CZ8+DE8+DJ8+DO8+DT8+DY8+ED8+EI8+CK8+EN8+ES8+EX8+FC8</f>
        <v>968766.1008060001</v>
      </c>
      <c r="O8" s="5">
        <f aca="true" t="shared" si="2" ref="O8:O29">M8+N8</f>
        <v>968766.1008060001</v>
      </c>
      <c r="P8" s="34">
        <f aca="true" t="shared" si="3" ref="P8:P29">U8+Z8+AE8+AJ8+AO8+AT8+AY8+BD8+BI8+BN8+BS8+BX8+CC8+CH8+CR8+CW8+DB8+DG8+DL8+DQ8+DV8+EA8+EF8+EK8+CM8+EP8+EU8+EZ8+FE8</f>
        <v>61809.062867999986</v>
      </c>
      <c r="R8" s="35"/>
      <c r="S8" s="35">
        <f aca="true" t="shared" si="4" ref="S8:S29">$D8*S$6</f>
        <v>270.8861928</v>
      </c>
      <c r="T8" s="5">
        <f aca="true" t="shared" si="5" ref="T8:T29">R8+S8</f>
        <v>270.8861928</v>
      </c>
      <c r="U8" s="35">
        <f aca="true" t="shared" si="6" ref="U8:U29">$F8*S$6</f>
        <v>17.2830384</v>
      </c>
      <c r="W8" s="35"/>
      <c r="X8" s="35">
        <f aca="true" t="shared" si="7" ref="X8:X29">$D8*X$6</f>
        <v>28827.803423</v>
      </c>
      <c r="Y8" s="5">
        <f aca="true" t="shared" si="8" ref="Y8:Y29">W8+X8</f>
        <v>28827.803423</v>
      </c>
      <c r="Z8" s="35">
        <f aca="true" t="shared" si="9" ref="Z8:Z29">$F8*X$6</f>
        <v>1839.266994</v>
      </c>
      <c r="AB8" s="35"/>
      <c r="AC8" s="35">
        <f aca="true" t="shared" si="10" ref="AC8:AC29">$D8*AC$6</f>
        <v>1768.8668842</v>
      </c>
      <c r="AD8" s="35">
        <f aca="true" t="shared" si="11" ref="AD8:AD29">AB8+AC8</f>
        <v>1768.8668842</v>
      </c>
      <c r="AE8" s="35">
        <f aca="true" t="shared" si="12" ref="AE8:AE29">$F8*AC$6</f>
        <v>112.85696759999999</v>
      </c>
      <c r="AG8" s="35"/>
      <c r="AH8" s="35">
        <f aca="true" t="shared" si="13" ref="AH8:AH29">$D8*AH$6</f>
        <v>12793.3861746</v>
      </c>
      <c r="AI8" s="5">
        <f aca="true" t="shared" si="14" ref="AI8:AI29">AG8+AH8</f>
        <v>12793.3861746</v>
      </c>
      <c r="AJ8" s="35">
        <f aca="true" t="shared" si="15" ref="AJ8:AJ29">$F8*AH$6</f>
        <v>816.2416188000001</v>
      </c>
      <c r="AL8" s="35"/>
      <c r="AM8" s="35">
        <f aca="true" t="shared" si="16" ref="AM8:AM29">$D8*AM$6</f>
        <v>10119.0709664</v>
      </c>
      <c r="AN8" s="5">
        <f aca="true" t="shared" si="17" ref="AN8:AN29">AL8+AM8</f>
        <v>10119.0709664</v>
      </c>
      <c r="AO8" s="35">
        <f aca="true" t="shared" si="18" ref="AO8:AO29">$F8*AM$6</f>
        <v>645.6153792</v>
      </c>
      <c r="AQ8" s="35"/>
      <c r="AR8" s="35">
        <f aca="true" t="shared" si="19" ref="AR8:AR29">$D8*AR$6</f>
        <v>2699.3834056</v>
      </c>
      <c r="AS8" s="5">
        <f aca="true" t="shared" si="20" ref="AS8:AS29">AQ8+AR8</f>
        <v>2699.3834056</v>
      </c>
      <c r="AT8" s="35">
        <f aca="true" t="shared" si="21" ref="AT8:AT29">$F8*AR$6</f>
        <v>172.2256368</v>
      </c>
      <c r="AV8" s="35"/>
      <c r="AW8" s="35">
        <f aca="true" t="shared" si="22" ref="AW8:AW29">$D8*AW$6</f>
        <v>30522.3387368</v>
      </c>
      <c r="AX8" s="5">
        <f aca="true" t="shared" si="23" ref="AX8:AX29">AV8+AW8</f>
        <v>30522.3387368</v>
      </c>
      <c r="AY8" s="35">
        <f aca="true" t="shared" si="24" ref="AY8:AY29">$F8*AW$6</f>
        <v>1947.3814704000001</v>
      </c>
      <c r="AZ8" s="5"/>
      <c r="BA8" s="35"/>
      <c r="BB8" s="35">
        <f aca="true" t="shared" si="25" ref="BB8:BB29">$D8*BB$6</f>
        <v>536.6589722</v>
      </c>
      <c r="BC8" s="5">
        <f aca="true" t="shared" si="26" ref="BC8:BC29">BA8+BB8</f>
        <v>536.6589722</v>
      </c>
      <c r="BD8" s="35">
        <f aca="true" t="shared" si="27" ref="BD8:BD29">$F8*BB$6</f>
        <v>34.2398316</v>
      </c>
      <c r="BE8" s="5"/>
      <c r="BF8" s="35"/>
      <c r="BG8" s="35">
        <f aca="true" t="shared" si="28" ref="BG8:BG29">$D8*BG$6</f>
        <v>114.6152906</v>
      </c>
      <c r="BH8" s="5">
        <f aca="true" t="shared" si="29" ref="BH8:BH29">BF8+BG8</f>
        <v>114.6152906</v>
      </c>
      <c r="BI8" s="35">
        <f aca="true" t="shared" si="30" ref="BI8:BI29">$F8*BG$6</f>
        <v>7.3126668</v>
      </c>
      <c r="BJ8" s="5"/>
      <c r="BK8" s="35"/>
      <c r="BL8" s="35">
        <f aca="true" t="shared" si="31" ref="BL8:BL29">$D8*BL$6</f>
        <v>109619.111556</v>
      </c>
      <c r="BM8" s="5">
        <f aca="true" t="shared" si="32" ref="BM8:BM29">BK8+BL8</f>
        <v>109619.111556</v>
      </c>
      <c r="BN8" s="35">
        <f aca="true" t="shared" si="33" ref="BN8:BN29">$F8*BL$6</f>
        <v>6993.901368</v>
      </c>
      <c r="BO8" s="5"/>
      <c r="BP8" s="35"/>
      <c r="BQ8" s="35">
        <f aca="true" t="shared" si="34" ref="BQ8:BQ29">$D8*BQ$6</f>
        <v>211.395993</v>
      </c>
      <c r="BR8" s="5">
        <f aca="true" t="shared" si="35" ref="BR8:BR29">BP8+BQ8</f>
        <v>211.395993</v>
      </c>
      <c r="BS8" s="35">
        <f aca="true" t="shared" si="36" ref="BS8:BS29">$F8*BQ$6</f>
        <v>13.487454</v>
      </c>
      <c r="BT8" s="5"/>
      <c r="BU8" s="35"/>
      <c r="BV8" s="35">
        <f aca="true" t="shared" si="37" ref="BV8:BV29">$D8*BV$6</f>
        <v>125.59042179999999</v>
      </c>
      <c r="BW8" s="5">
        <f aca="true" t="shared" si="38" ref="BW8:BW29">BU8+BV8</f>
        <v>125.59042179999999</v>
      </c>
      <c r="BX8" s="35">
        <f aca="true" t="shared" si="39" ref="BX8:BX29">$F8*BV$6</f>
        <v>8.0129004</v>
      </c>
      <c r="BY8" s="5"/>
      <c r="BZ8" s="35"/>
      <c r="CA8" s="35">
        <f aca="true" t="shared" si="40" ref="CA8:CA29">$D8*CA$6</f>
        <v>7836.2436768</v>
      </c>
      <c r="CB8" s="5">
        <f aca="true" t="shared" si="41" ref="CB8:CB29">BZ8+CA8</f>
        <v>7836.2436768</v>
      </c>
      <c r="CC8" s="35">
        <f aca="true" t="shared" si="42" ref="CC8:CC29">$F8*CA$6</f>
        <v>499.9667904</v>
      </c>
      <c r="CD8" s="5"/>
      <c r="CE8" s="35"/>
      <c r="CF8" s="35">
        <f aca="true" t="shared" si="43" ref="CF8:CF29">$D8*CF$6</f>
        <v>827.7493838</v>
      </c>
      <c r="CG8" s="5">
        <f aca="true" t="shared" si="44" ref="CG8:CG29">CE8+CF8</f>
        <v>827.7493838</v>
      </c>
      <c r="CH8" s="35">
        <f aca="true" t="shared" si="45" ref="CH8:CH29">$F8*CF$6</f>
        <v>52.8119364</v>
      </c>
      <c r="CI8" s="5"/>
      <c r="CJ8" s="35"/>
      <c r="CK8" s="35">
        <f aca="true" t="shared" si="46" ref="CK8:CK29">$D8*CK$6</f>
        <v>2261.2511794</v>
      </c>
      <c r="CL8" s="5">
        <f aca="true" t="shared" si="47" ref="CL8:CL29">CJ8+CK8</f>
        <v>2261.2511794</v>
      </c>
      <c r="CM8" s="35">
        <f aca="true" t="shared" si="48" ref="CM8:CM29">$F8*CK$6</f>
        <v>144.2719932</v>
      </c>
      <c r="CN8" s="5"/>
      <c r="CO8" s="35"/>
      <c r="CP8" s="35">
        <f aca="true" t="shared" si="49" ref="CP8:CP29">$D8*CP$6</f>
        <v>22118.7556074</v>
      </c>
      <c r="CQ8" s="35">
        <f aca="true" t="shared" si="50" ref="CQ8:CQ29">CO8+CP8</f>
        <v>22118.7556074</v>
      </c>
      <c r="CR8" s="35">
        <f aca="true" t="shared" si="51" ref="CR8:CR29">$F8*CP$6</f>
        <v>1411.2173772</v>
      </c>
      <c r="CS8" s="5"/>
      <c r="CT8" s="35"/>
      <c r="CU8" s="35">
        <f aca="true" t="shared" si="52" ref="CU8:CU29">$D8*CU$6</f>
        <v>3054.5785607999997</v>
      </c>
      <c r="CV8" s="35">
        <f aca="true" t="shared" si="53" ref="CV8:CV29">CT8+CU8</f>
        <v>3054.5785607999997</v>
      </c>
      <c r="CW8" s="35">
        <f aca="true" t="shared" si="54" ref="CW8:CW29">$F8*CU$6</f>
        <v>194.88774239999998</v>
      </c>
      <c r="CX8" s="5"/>
      <c r="CY8" s="35"/>
      <c r="CZ8" s="35">
        <f aca="true" t="shared" si="55" ref="CZ8:CZ29">$D8*CZ$6</f>
        <v>12202.350416</v>
      </c>
      <c r="DA8" s="5">
        <f aca="true" t="shared" si="56" ref="DA8:DA29">CY8+CZ8</f>
        <v>12202.350416</v>
      </c>
      <c r="DB8" s="35">
        <f aca="true" t="shared" si="57" ref="DB8:DB29">$F8*CZ$6</f>
        <v>778.5324479999999</v>
      </c>
      <c r="DC8" s="5"/>
      <c r="DD8" s="35"/>
      <c r="DE8" s="35">
        <f aca="true" t="shared" si="58" ref="DE8:DE29">$D8*DE$6</f>
        <v>98121.41445</v>
      </c>
      <c r="DF8" s="35">
        <f aca="true" t="shared" si="59" ref="DF8:DF29">DD8+DE8</f>
        <v>98121.41445</v>
      </c>
      <c r="DG8" s="35">
        <f aca="true" t="shared" si="60" ref="DG8:DG29">$F8*DE$6</f>
        <v>6260.3270999999995</v>
      </c>
      <c r="DH8" s="5"/>
      <c r="DI8" s="35"/>
      <c r="DJ8" s="35">
        <f aca="true" t="shared" si="61" ref="DJ8:DJ29">$D8*DJ$6</f>
        <v>146584.725329</v>
      </c>
      <c r="DK8" s="5">
        <f aca="true" t="shared" si="62" ref="DK8:DK29">DI8+DJ8</f>
        <v>146584.725329</v>
      </c>
      <c r="DL8" s="35">
        <f aca="true" t="shared" si="63" ref="DL8:DL29">$F8*DJ$6</f>
        <v>9352.375662</v>
      </c>
      <c r="DM8" s="5"/>
      <c r="DN8" s="35"/>
      <c r="DO8" s="35">
        <f aca="true" t="shared" si="64" ref="DO8:DO29">$D8*DO$6</f>
        <v>1221.7316504</v>
      </c>
      <c r="DP8" s="5">
        <f aca="true" t="shared" si="65" ref="DP8:DP29">DN8+DO8</f>
        <v>1221.7316504</v>
      </c>
      <c r="DQ8" s="35">
        <f aca="true" t="shared" si="66" ref="DQ8:DQ29">$F8*DO$6</f>
        <v>77.9487312</v>
      </c>
      <c r="DR8" s="5"/>
      <c r="DS8" s="35"/>
      <c r="DT8" s="35">
        <f aca="true" t="shared" si="67" ref="DT8:DT29">$D8*DT$6</f>
        <v>46846.7239402</v>
      </c>
      <c r="DU8" s="5">
        <f aca="true" t="shared" si="68" ref="DU8:DU29">DS8+DT8</f>
        <v>46846.7239402</v>
      </c>
      <c r="DV8" s="35">
        <f aca="true" t="shared" si="69" ref="DV8:DV29">$F8*DT$6</f>
        <v>2988.9073356</v>
      </c>
      <c r="DW8" s="5"/>
      <c r="DX8" s="35"/>
      <c r="DY8" s="35">
        <f aca="true" t="shared" si="70" ref="DY8:DY29">$D8*DY$6</f>
        <v>78163.01364539999</v>
      </c>
      <c r="DZ8" s="5">
        <f aca="true" t="shared" si="71" ref="DZ8:DZ29">DX8+DY8</f>
        <v>78163.01364539999</v>
      </c>
      <c r="EA8" s="35">
        <f aca="true" t="shared" si="72" ref="EA8:EA29">$F8*DY$6</f>
        <v>4986.944341199999</v>
      </c>
      <c r="EB8" s="5"/>
      <c r="EC8" s="35"/>
      <c r="ED8" s="35">
        <f aca="true" t="shared" si="73" ref="ED8:ED29">$D8*ED$6</f>
        <v>66918.4928614</v>
      </c>
      <c r="EE8" s="5">
        <f aca="true" t="shared" si="74" ref="EE8:EE29">EC8+ED8</f>
        <v>66918.4928614</v>
      </c>
      <c r="EF8" s="35">
        <f aca="true" t="shared" si="75" ref="EF8:EF29">$F8*ED$6</f>
        <v>4269.5231892</v>
      </c>
      <c r="EG8" s="5"/>
      <c r="EH8" s="35"/>
      <c r="EI8" s="35">
        <f aca="true" t="shared" si="76" ref="EI8:EI29">$D8*EI$6</f>
        <v>66355.7679526</v>
      </c>
      <c r="EJ8" s="5">
        <f aca="true" t="shared" si="77" ref="EJ8:EJ29">EH8+EI8</f>
        <v>66355.7679526</v>
      </c>
      <c r="EK8" s="35">
        <f aca="true" t="shared" si="78" ref="EK8:EK29">$F8*EI$6</f>
        <v>4233.6203028</v>
      </c>
      <c r="EL8" s="5"/>
      <c r="EM8" s="35"/>
      <c r="EN8" s="35">
        <f aca="true" t="shared" si="79" ref="EN8:EN29">$D8*EN$6</f>
        <v>96212.7393604</v>
      </c>
      <c r="EO8" s="35">
        <f aca="true" t="shared" si="80" ref="EO8:EO29">EM8+EN8</f>
        <v>96212.7393604</v>
      </c>
      <c r="EP8" s="35">
        <f aca="true" t="shared" si="81" ref="EP8:EP29">$F8*EN$6</f>
        <v>6138.550111199999</v>
      </c>
      <c r="EQ8" s="5"/>
      <c r="ER8" s="35"/>
      <c r="ES8" s="35">
        <f aca="true" t="shared" si="82" ref="ES8:ES29">$D8*ES$6</f>
        <v>121869.1040188</v>
      </c>
      <c r="ET8" s="35">
        <f aca="true" t="shared" si="83" ref="ET8:ET29">ER8+ES8</f>
        <v>121869.1040188</v>
      </c>
      <c r="EU8" s="35">
        <f aca="true" t="shared" si="84" ref="EU8:EU29">$F8*ES$6</f>
        <v>7775.473466400001</v>
      </c>
      <c r="EV8" s="5"/>
      <c r="EW8" s="35"/>
      <c r="EX8" s="35">
        <f aca="true" t="shared" si="85" ref="EX8:EX29">$D8*EX$6</f>
        <v>562.3507566000001</v>
      </c>
      <c r="EY8" s="5">
        <f aca="true" t="shared" si="86" ref="EY8:EY29">EW8+EX8</f>
        <v>562.3507566000001</v>
      </c>
      <c r="EZ8" s="35">
        <f aca="true" t="shared" si="87" ref="EZ8:EZ29">$F8*EX$6</f>
        <v>35.8790148</v>
      </c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ht="12.75">
      <c r="A9" s="36">
        <v>43922</v>
      </c>
      <c r="C9" s="3">
        <v>5850000</v>
      </c>
      <c r="D9" s="3">
        <v>157950</v>
      </c>
      <c r="E9" s="34">
        <f t="shared" si="0"/>
        <v>6007950</v>
      </c>
      <c r="F9" s="34">
        <v>87866</v>
      </c>
      <c r="H9" s="35">
        <f>'Academic Project '!H9</f>
        <v>1305901.35</v>
      </c>
      <c r="I9" s="35">
        <f>'Academic Project '!I9</f>
        <v>35259.33644999999</v>
      </c>
      <c r="J9" s="35">
        <f aca="true" t="shared" si="88" ref="J9:J29">H9+I9</f>
        <v>1341160.6864500002</v>
      </c>
      <c r="K9" s="35">
        <f>'Academic Project '!K9</f>
        <v>19614.415045999995</v>
      </c>
      <c r="M9" s="35">
        <f>R9+W9+AB9+AG9+AL9+AQ9+AV9+BA9+BF9+BK9+BP9+BU9+BZ9+CE9+CO9+CT9+CY9+DD9+DI9+DN9+DS9+DX9+EC9+EH9+CJ9+EM9+ER9+EW9+FB9</f>
        <v>4544098.649999999</v>
      </c>
      <c r="N9" s="34">
        <f t="shared" si="1"/>
        <v>122690.66355000001</v>
      </c>
      <c r="O9" s="5">
        <f t="shared" si="2"/>
        <v>4666789.313549999</v>
      </c>
      <c r="P9" s="34">
        <f t="shared" si="3"/>
        <v>68251.584954</v>
      </c>
      <c r="R9" s="35">
        <f aca="true" t="shared" si="89" ref="R9:R29">$C9*S$6</f>
        <v>1270.62</v>
      </c>
      <c r="S9" s="35">
        <f t="shared" si="4"/>
        <v>34.30674</v>
      </c>
      <c r="T9" s="5">
        <f t="shared" si="5"/>
        <v>1304.9267399999999</v>
      </c>
      <c r="U9" s="35">
        <f t="shared" si="6"/>
        <v>19.0844952</v>
      </c>
      <c r="W9" s="35">
        <f aca="true" t="shared" si="90" ref="W9:W29">$C9*X$6</f>
        <v>135219.825</v>
      </c>
      <c r="X9" s="35">
        <f t="shared" si="7"/>
        <v>3650.935275</v>
      </c>
      <c r="Y9" s="5">
        <f t="shared" si="8"/>
        <v>138870.760275</v>
      </c>
      <c r="Z9" s="35">
        <f t="shared" si="9"/>
        <v>2030.9786569999999</v>
      </c>
      <c r="AB9" s="35">
        <f aca="true" t="shared" si="91" ref="AB9:AB29">$C9*AC$6</f>
        <v>8297.055</v>
      </c>
      <c r="AC9" s="35">
        <f t="shared" si="10"/>
        <v>224.02048499999998</v>
      </c>
      <c r="AD9" s="35">
        <f t="shared" si="11"/>
        <v>8521.075485</v>
      </c>
      <c r="AE9" s="35">
        <f t="shared" si="12"/>
        <v>124.62034779999999</v>
      </c>
      <c r="AG9" s="35">
        <f aca="true" t="shared" si="92" ref="AG9:AG29">$C9*AH$6</f>
        <v>60008.715000000004</v>
      </c>
      <c r="AH9" s="35">
        <f t="shared" si="13"/>
        <v>1620.2353050000002</v>
      </c>
      <c r="AI9" s="5">
        <f t="shared" si="14"/>
        <v>61628.950305000006</v>
      </c>
      <c r="AJ9" s="35">
        <f t="shared" si="15"/>
        <v>901.3206414</v>
      </c>
      <c r="AL9" s="35">
        <f aca="true" t="shared" si="93" ref="AL9:AL29">$C9*AM$6</f>
        <v>47464.560000000005</v>
      </c>
      <c r="AM9" s="35">
        <f t="shared" si="16"/>
        <v>1281.54312</v>
      </c>
      <c r="AN9" s="5">
        <f t="shared" si="17"/>
        <v>48746.10312000001</v>
      </c>
      <c r="AO9" s="35">
        <f t="shared" si="18"/>
        <v>712.9095776</v>
      </c>
      <c r="AQ9" s="35">
        <f aca="true" t="shared" si="94" ref="AQ9:AQ29">$C9*AR$6</f>
        <v>12661.74</v>
      </c>
      <c r="AR9" s="35">
        <f t="shared" si="19"/>
        <v>341.86698</v>
      </c>
      <c r="AS9" s="5">
        <f t="shared" si="20"/>
        <v>13003.60698</v>
      </c>
      <c r="AT9" s="35">
        <f t="shared" si="21"/>
        <v>190.1771704</v>
      </c>
      <c r="AV9" s="35">
        <f aca="true" t="shared" si="95" ref="AV9:AV29">$C9*AW$6</f>
        <v>143168.22</v>
      </c>
      <c r="AW9" s="35">
        <f t="shared" si="22"/>
        <v>3865.54194</v>
      </c>
      <c r="AX9" s="5">
        <f t="shared" si="23"/>
        <v>147033.76194</v>
      </c>
      <c r="AY9" s="35">
        <f t="shared" si="24"/>
        <v>2150.3621912</v>
      </c>
      <c r="AZ9" s="5"/>
      <c r="BA9" s="35">
        <f aca="true" t="shared" si="96" ref="BA9:BA29">$C9*BB$6</f>
        <v>2517.255</v>
      </c>
      <c r="BB9" s="35">
        <f t="shared" si="25"/>
        <v>67.965885</v>
      </c>
      <c r="BC9" s="5">
        <f t="shared" si="26"/>
        <v>2585.220885</v>
      </c>
      <c r="BD9" s="35">
        <f t="shared" si="27"/>
        <v>37.8087398</v>
      </c>
      <c r="BE9" s="5"/>
      <c r="BF9" s="35">
        <f aca="true" t="shared" si="97" ref="BF9:BF29">$C9*BG$6</f>
        <v>537.615</v>
      </c>
      <c r="BG9" s="35">
        <f t="shared" si="28"/>
        <v>14.515604999999999</v>
      </c>
      <c r="BH9" s="5">
        <f t="shared" si="29"/>
        <v>552.1306050000001</v>
      </c>
      <c r="BI9" s="35">
        <f t="shared" si="30"/>
        <v>8.0748854</v>
      </c>
      <c r="BJ9" s="5"/>
      <c r="BK9" s="35">
        <f aca="true" t="shared" si="98" ref="BK9:BK29">$C9*BL$6</f>
        <v>514179.9</v>
      </c>
      <c r="BL9" s="35">
        <f t="shared" si="31"/>
        <v>13882.8573</v>
      </c>
      <c r="BM9" s="5">
        <f t="shared" si="32"/>
        <v>528062.7573</v>
      </c>
      <c r="BN9" s="35">
        <f t="shared" si="33"/>
        <v>7722.894204</v>
      </c>
      <c r="BO9" s="5"/>
      <c r="BP9" s="35">
        <f aca="true" t="shared" si="99" ref="BP9:BP29">$C9*BQ$6</f>
        <v>991.575</v>
      </c>
      <c r="BQ9" s="35">
        <f t="shared" si="34"/>
        <v>26.772525</v>
      </c>
      <c r="BR9" s="5">
        <f t="shared" si="35"/>
        <v>1018.347525</v>
      </c>
      <c r="BS9" s="35">
        <f t="shared" si="36"/>
        <v>14.893287</v>
      </c>
      <c r="BT9" s="5"/>
      <c r="BU9" s="35">
        <f aca="true" t="shared" si="100" ref="BU9:BU29">$C9*BV$6</f>
        <v>589.0949999999999</v>
      </c>
      <c r="BV9" s="35">
        <f t="shared" si="37"/>
        <v>15.905565</v>
      </c>
      <c r="BW9" s="5">
        <f t="shared" si="38"/>
        <v>605.0005649999999</v>
      </c>
      <c r="BX9" s="35">
        <f t="shared" si="39"/>
        <v>8.8481062</v>
      </c>
      <c r="BY9" s="5"/>
      <c r="BZ9" s="35">
        <f aca="true" t="shared" si="101" ref="BZ9:BZ29">$C9*CA$6</f>
        <v>36756.72</v>
      </c>
      <c r="CA9" s="35">
        <f t="shared" si="40"/>
        <v>992.4314400000001</v>
      </c>
      <c r="CB9" s="5">
        <f t="shared" si="41"/>
        <v>37749.15144</v>
      </c>
      <c r="CC9" s="35">
        <f t="shared" si="42"/>
        <v>552.0796512000001</v>
      </c>
      <c r="CD9" s="5"/>
      <c r="CE9" s="35">
        <f aca="true" t="shared" si="102" ref="CE9:CE29">$C9*CF$6</f>
        <v>3882.645</v>
      </c>
      <c r="CF9" s="35">
        <f t="shared" si="43"/>
        <v>104.831415</v>
      </c>
      <c r="CG9" s="5">
        <f t="shared" si="44"/>
        <v>3987.476415</v>
      </c>
      <c r="CH9" s="35">
        <f t="shared" si="45"/>
        <v>58.316664200000005</v>
      </c>
      <c r="CI9" s="5"/>
      <c r="CJ9" s="35">
        <f>$C9*CK$6</f>
        <v>10606.635</v>
      </c>
      <c r="CK9" s="35">
        <f t="shared" si="46"/>
        <v>286.379145</v>
      </c>
      <c r="CL9" s="5">
        <f t="shared" si="47"/>
        <v>10893.014145000001</v>
      </c>
      <c r="CM9" s="35">
        <f t="shared" si="48"/>
        <v>159.3098446</v>
      </c>
      <c r="CN9" s="5"/>
      <c r="CO9" s="35">
        <f aca="true" t="shared" si="103" ref="CO9:CO29">$C9*CP$6</f>
        <v>103750.335</v>
      </c>
      <c r="CP9" s="35">
        <f t="shared" si="49"/>
        <v>2801.2590450000002</v>
      </c>
      <c r="CQ9" s="35">
        <f t="shared" si="50"/>
        <v>106551.594045</v>
      </c>
      <c r="CR9" s="35">
        <f t="shared" si="51"/>
        <v>1558.3122966</v>
      </c>
      <c r="CS9" s="5"/>
      <c r="CT9" s="35">
        <f aca="true" t="shared" si="104" ref="CT9:CT29">$C9*CU$6</f>
        <v>14327.82</v>
      </c>
      <c r="CU9" s="35">
        <f t="shared" si="52"/>
        <v>386.85114</v>
      </c>
      <c r="CV9" s="35">
        <f t="shared" si="53"/>
        <v>14714.67114</v>
      </c>
      <c r="CW9" s="35">
        <f t="shared" si="54"/>
        <v>215.20140719999998</v>
      </c>
      <c r="CX9" s="5"/>
      <c r="CY9" s="35">
        <f aca="true" t="shared" si="105" ref="CY9:CY29">$C9*CZ$6</f>
        <v>57236.399999999994</v>
      </c>
      <c r="CZ9" s="35">
        <f t="shared" si="55"/>
        <v>1545.3827999999999</v>
      </c>
      <c r="DA9" s="5">
        <f t="shared" si="56"/>
        <v>58781.78279999999</v>
      </c>
      <c r="DB9" s="35">
        <f t="shared" si="57"/>
        <v>859.680944</v>
      </c>
      <c r="DC9" s="5"/>
      <c r="DD9" s="35">
        <f aca="true" t="shared" si="106" ref="DD9:DD29">$C9*DE$6</f>
        <v>460248.74999999994</v>
      </c>
      <c r="DE9" s="35">
        <f t="shared" si="58"/>
        <v>12426.71625</v>
      </c>
      <c r="DF9" s="35">
        <f t="shared" si="59"/>
        <v>472675.46624999994</v>
      </c>
      <c r="DG9" s="35">
        <f t="shared" si="60"/>
        <v>6912.85755</v>
      </c>
      <c r="DH9" s="5"/>
      <c r="DI9" s="35">
        <f aca="true" t="shared" si="107" ref="DI9:DI29">$C9*DJ$6</f>
        <v>687570.975</v>
      </c>
      <c r="DJ9" s="35">
        <f t="shared" si="61"/>
        <v>18564.416325</v>
      </c>
      <c r="DK9" s="5">
        <f t="shared" si="62"/>
        <v>706135.391325</v>
      </c>
      <c r="DL9" s="35">
        <f t="shared" si="63"/>
        <v>10327.198511</v>
      </c>
      <c r="DM9" s="5"/>
      <c r="DN9" s="35">
        <f aca="true" t="shared" si="108" ref="DN9:DN29">$C9*DO$6</f>
        <v>5730.66</v>
      </c>
      <c r="DO9" s="35">
        <f t="shared" si="64"/>
        <v>154.72781999999998</v>
      </c>
      <c r="DP9" s="5">
        <f t="shared" si="65"/>
        <v>5885.38782</v>
      </c>
      <c r="DQ9" s="35">
        <f t="shared" si="66"/>
        <v>86.07353359999999</v>
      </c>
      <c r="DR9" s="5"/>
      <c r="DS9" s="35">
        <f aca="true" t="shared" si="109" ref="DS9:DS29">$C9*DT$6</f>
        <v>219739.455</v>
      </c>
      <c r="DT9" s="35">
        <f t="shared" si="67"/>
        <v>5932.965285</v>
      </c>
      <c r="DU9" s="5">
        <f t="shared" si="68"/>
        <v>225672.420285</v>
      </c>
      <c r="DV9" s="35">
        <f t="shared" si="69"/>
        <v>3300.4490518</v>
      </c>
      <c r="DW9" s="5"/>
      <c r="DX9" s="35">
        <f aca="true" t="shared" si="110" ref="DX9:DX29">$C9*DY$6</f>
        <v>366631.785</v>
      </c>
      <c r="DY9" s="35">
        <f t="shared" si="70"/>
        <v>9899.058195</v>
      </c>
      <c r="DZ9" s="5">
        <f t="shared" si="71"/>
        <v>376530.84319499996</v>
      </c>
      <c r="EA9" s="35">
        <f t="shared" si="72"/>
        <v>5506.7467386</v>
      </c>
      <c r="EB9" s="5"/>
      <c r="EC9" s="35">
        <f aca="true" t="shared" si="111" ref="EC9:EC29">$C9*ED$6</f>
        <v>313888.185</v>
      </c>
      <c r="ED9" s="35">
        <f t="shared" si="73"/>
        <v>8474.980995</v>
      </c>
      <c r="EE9" s="5">
        <f t="shared" si="74"/>
        <v>322363.165995</v>
      </c>
      <c r="EF9" s="35">
        <f t="shared" si="75"/>
        <v>4714.5468826</v>
      </c>
      <c r="EG9" s="5"/>
      <c r="EH9" s="35">
        <f aca="true" t="shared" si="112" ref="EH9:EH29">$C9*EI$6</f>
        <v>311248.665</v>
      </c>
      <c r="EI9" s="35">
        <f t="shared" si="76"/>
        <v>8403.713955</v>
      </c>
      <c r="EJ9" s="5">
        <f t="shared" si="77"/>
        <v>319652.37895499996</v>
      </c>
      <c r="EK9" s="35">
        <f t="shared" si="78"/>
        <v>4674.9017434</v>
      </c>
      <c r="EL9" s="5"/>
      <c r="EM9" s="35">
        <f aca="true" t="shared" si="113" ref="EM9:EM29">$C9*EN$6</f>
        <v>451295.91</v>
      </c>
      <c r="EN9" s="35">
        <f t="shared" si="79"/>
        <v>12184.98957</v>
      </c>
      <c r="EO9" s="35">
        <f t="shared" si="80"/>
        <v>463480.89956999995</v>
      </c>
      <c r="EP9" s="35">
        <f t="shared" si="81"/>
        <v>6778.387423599999</v>
      </c>
      <c r="EQ9" s="5"/>
      <c r="ER9" s="35">
        <f aca="true" t="shared" si="114" ref="ER9:ER29">$C9*ES$6</f>
        <v>571639.77</v>
      </c>
      <c r="ES9" s="35">
        <f t="shared" si="82"/>
        <v>15434.273790000001</v>
      </c>
      <c r="ET9" s="35">
        <f t="shared" si="83"/>
        <v>587074.04379</v>
      </c>
      <c r="EU9" s="35">
        <f t="shared" si="84"/>
        <v>8585.9316292</v>
      </c>
      <c r="EV9" s="5"/>
      <c r="EW9" s="35">
        <f aca="true" t="shared" si="115" ref="EW9:EW29">$C9*EX$6</f>
        <v>2637.765</v>
      </c>
      <c r="EX9" s="35">
        <f t="shared" si="85"/>
        <v>71.219655</v>
      </c>
      <c r="EY9" s="5">
        <f t="shared" si="86"/>
        <v>2708.9846549999997</v>
      </c>
      <c r="EZ9" s="35">
        <f t="shared" si="87"/>
        <v>39.6187794</v>
      </c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ht="12.75">
      <c r="A10" s="36">
        <v>44105</v>
      </c>
      <c r="D10" s="3">
        <v>81900</v>
      </c>
      <c r="E10" s="34">
        <f t="shared" si="0"/>
        <v>81900</v>
      </c>
      <c r="F10" s="34">
        <v>87866</v>
      </c>
      <c r="H10" s="35">
        <f>'Academic Project '!H10</f>
        <v>0</v>
      </c>
      <c r="I10" s="35">
        <f>'Academic Project '!I10</f>
        <v>18282.618899999998</v>
      </c>
      <c r="J10" s="35">
        <f t="shared" si="88"/>
        <v>18282.618899999998</v>
      </c>
      <c r="K10" s="35">
        <f>'Academic Project '!K10</f>
        <v>19614.415045999995</v>
      </c>
      <c r="M10" s="35"/>
      <c r="N10" s="34">
        <f t="shared" si="1"/>
        <v>63617.3811</v>
      </c>
      <c r="O10" s="5">
        <f t="shared" si="2"/>
        <v>63617.3811</v>
      </c>
      <c r="P10" s="34">
        <f t="shared" si="3"/>
        <v>68251.584954</v>
      </c>
      <c r="R10" s="35"/>
      <c r="S10" s="35">
        <f t="shared" si="4"/>
        <v>17.78868</v>
      </c>
      <c r="T10" s="5">
        <f t="shared" si="5"/>
        <v>17.78868</v>
      </c>
      <c r="U10" s="35">
        <f t="shared" si="6"/>
        <v>19.0844952</v>
      </c>
      <c r="W10" s="35"/>
      <c r="X10" s="35">
        <f t="shared" si="7"/>
        <v>1893.07755</v>
      </c>
      <c r="Y10" s="5">
        <f t="shared" si="8"/>
        <v>1893.07755</v>
      </c>
      <c r="Z10" s="35">
        <f t="shared" si="9"/>
        <v>2030.9786569999999</v>
      </c>
      <c r="AB10" s="35"/>
      <c r="AC10" s="35">
        <f t="shared" si="10"/>
        <v>116.15876999999999</v>
      </c>
      <c r="AD10" s="35">
        <f t="shared" si="11"/>
        <v>116.15876999999999</v>
      </c>
      <c r="AE10" s="35">
        <f t="shared" si="12"/>
        <v>124.62034779999999</v>
      </c>
      <c r="AG10" s="35"/>
      <c r="AH10" s="35">
        <f t="shared" si="13"/>
        <v>840.12201</v>
      </c>
      <c r="AI10" s="5">
        <f t="shared" si="14"/>
        <v>840.12201</v>
      </c>
      <c r="AJ10" s="35">
        <f t="shared" si="15"/>
        <v>901.3206414</v>
      </c>
      <c r="AL10" s="35"/>
      <c r="AM10" s="35">
        <f t="shared" si="16"/>
        <v>664.5038400000001</v>
      </c>
      <c r="AN10" s="5">
        <f t="shared" si="17"/>
        <v>664.5038400000001</v>
      </c>
      <c r="AO10" s="35">
        <f t="shared" si="18"/>
        <v>712.9095776</v>
      </c>
      <c r="AQ10" s="35"/>
      <c r="AR10" s="35">
        <f t="shared" si="19"/>
        <v>177.26435999999998</v>
      </c>
      <c r="AS10" s="5">
        <f t="shared" si="20"/>
        <v>177.26435999999998</v>
      </c>
      <c r="AT10" s="35">
        <f t="shared" si="21"/>
        <v>190.1771704</v>
      </c>
      <c r="AV10" s="35"/>
      <c r="AW10" s="35">
        <f t="shared" si="22"/>
        <v>2004.35508</v>
      </c>
      <c r="AX10" s="5">
        <f t="shared" si="23"/>
        <v>2004.35508</v>
      </c>
      <c r="AY10" s="35">
        <f t="shared" si="24"/>
        <v>2150.3621912</v>
      </c>
      <c r="AZ10" s="5"/>
      <c r="BA10" s="35"/>
      <c r="BB10" s="35">
        <f t="shared" si="25"/>
        <v>35.24157</v>
      </c>
      <c r="BC10" s="5">
        <f t="shared" si="26"/>
        <v>35.24157</v>
      </c>
      <c r="BD10" s="35">
        <f t="shared" si="27"/>
        <v>37.8087398</v>
      </c>
      <c r="BE10" s="5"/>
      <c r="BF10" s="35"/>
      <c r="BG10" s="35">
        <f t="shared" si="28"/>
        <v>7.52661</v>
      </c>
      <c r="BH10" s="5">
        <f t="shared" si="29"/>
        <v>7.52661</v>
      </c>
      <c r="BI10" s="35">
        <f t="shared" si="30"/>
        <v>8.0748854</v>
      </c>
      <c r="BJ10" s="5"/>
      <c r="BK10" s="35"/>
      <c r="BL10" s="35">
        <f t="shared" si="31"/>
        <v>7198.5186</v>
      </c>
      <c r="BM10" s="5">
        <f t="shared" si="32"/>
        <v>7198.5186</v>
      </c>
      <c r="BN10" s="35">
        <f t="shared" si="33"/>
        <v>7722.894204</v>
      </c>
      <c r="BO10" s="5"/>
      <c r="BP10" s="35"/>
      <c r="BQ10" s="35">
        <f t="shared" si="34"/>
        <v>13.88205</v>
      </c>
      <c r="BR10" s="5">
        <f t="shared" si="35"/>
        <v>13.88205</v>
      </c>
      <c r="BS10" s="35">
        <f t="shared" si="36"/>
        <v>14.893287</v>
      </c>
      <c r="BT10" s="5"/>
      <c r="BU10" s="35"/>
      <c r="BV10" s="35">
        <f t="shared" si="37"/>
        <v>8.24733</v>
      </c>
      <c r="BW10" s="5">
        <f t="shared" si="38"/>
        <v>8.24733</v>
      </c>
      <c r="BX10" s="35">
        <f t="shared" si="39"/>
        <v>8.8481062</v>
      </c>
      <c r="BY10" s="5"/>
      <c r="BZ10" s="35"/>
      <c r="CA10" s="35">
        <f t="shared" si="40"/>
        <v>514.59408</v>
      </c>
      <c r="CB10" s="5">
        <f t="shared" si="41"/>
        <v>514.59408</v>
      </c>
      <c r="CC10" s="35">
        <f t="shared" si="42"/>
        <v>552.0796512000001</v>
      </c>
      <c r="CD10" s="5"/>
      <c r="CE10" s="35"/>
      <c r="CF10" s="35">
        <f t="shared" si="43"/>
        <v>54.35703</v>
      </c>
      <c r="CG10" s="5">
        <f t="shared" si="44"/>
        <v>54.35703</v>
      </c>
      <c r="CH10" s="35">
        <f t="shared" si="45"/>
        <v>58.316664200000005</v>
      </c>
      <c r="CI10" s="5"/>
      <c r="CJ10" s="35"/>
      <c r="CK10" s="35">
        <f t="shared" si="46"/>
        <v>148.49289</v>
      </c>
      <c r="CL10" s="5">
        <f t="shared" si="47"/>
        <v>148.49289</v>
      </c>
      <c r="CM10" s="35">
        <f t="shared" si="48"/>
        <v>159.3098446</v>
      </c>
      <c r="CN10" s="5"/>
      <c r="CO10" s="35"/>
      <c r="CP10" s="35">
        <f t="shared" si="49"/>
        <v>1452.50469</v>
      </c>
      <c r="CQ10" s="35">
        <f t="shared" si="50"/>
        <v>1452.50469</v>
      </c>
      <c r="CR10" s="35">
        <f t="shared" si="51"/>
        <v>1558.3122966</v>
      </c>
      <c r="CS10" s="5"/>
      <c r="CT10" s="35"/>
      <c r="CU10" s="35">
        <f t="shared" si="52"/>
        <v>200.58947999999998</v>
      </c>
      <c r="CV10" s="35">
        <f t="shared" si="53"/>
        <v>200.58947999999998</v>
      </c>
      <c r="CW10" s="35">
        <f t="shared" si="54"/>
        <v>215.20140719999998</v>
      </c>
      <c r="CX10" s="5"/>
      <c r="CY10" s="35"/>
      <c r="CZ10" s="35">
        <f t="shared" si="55"/>
        <v>801.3095999999999</v>
      </c>
      <c r="DA10" s="5">
        <f t="shared" si="56"/>
        <v>801.3095999999999</v>
      </c>
      <c r="DB10" s="35">
        <f t="shared" si="57"/>
        <v>859.680944</v>
      </c>
      <c r="DC10" s="5"/>
      <c r="DD10" s="35"/>
      <c r="DE10" s="35">
        <f t="shared" si="58"/>
        <v>6443.482499999999</v>
      </c>
      <c r="DF10" s="35">
        <f t="shared" si="59"/>
        <v>6443.482499999999</v>
      </c>
      <c r="DG10" s="35">
        <f t="shared" si="60"/>
        <v>6912.85755</v>
      </c>
      <c r="DH10" s="5"/>
      <c r="DI10" s="35"/>
      <c r="DJ10" s="35">
        <f t="shared" si="61"/>
        <v>9625.99365</v>
      </c>
      <c r="DK10" s="5">
        <f t="shared" si="62"/>
        <v>9625.99365</v>
      </c>
      <c r="DL10" s="35">
        <f t="shared" si="63"/>
        <v>10327.198511</v>
      </c>
      <c r="DM10" s="5"/>
      <c r="DN10" s="35"/>
      <c r="DO10" s="35">
        <f t="shared" si="64"/>
        <v>80.22923999999999</v>
      </c>
      <c r="DP10" s="5">
        <f t="shared" si="65"/>
        <v>80.22923999999999</v>
      </c>
      <c r="DQ10" s="35">
        <f t="shared" si="66"/>
        <v>86.07353359999999</v>
      </c>
      <c r="DR10" s="5"/>
      <c r="DS10" s="35"/>
      <c r="DT10" s="35">
        <f t="shared" si="67"/>
        <v>3076.35237</v>
      </c>
      <c r="DU10" s="5">
        <f t="shared" si="68"/>
        <v>3076.35237</v>
      </c>
      <c r="DV10" s="35">
        <f t="shared" si="69"/>
        <v>3300.4490518</v>
      </c>
      <c r="DW10" s="5"/>
      <c r="DX10" s="35"/>
      <c r="DY10" s="35">
        <f t="shared" si="70"/>
        <v>5132.84499</v>
      </c>
      <c r="DZ10" s="5">
        <f t="shared" si="71"/>
        <v>5132.84499</v>
      </c>
      <c r="EA10" s="35">
        <f t="shared" si="72"/>
        <v>5506.7467386</v>
      </c>
      <c r="EB10" s="5"/>
      <c r="EC10" s="35"/>
      <c r="ED10" s="35">
        <f t="shared" si="73"/>
        <v>4394.43459</v>
      </c>
      <c r="EE10" s="5">
        <f t="shared" si="74"/>
        <v>4394.43459</v>
      </c>
      <c r="EF10" s="35">
        <f t="shared" si="75"/>
        <v>4714.5468826</v>
      </c>
      <c r="EG10" s="5"/>
      <c r="EH10" s="35"/>
      <c r="EI10" s="35">
        <f t="shared" si="76"/>
        <v>4357.48131</v>
      </c>
      <c r="EJ10" s="5">
        <f t="shared" si="77"/>
        <v>4357.48131</v>
      </c>
      <c r="EK10" s="35">
        <f t="shared" si="78"/>
        <v>4674.9017434</v>
      </c>
      <c r="EL10" s="5"/>
      <c r="EM10" s="35"/>
      <c r="EN10" s="35">
        <f t="shared" si="79"/>
        <v>6318.142739999999</v>
      </c>
      <c r="EO10" s="35">
        <f t="shared" si="80"/>
        <v>6318.142739999999</v>
      </c>
      <c r="EP10" s="35">
        <f t="shared" si="81"/>
        <v>6778.387423599999</v>
      </c>
      <c r="EQ10" s="5"/>
      <c r="ER10" s="35"/>
      <c r="ES10" s="35">
        <f t="shared" si="82"/>
        <v>8002.95678</v>
      </c>
      <c r="ET10" s="35">
        <f t="shared" si="83"/>
        <v>8002.95678</v>
      </c>
      <c r="EU10" s="35">
        <f t="shared" si="84"/>
        <v>8585.9316292</v>
      </c>
      <c r="EV10" s="5"/>
      <c r="EW10" s="35"/>
      <c r="EX10" s="35">
        <f t="shared" si="85"/>
        <v>36.92871</v>
      </c>
      <c r="EY10" s="5">
        <f t="shared" si="86"/>
        <v>36.92871</v>
      </c>
      <c r="EZ10" s="35">
        <f t="shared" si="87"/>
        <v>39.6187794</v>
      </c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ht="12.75">
      <c r="A11" s="36">
        <v>44287</v>
      </c>
      <c r="C11" s="3">
        <v>6000000</v>
      </c>
      <c r="D11" s="3">
        <v>81900</v>
      </c>
      <c r="E11" s="34">
        <f t="shared" si="0"/>
        <v>6081900</v>
      </c>
      <c r="F11" s="34">
        <v>87866</v>
      </c>
      <c r="H11" s="35">
        <f>'Academic Project '!H11</f>
        <v>1339386.0000000002</v>
      </c>
      <c r="I11" s="35">
        <f>'Academic Project '!I11</f>
        <v>18282.618899999998</v>
      </c>
      <c r="J11" s="35">
        <f t="shared" si="88"/>
        <v>1357668.6189000001</v>
      </c>
      <c r="K11" s="35">
        <f>'Academic Project '!K11</f>
        <v>19614.415045999995</v>
      </c>
      <c r="M11" s="35">
        <f>R11+W11+AB11+AG11+AL11+AQ11+AV11+BA11+BF11+BK11+BP11+BU11+BZ11+CE11+CO11+CT11+CY11+DD11+DI11+DN11+DS11+DX11+EC11+EH11+CJ11+EM11+ER11+EW11+FB11</f>
        <v>4660614.000000001</v>
      </c>
      <c r="N11" s="34">
        <f t="shared" si="1"/>
        <v>63617.3811</v>
      </c>
      <c r="O11" s="5">
        <f t="shared" si="2"/>
        <v>4724231.381100001</v>
      </c>
      <c r="P11" s="34">
        <f t="shared" si="3"/>
        <v>68251.584954</v>
      </c>
      <c r="R11" s="35">
        <f t="shared" si="89"/>
        <v>1303.2</v>
      </c>
      <c r="S11" s="35">
        <f t="shared" si="4"/>
        <v>17.78868</v>
      </c>
      <c r="T11" s="5">
        <f t="shared" si="5"/>
        <v>1320.98868</v>
      </c>
      <c r="U11" s="35">
        <f t="shared" si="6"/>
        <v>19.0844952</v>
      </c>
      <c r="W11" s="35">
        <f t="shared" si="90"/>
        <v>138687</v>
      </c>
      <c r="X11" s="35">
        <f t="shared" si="7"/>
        <v>1893.07755</v>
      </c>
      <c r="Y11" s="5">
        <f t="shared" si="8"/>
        <v>140580.07755</v>
      </c>
      <c r="Z11" s="35">
        <f t="shared" si="9"/>
        <v>2030.9786569999999</v>
      </c>
      <c r="AB11" s="35">
        <f t="shared" si="91"/>
        <v>8509.8</v>
      </c>
      <c r="AC11" s="35">
        <f t="shared" si="10"/>
        <v>116.15876999999999</v>
      </c>
      <c r="AD11" s="35">
        <f t="shared" si="11"/>
        <v>8625.95877</v>
      </c>
      <c r="AE11" s="35">
        <f t="shared" si="12"/>
        <v>124.62034779999999</v>
      </c>
      <c r="AG11" s="35">
        <f t="shared" si="92"/>
        <v>61547.4</v>
      </c>
      <c r="AH11" s="35">
        <f t="shared" si="13"/>
        <v>840.12201</v>
      </c>
      <c r="AI11" s="5">
        <f t="shared" si="14"/>
        <v>62387.52201</v>
      </c>
      <c r="AJ11" s="35">
        <f t="shared" si="15"/>
        <v>901.3206414</v>
      </c>
      <c r="AL11" s="35">
        <f t="shared" si="93"/>
        <v>48681.6</v>
      </c>
      <c r="AM11" s="35">
        <f t="shared" si="16"/>
        <v>664.5038400000001</v>
      </c>
      <c r="AN11" s="5">
        <f t="shared" si="17"/>
        <v>49346.103839999996</v>
      </c>
      <c r="AO11" s="35">
        <f t="shared" si="18"/>
        <v>712.9095776</v>
      </c>
      <c r="AQ11" s="35">
        <f t="shared" si="94"/>
        <v>12986.4</v>
      </c>
      <c r="AR11" s="35">
        <f t="shared" si="19"/>
        <v>177.26435999999998</v>
      </c>
      <c r="AS11" s="5">
        <f t="shared" si="20"/>
        <v>13163.664359999999</v>
      </c>
      <c r="AT11" s="35">
        <f t="shared" si="21"/>
        <v>190.1771704</v>
      </c>
      <c r="AV11" s="35">
        <f t="shared" si="95"/>
        <v>146839.2</v>
      </c>
      <c r="AW11" s="35">
        <f t="shared" si="22"/>
        <v>2004.35508</v>
      </c>
      <c r="AX11" s="5">
        <f t="shared" si="23"/>
        <v>148843.55508000002</v>
      </c>
      <c r="AY11" s="35">
        <f t="shared" si="24"/>
        <v>2150.3621912</v>
      </c>
      <c r="AZ11" s="5"/>
      <c r="BA11" s="35">
        <f t="shared" si="96"/>
        <v>2581.8</v>
      </c>
      <c r="BB11" s="35">
        <f t="shared" si="25"/>
        <v>35.24157</v>
      </c>
      <c r="BC11" s="5">
        <f t="shared" si="26"/>
        <v>2617.0415700000003</v>
      </c>
      <c r="BD11" s="35">
        <f t="shared" si="27"/>
        <v>37.8087398</v>
      </c>
      <c r="BE11" s="5"/>
      <c r="BF11" s="35">
        <f t="shared" si="97"/>
        <v>551.4</v>
      </c>
      <c r="BG11" s="35">
        <f t="shared" si="28"/>
        <v>7.52661</v>
      </c>
      <c r="BH11" s="5">
        <f t="shared" si="29"/>
        <v>558.92661</v>
      </c>
      <c r="BI11" s="35">
        <f t="shared" si="30"/>
        <v>8.0748854</v>
      </c>
      <c r="BJ11" s="5"/>
      <c r="BK11" s="35">
        <f t="shared" si="98"/>
        <v>527364</v>
      </c>
      <c r="BL11" s="35">
        <f t="shared" si="31"/>
        <v>7198.5186</v>
      </c>
      <c r="BM11" s="5">
        <f t="shared" si="32"/>
        <v>534562.5186</v>
      </c>
      <c r="BN11" s="35">
        <f t="shared" si="33"/>
        <v>7722.894204</v>
      </c>
      <c r="BO11" s="5"/>
      <c r="BP11" s="35">
        <f t="shared" si="99"/>
        <v>1017</v>
      </c>
      <c r="BQ11" s="35">
        <f t="shared" si="34"/>
        <v>13.88205</v>
      </c>
      <c r="BR11" s="5">
        <f t="shared" si="35"/>
        <v>1030.88205</v>
      </c>
      <c r="BS11" s="35">
        <f t="shared" si="36"/>
        <v>14.893287</v>
      </c>
      <c r="BT11" s="5"/>
      <c r="BU11" s="35">
        <f t="shared" si="100"/>
        <v>604.1999999999999</v>
      </c>
      <c r="BV11" s="35">
        <f t="shared" si="37"/>
        <v>8.24733</v>
      </c>
      <c r="BW11" s="5">
        <f t="shared" si="38"/>
        <v>612.44733</v>
      </c>
      <c r="BX11" s="35">
        <f t="shared" si="39"/>
        <v>8.8481062</v>
      </c>
      <c r="BY11" s="5"/>
      <c r="BZ11" s="35">
        <f t="shared" si="101"/>
        <v>37699.2</v>
      </c>
      <c r="CA11" s="35">
        <f t="shared" si="40"/>
        <v>514.59408</v>
      </c>
      <c r="CB11" s="5">
        <f t="shared" si="41"/>
        <v>38213.79408</v>
      </c>
      <c r="CC11" s="35">
        <f t="shared" si="42"/>
        <v>552.0796512000001</v>
      </c>
      <c r="CD11" s="5"/>
      <c r="CE11" s="35">
        <f t="shared" si="102"/>
        <v>3982.2000000000003</v>
      </c>
      <c r="CF11" s="35">
        <f t="shared" si="43"/>
        <v>54.35703</v>
      </c>
      <c r="CG11" s="5">
        <f t="shared" si="44"/>
        <v>4036.5570300000004</v>
      </c>
      <c r="CH11" s="35">
        <f t="shared" si="45"/>
        <v>58.316664200000005</v>
      </c>
      <c r="CI11" s="5"/>
      <c r="CJ11" s="35">
        <f>$C11*CK$6</f>
        <v>10878.6</v>
      </c>
      <c r="CK11" s="35">
        <f t="shared" si="46"/>
        <v>148.49289</v>
      </c>
      <c r="CL11" s="5">
        <f t="shared" si="47"/>
        <v>11027.09289</v>
      </c>
      <c r="CM11" s="35">
        <f t="shared" si="48"/>
        <v>159.3098446</v>
      </c>
      <c r="CN11" s="5"/>
      <c r="CO11" s="35">
        <f t="shared" si="103"/>
        <v>106410.6</v>
      </c>
      <c r="CP11" s="35">
        <f t="shared" si="49"/>
        <v>1452.50469</v>
      </c>
      <c r="CQ11" s="35">
        <f t="shared" si="50"/>
        <v>107863.10469000001</v>
      </c>
      <c r="CR11" s="35">
        <f t="shared" si="51"/>
        <v>1558.3122966</v>
      </c>
      <c r="CS11" s="5"/>
      <c r="CT11" s="35">
        <f t="shared" si="104"/>
        <v>14695.199999999999</v>
      </c>
      <c r="CU11" s="35">
        <f t="shared" si="52"/>
        <v>200.58947999999998</v>
      </c>
      <c r="CV11" s="35">
        <f t="shared" si="53"/>
        <v>14895.78948</v>
      </c>
      <c r="CW11" s="35">
        <f t="shared" si="54"/>
        <v>215.20140719999998</v>
      </c>
      <c r="CX11" s="5"/>
      <c r="CY11" s="35">
        <f t="shared" si="105"/>
        <v>58703.99999999999</v>
      </c>
      <c r="CZ11" s="35">
        <f t="shared" si="55"/>
        <v>801.3095999999999</v>
      </c>
      <c r="DA11" s="5">
        <f t="shared" si="56"/>
        <v>59505.30959999999</v>
      </c>
      <c r="DB11" s="35">
        <f t="shared" si="57"/>
        <v>859.680944</v>
      </c>
      <c r="DC11" s="5"/>
      <c r="DD11" s="35">
        <f t="shared" si="106"/>
        <v>472049.99999999994</v>
      </c>
      <c r="DE11" s="35">
        <f t="shared" si="58"/>
        <v>6443.482499999999</v>
      </c>
      <c r="DF11" s="35">
        <f t="shared" si="59"/>
        <v>478493.4824999999</v>
      </c>
      <c r="DG11" s="35">
        <f t="shared" si="60"/>
        <v>6912.85755</v>
      </c>
      <c r="DH11" s="5"/>
      <c r="DI11" s="35">
        <f t="shared" si="107"/>
        <v>705201</v>
      </c>
      <c r="DJ11" s="35">
        <f t="shared" si="61"/>
        <v>9625.99365</v>
      </c>
      <c r="DK11" s="5">
        <f t="shared" si="62"/>
        <v>714826.99365</v>
      </c>
      <c r="DL11" s="35">
        <f t="shared" si="63"/>
        <v>10327.198511</v>
      </c>
      <c r="DM11" s="5"/>
      <c r="DN11" s="35">
        <f t="shared" si="108"/>
        <v>5877.599999999999</v>
      </c>
      <c r="DO11" s="35">
        <f t="shared" si="64"/>
        <v>80.22923999999999</v>
      </c>
      <c r="DP11" s="5">
        <f t="shared" si="65"/>
        <v>5957.829239999999</v>
      </c>
      <c r="DQ11" s="35">
        <f t="shared" si="66"/>
        <v>86.07353359999999</v>
      </c>
      <c r="DR11" s="5"/>
      <c r="DS11" s="35">
        <f t="shared" si="109"/>
        <v>225373.8</v>
      </c>
      <c r="DT11" s="35">
        <f t="shared" si="67"/>
        <v>3076.35237</v>
      </c>
      <c r="DU11" s="5">
        <f t="shared" si="68"/>
        <v>228450.15237</v>
      </c>
      <c r="DV11" s="35">
        <f t="shared" si="69"/>
        <v>3300.4490518</v>
      </c>
      <c r="DW11" s="5"/>
      <c r="DX11" s="35">
        <f t="shared" si="110"/>
        <v>376032.6</v>
      </c>
      <c r="DY11" s="35">
        <f t="shared" si="70"/>
        <v>5132.84499</v>
      </c>
      <c r="DZ11" s="5">
        <f t="shared" si="71"/>
        <v>381165.44499</v>
      </c>
      <c r="EA11" s="35">
        <f t="shared" si="72"/>
        <v>5506.7467386</v>
      </c>
      <c r="EB11" s="5"/>
      <c r="EC11" s="35">
        <f t="shared" si="111"/>
        <v>321936.6</v>
      </c>
      <c r="ED11" s="35">
        <f t="shared" si="73"/>
        <v>4394.43459</v>
      </c>
      <c r="EE11" s="5">
        <f t="shared" si="74"/>
        <v>326331.03459</v>
      </c>
      <c r="EF11" s="35">
        <f t="shared" si="75"/>
        <v>4714.5468826</v>
      </c>
      <c r="EG11" s="5"/>
      <c r="EH11" s="35">
        <f t="shared" si="112"/>
        <v>319229.4</v>
      </c>
      <c r="EI11" s="35">
        <f t="shared" si="76"/>
        <v>4357.48131</v>
      </c>
      <c r="EJ11" s="5">
        <f t="shared" si="77"/>
        <v>323586.88131</v>
      </c>
      <c r="EK11" s="35">
        <f t="shared" si="78"/>
        <v>4674.9017434</v>
      </c>
      <c r="EL11" s="5"/>
      <c r="EM11" s="35">
        <f t="shared" si="113"/>
        <v>462867.6</v>
      </c>
      <c r="EN11" s="35">
        <f t="shared" si="79"/>
        <v>6318.142739999999</v>
      </c>
      <c r="EO11" s="35">
        <f t="shared" si="80"/>
        <v>469185.74273999996</v>
      </c>
      <c r="EP11" s="35">
        <f t="shared" si="81"/>
        <v>6778.387423599999</v>
      </c>
      <c r="EQ11" s="5"/>
      <c r="ER11" s="35">
        <f t="shared" si="114"/>
        <v>586297.2000000001</v>
      </c>
      <c r="ES11" s="35">
        <f t="shared" si="82"/>
        <v>8002.95678</v>
      </c>
      <c r="ET11" s="35">
        <f t="shared" si="83"/>
        <v>594300.1567800001</v>
      </c>
      <c r="EU11" s="35">
        <f t="shared" si="84"/>
        <v>8585.9316292</v>
      </c>
      <c r="EV11" s="5"/>
      <c r="EW11" s="35">
        <f t="shared" si="115"/>
        <v>2705.4</v>
      </c>
      <c r="EX11" s="35">
        <f t="shared" si="85"/>
        <v>36.92871</v>
      </c>
      <c r="EY11" s="5">
        <f t="shared" si="86"/>
        <v>2742.3287100000002</v>
      </c>
      <c r="EZ11" s="35">
        <f t="shared" si="87"/>
        <v>39.6187794</v>
      </c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ht="12.75">
      <c r="A12" s="36">
        <v>44470</v>
      </c>
      <c r="D12" s="3">
        <v>0</v>
      </c>
      <c r="E12" s="34">
        <f t="shared" si="0"/>
        <v>0</v>
      </c>
      <c r="F12" s="34"/>
      <c r="H12" s="35">
        <f>'Academic Project '!H12</f>
        <v>0</v>
      </c>
      <c r="I12" s="35">
        <f>'Academic Project '!I12</f>
        <v>0</v>
      </c>
      <c r="J12" s="35">
        <f t="shared" si="88"/>
        <v>0</v>
      </c>
      <c r="K12" s="35">
        <f>'Academic Project '!K12</f>
        <v>0</v>
      </c>
      <c r="M12" s="35"/>
      <c r="N12" s="34">
        <f t="shared" si="1"/>
        <v>0</v>
      </c>
      <c r="O12" s="5">
        <f t="shared" si="2"/>
        <v>0</v>
      </c>
      <c r="P12" s="34">
        <f t="shared" si="3"/>
        <v>0</v>
      </c>
      <c r="R12" s="35"/>
      <c r="S12" s="35">
        <f t="shared" si="4"/>
        <v>0</v>
      </c>
      <c r="T12" s="5">
        <f t="shared" si="5"/>
        <v>0</v>
      </c>
      <c r="U12" s="35">
        <f t="shared" si="6"/>
        <v>0</v>
      </c>
      <c r="W12" s="35"/>
      <c r="X12" s="35">
        <f t="shared" si="7"/>
        <v>0</v>
      </c>
      <c r="Y12" s="5">
        <f t="shared" si="8"/>
        <v>0</v>
      </c>
      <c r="Z12" s="35">
        <f t="shared" si="9"/>
        <v>0</v>
      </c>
      <c r="AB12" s="35"/>
      <c r="AC12" s="35">
        <f t="shared" si="10"/>
        <v>0</v>
      </c>
      <c r="AD12" s="35">
        <f t="shared" si="11"/>
        <v>0</v>
      </c>
      <c r="AE12" s="35">
        <f t="shared" si="12"/>
        <v>0</v>
      </c>
      <c r="AG12" s="35"/>
      <c r="AH12" s="35">
        <f t="shared" si="13"/>
        <v>0</v>
      </c>
      <c r="AI12" s="5">
        <f t="shared" si="14"/>
        <v>0</v>
      </c>
      <c r="AJ12" s="35">
        <f t="shared" si="15"/>
        <v>0</v>
      </c>
      <c r="AL12" s="35"/>
      <c r="AM12" s="35">
        <f t="shared" si="16"/>
        <v>0</v>
      </c>
      <c r="AN12" s="5">
        <f t="shared" si="17"/>
        <v>0</v>
      </c>
      <c r="AO12" s="35">
        <f t="shared" si="18"/>
        <v>0</v>
      </c>
      <c r="AQ12" s="35"/>
      <c r="AR12" s="35">
        <f t="shared" si="19"/>
        <v>0</v>
      </c>
      <c r="AS12" s="5">
        <f t="shared" si="20"/>
        <v>0</v>
      </c>
      <c r="AT12" s="35">
        <f t="shared" si="21"/>
        <v>0</v>
      </c>
      <c r="AV12" s="35"/>
      <c r="AW12" s="35">
        <f t="shared" si="22"/>
        <v>0</v>
      </c>
      <c r="AX12" s="5">
        <f t="shared" si="23"/>
        <v>0</v>
      </c>
      <c r="AY12" s="35">
        <f t="shared" si="24"/>
        <v>0</v>
      </c>
      <c r="AZ12" s="5"/>
      <c r="BA12" s="35"/>
      <c r="BB12" s="35">
        <f t="shared" si="25"/>
        <v>0</v>
      </c>
      <c r="BC12" s="5">
        <f t="shared" si="26"/>
        <v>0</v>
      </c>
      <c r="BD12" s="35">
        <f t="shared" si="27"/>
        <v>0</v>
      </c>
      <c r="BE12" s="5"/>
      <c r="BF12" s="35"/>
      <c r="BG12" s="35">
        <f t="shared" si="28"/>
        <v>0</v>
      </c>
      <c r="BH12" s="5">
        <f t="shared" si="29"/>
        <v>0</v>
      </c>
      <c r="BI12" s="35">
        <f t="shared" si="30"/>
        <v>0</v>
      </c>
      <c r="BJ12" s="5"/>
      <c r="BK12" s="35"/>
      <c r="BL12" s="35">
        <f t="shared" si="31"/>
        <v>0</v>
      </c>
      <c r="BM12" s="5">
        <f t="shared" si="32"/>
        <v>0</v>
      </c>
      <c r="BN12" s="35">
        <f t="shared" si="33"/>
        <v>0</v>
      </c>
      <c r="BO12" s="5"/>
      <c r="BP12" s="35"/>
      <c r="BQ12" s="35">
        <f t="shared" si="34"/>
        <v>0</v>
      </c>
      <c r="BR12" s="5">
        <f t="shared" si="35"/>
        <v>0</v>
      </c>
      <c r="BS12" s="35">
        <f t="shared" si="36"/>
        <v>0</v>
      </c>
      <c r="BT12" s="5"/>
      <c r="BU12" s="35"/>
      <c r="BV12" s="35">
        <f t="shared" si="37"/>
        <v>0</v>
      </c>
      <c r="BW12" s="5">
        <f t="shared" si="38"/>
        <v>0</v>
      </c>
      <c r="BX12" s="35">
        <f t="shared" si="39"/>
        <v>0</v>
      </c>
      <c r="BY12" s="5"/>
      <c r="BZ12" s="35"/>
      <c r="CA12" s="35">
        <f t="shared" si="40"/>
        <v>0</v>
      </c>
      <c r="CB12" s="5">
        <f t="shared" si="41"/>
        <v>0</v>
      </c>
      <c r="CC12" s="35">
        <f t="shared" si="42"/>
        <v>0</v>
      </c>
      <c r="CD12" s="5"/>
      <c r="CE12" s="35"/>
      <c r="CF12" s="35">
        <f t="shared" si="43"/>
        <v>0</v>
      </c>
      <c r="CG12" s="5">
        <f t="shared" si="44"/>
        <v>0</v>
      </c>
      <c r="CH12" s="35">
        <f t="shared" si="45"/>
        <v>0</v>
      </c>
      <c r="CI12" s="5"/>
      <c r="CJ12" s="35"/>
      <c r="CK12" s="35">
        <f t="shared" si="46"/>
        <v>0</v>
      </c>
      <c r="CL12" s="5">
        <f t="shared" si="47"/>
        <v>0</v>
      </c>
      <c r="CM12" s="35">
        <f t="shared" si="48"/>
        <v>0</v>
      </c>
      <c r="CN12" s="5"/>
      <c r="CO12" s="35"/>
      <c r="CP12" s="35">
        <f t="shared" si="49"/>
        <v>0</v>
      </c>
      <c r="CQ12" s="35">
        <f t="shared" si="50"/>
        <v>0</v>
      </c>
      <c r="CR12" s="35">
        <f t="shared" si="51"/>
        <v>0</v>
      </c>
      <c r="CS12" s="5"/>
      <c r="CT12" s="35"/>
      <c r="CU12" s="35">
        <f t="shared" si="52"/>
        <v>0</v>
      </c>
      <c r="CV12" s="35">
        <f t="shared" si="53"/>
        <v>0</v>
      </c>
      <c r="CW12" s="35">
        <f t="shared" si="54"/>
        <v>0</v>
      </c>
      <c r="CX12" s="5"/>
      <c r="CY12" s="35"/>
      <c r="CZ12" s="35">
        <f t="shared" si="55"/>
        <v>0</v>
      </c>
      <c r="DA12" s="5">
        <f t="shared" si="56"/>
        <v>0</v>
      </c>
      <c r="DB12" s="35">
        <f t="shared" si="57"/>
        <v>0</v>
      </c>
      <c r="DC12" s="5"/>
      <c r="DD12" s="35"/>
      <c r="DE12" s="35">
        <f t="shared" si="58"/>
        <v>0</v>
      </c>
      <c r="DF12" s="35">
        <f t="shared" si="59"/>
        <v>0</v>
      </c>
      <c r="DG12" s="35">
        <f t="shared" si="60"/>
        <v>0</v>
      </c>
      <c r="DH12" s="5"/>
      <c r="DI12" s="35"/>
      <c r="DJ12" s="35">
        <f t="shared" si="61"/>
        <v>0</v>
      </c>
      <c r="DK12" s="5">
        <f t="shared" si="62"/>
        <v>0</v>
      </c>
      <c r="DL12" s="35">
        <f t="shared" si="63"/>
        <v>0</v>
      </c>
      <c r="DM12" s="5"/>
      <c r="DN12" s="35"/>
      <c r="DO12" s="35">
        <f t="shared" si="64"/>
        <v>0</v>
      </c>
      <c r="DP12" s="5">
        <f t="shared" si="65"/>
        <v>0</v>
      </c>
      <c r="DQ12" s="35">
        <f t="shared" si="66"/>
        <v>0</v>
      </c>
      <c r="DR12" s="5"/>
      <c r="DS12" s="35"/>
      <c r="DT12" s="35">
        <f t="shared" si="67"/>
        <v>0</v>
      </c>
      <c r="DU12" s="5">
        <f t="shared" si="68"/>
        <v>0</v>
      </c>
      <c r="DV12" s="35">
        <f t="shared" si="69"/>
        <v>0</v>
      </c>
      <c r="DW12" s="5"/>
      <c r="DX12" s="35"/>
      <c r="DY12" s="35">
        <f t="shared" si="70"/>
        <v>0</v>
      </c>
      <c r="DZ12" s="5">
        <f t="shared" si="71"/>
        <v>0</v>
      </c>
      <c r="EA12" s="35">
        <f t="shared" si="72"/>
        <v>0</v>
      </c>
      <c r="EB12" s="5"/>
      <c r="EC12" s="35"/>
      <c r="ED12" s="35">
        <f t="shared" si="73"/>
        <v>0</v>
      </c>
      <c r="EE12" s="5">
        <f t="shared" si="74"/>
        <v>0</v>
      </c>
      <c r="EF12" s="35">
        <f t="shared" si="75"/>
        <v>0</v>
      </c>
      <c r="EG12" s="5"/>
      <c r="EH12" s="35"/>
      <c r="EI12" s="35">
        <f t="shared" si="76"/>
        <v>0</v>
      </c>
      <c r="EJ12" s="5">
        <f t="shared" si="77"/>
        <v>0</v>
      </c>
      <c r="EK12" s="35">
        <f t="shared" si="78"/>
        <v>0</v>
      </c>
      <c r="EL12" s="5"/>
      <c r="EM12" s="35"/>
      <c r="EN12" s="35">
        <f t="shared" si="79"/>
        <v>0</v>
      </c>
      <c r="EO12" s="35">
        <f t="shared" si="80"/>
        <v>0</v>
      </c>
      <c r="EP12" s="35">
        <f t="shared" si="81"/>
        <v>0</v>
      </c>
      <c r="EQ12" s="5"/>
      <c r="ER12" s="35"/>
      <c r="ES12" s="35">
        <f t="shared" si="82"/>
        <v>0</v>
      </c>
      <c r="ET12" s="35">
        <f t="shared" si="83"/>
        <v>0</v>
      </c>
      <c r="EU12" s="35">
        <f t="shared" si="84"/>
        <v>0</v>
      </c>
      <c r="EV12" s="5"/>
      <c r="EW12" s="35"/>
      <c r="EX12" s="35">
        <f t="shared" si="85"/>
        <v>0</v>
      </c>
      <c r="EY12" s="5">
        <f t="shared" si="86"/>
        <v>0</v>
      </c>
      <c r="EZ12" s="35">
        <f t="shared" si="87"/>
        <v>0</v>
      </c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ht="12.75">
      <c r="A13" s="36">
        <v>44652</v>
      </c>
      <c r="C13" s="77"/>
      <c r="D13" s="77"/>
      <c r="E13" s="34">
        <f t="shared" si="0"/>
        <v>0</v>
      </c>
      <c r="F13" s="34"/>
      <c r="H13" s="35">
        <f>'Academic Project '!H13</f>
        <v>0</v>
      </c>
      <c r="I13" s="35">
        <f>'Academic Project '!I13</f>
        <v>0</v>
      </c>
      <c r="J13" s="35">
        <f t="shared" si="88"/>
        <v>0</v>
      </c>
      <c r="K13" s="35">
        <f>'Academic Project '!K13</f>
        <v>0</v>
      </c>
      <c r="M13" s="35">
        <f>R13+W13+AB13+AG13+AL13+AQ13+AV13+BA13+BF13+BK13+BP13+BU13+BZ13+CE13+CO13+CT13+CY13+DD13+DI13+DN13+DS13+DX13+EC13+EH13+CJ13+EM13+ER13+EW13+FB13</f>
        <v>0</v>
      </c>
      <c r="N13" s="34">
        <f t="shared" si="1"/>
        <v>0</v>
      </c>
      <c r="O13" s="5">
        <f t="shared" si="2"/>
        <v>0</v>
      </c>
      <c r="P13" s="34">
        <f t="shared" si="3"/>
        <v>0</v>
      </c>
      <c r="R13" s="35">
        <f t="shared" si="89"/>
        <v>0</v>
      </c>
      <c r="S13" s="35">
        <f t="shared" si="4"/>
        <v>0</v>
      </c>
      <c r="T13" s="5">
        <f t="shared" si="5"/>
        <v>0</v>
      </c>
      <c r="U13" s="35">
        <f t="shared" si="6"/>
        <v>0</v>
      </c>
      <c r="W13" s="35">
        <f t="shared" si="90"/>
        <v>0</v>
      </c>
      <c r="X13" s="35">
        <f t="shared" si="7"/>
        <v>0</v>
      </c>
      <c r="Y13" s="5">
        <f t="shared" si="8"/>
        <v>0</v>
      </c>
      <c r="Z13" s="35">
        <f t="shared" si="9"/>
        <v>0</v>
      </c>
      <c r="AB13" s="35">
        <f t="shared" si="91"/>
        <v>0</v>
      </c>
      <c r="AC13" s="35">
        <f t="shared" si="10"/>
        <v>0</v>
      </c>
      <c r="AD13" s="35">
        <f t="shared" si="11"/>
        <v>0</v>
      </c>
      <c r="AE13" s="35">
        <f t="shared" si="12"/>
        <v>0</v>
      </c>
      <c r="AG13" s="35">
        <f t="shared" si="92"/>
        <v>0</v>
      </c>
      <c r="AH13" s="35">
        <f t="shared" si="13"/>
        <v>0</v>
      </c>
      <c r="AI13" s="5">
        <f t="shared" si="14"/>
        <v>0</v>
      </c>
      <c r="AJ13" s="35">
        <f t="shared" si="15"/>
        <v>0</v>
      </c>
      <c r="AL13" s="35">
        <f t="shared" si="93"/>
        <v>0</v>
      </c>
      <c r="AM13" s="35">
        <f t="shared" si="16"/>
        <v>0</v>
      </c>
      <c r="AN13" s="5">
        <f t="shared" si="17"/>
        <v>0</v>
      </c>
      <c r="AO13" s="35">
        <f t="shared" si="18"/>
        <v>0</v>
      </c>
      <c r="AQ13" s="35">
        <f t="shared" si="94"/>
        <v>0</v>
      </c>
      <c r="AR13" s="35">
        <f t="shared" si="19"/>
        <v>0</v>
      </c>
      <c r="AS13" s="5">
        <f t="shared" si="20"/>
        <v>0</v>
      </c>
      <c r="AT13" s="35">
        <f t="shared" si="21"/>
        <v>0</v>
      </c>
      <c r="AV13" s="35">
        <f t="shared" si="95"/>
        <v>0</v>
      </c>
      <c r="AW13" s="35">
        <f t="shared" si="22"/>
        <v>0</v>
      </c>
      <c r="AX13" s="5">
        <f t="shared" si="23"/>
        <v>0</v>
      </c>
      <c r="AY13" s="35">
        <f t="shared" si="24"/>
        <v>0</v>
      </c>
      <c r="AZ13" s="5"/>
      <c r="BA13" s="35">
        <f t="shared" si="96"/>
        <v>0</v>
      </c>
      <c r="BB13" s="35">
        <f t="shared" si="25"/>
        <v>0</v>
      </c>
      <c r="BC13" s="5">
        <f t="shared" si="26"/>
        <v>0</v>
      </c>
      <c r="BD13" s="35">
        <f t="shared" si="27"/>
        <v>0</v>
      </c>
      <c r="BE13" s="5"/>
      <c r="BF13" s="35">
        <f t="shared" si="97"/>
        <v>0</v>
      </c>
      <c r="BG13" s="35">
        <f t="shared" si="28"/>
        <v>0</v>
      </c>
      <c r="BH13" s="5">
        <f t="shared" si="29"/>
        <v>0</v>
      </c>
      <c r="BI13" s="35">
        <f t="shared" si="30"/>
        <v>0</v>
      </c>
      <c r="BJ13" s="5"/>
      <c r="BK13" s="35">
        <f t="shared" si="98"/>
        <v>0</v>
      </c>
      <c r="BL13" s="35">
        <f t="shared" si="31"/>
        <v>0</v>
      </c>
      <c r="BM13" s="5">
        <f t="shared" si="32"/>
        <v>0</v>
      </c>
      <c r="BN13" s="35">
        <f t="shared" si="33"/>
        <v>0</v>
      </c>
      <c r="BO13" s="5"/>
      <c r="BP13" s="35">
        <f t="shared" si="99"/>
        <v>0</v>
      </c>
      <c r="BQ13" s="35">
        <f t="shared" si="34"/>
        <v>0</v>
      </c>
      <c r="BR13" s="5">
        <f t="shared" si="35"/>
        <v>0</v>
      </c>
      <c r="BS13" s="35">
        <f t="shared" si="36"/>
        <v>0</v>
      </c>
      <c r="BT13" s="5"/>
      <c r="BU13" s="35">
        <f t="shared" si="100"/>
        <v>0</v>
      </c>
      <c r="BV13" s="35">
        <f t="shared" si="37"/>
        <v>0</v>
      </c>
      <c r="BW13" s="5">
        <f t="shared" si="38"/>
        <v>0</v>
      </c>
      <c r="BX13" s="35">
        <f t="shared" si="39"/>
        <v>0</v>
      </c>
      <c r="BY13" s="5"/>
      <c r="BZ13" s="35">
        <f t="shared" si="101"/>
        <v>0</v>
      </c>
      <c r="CA13" s="35">
        <f t="shared" si="40"/>
        <v>0</v>
      </c>
      <c r="CB13" s="5">
        <f t="shared" si="41"/>
        <v>0</v>
      </c>
      <c r="CC13" s="35">
        <f t="shared" si="42"/>
        <v>0</v>
      </c>
      <c r="CD13" s="5"/>
      <c r="CE13" s="35">
        <f t="shared" si="102"/>
        <v>0</v>
      </c>
      <c r="CF13" s="35">
        <f t="shared" si="43"/>
        <v>0</v>
      </c>
      <c r="CG13" s="5">
        <f t="shared" si="44"/>
        <v>0</v>
      </c>
      <c r="CH13" s="35">
        <f t="shared" si="45"/>
        <v>0</v>
      </c>
      <c r="CI13" s="5"/>
      <c r="CJ13" s="35">
        <f>$C13*CK$6</f>
        <v>0</v>
      </c>
      <c r="CK13" s="35">
        <f t="shared" si="46"/>
        <v>0</v>
      </c>
      <c r="CL13" s="5">
        <f t="shared" si="47"/>
        <v>0</v>
      </c>
      <c r="CM13" s="35">
        <f t="shared" si="48"/>
        <v>0</v>
      </c>
      <c r="CN13" s="5"/>
      <c r="CO13" s="35">
        <f t="shared" si="103"/>
        <v>0</v>
      </c>
      <c r="CP13" s="35">
        <f t="shared" si="49"/>
        <v>0</v>
      </c>
      <c r="CQ13" s="35">
        <f t="shared" si="50"/>
        <v>0</v>
      </c>
      <c r="CR13" s="35">
        <f t="shared" si="51"/>
        <v>0</v>
      </c>
      <c r="CS13" s="5"/>
      <c r="CT13" s="35">
        <f t="shared" si="104"/>
        <v>0</v>
      </c>
      <c r="CU13" s="35">
        <f t="shared" si="52"/>
        <v>0</v>
      </c>
      <c r="CV13" s="35">
        <f t="shared" si="53"/>
        <v>0</v>
      </c>
      <c r="CW13" s="35">
        <f t="shared" si="54"/>
        <v>0</v>
      </c>
      <c r="CX13" s="5"/>
      <c r="CY13" s="35">
        <f t="shared" si="105"/>
        <v>0</v>
      </c>
      <c r="CZ13" s="35">
        <f t="shared" si="55"/>
        <v>0</v>
      </c>
      <c r="DA13" s="5">
        <f t="shared" si="56"/>
        <v>0</v>
      </c>
      <c r="DB13" s="35">
        <f t="shared" si="57"/>
        <v>0</v>
      </c>
      <c r="DC13" s="5"/>
      <c r="DD13" s="35">
        <f t="shared" si="106"/>
        <v>0</v>
      </c>
      <c r="DE13" s="35">
        <f t="shared" si="58"/>
        <v>0</v>
      </c>
      <c r="DF13" s="35">
        <f t="shared" si="59"/>
        <v>0</v>
      </c>
      <c r="DG13" s="35">
        <f t="shared" si="60"/>
        <v>0</v>
      </c>
      <c r="DH13" s="5"/>
      <c r="DI13" s="35">
        <f t="shared" si="107"/>
        <v>0</v>
      </c>
      <c r="DJ13" s="35">
        <f t="shared" si="61"/>
        <v>0</v>
      </c>
      <c r="DK13" s="5">
        <f t="shared" si="62"/>
        <v>0</v>
      </c>
      <c r="DL13" s="35">
        <f t="shared" si="63"/>
        <v>0</v>
      </c>
      <c r="DM13" s="5"/>
      <c r="DN13" s="35">
        <f t="shared" si="108"/>
        <v>0</v>
      </c>
      <c r="DO13" s="35">
        <f t="shared" si="64"/>
        <v>0</v>
      </c>
      <c r="DP13" s="5">
        <f t="shared" si="65"/>
        <v>0</v>
      </c>
      <c r="DQ13" s="35">
        <f t="shared" si="66"/>
        <v>0</v>
      </c>
      <c r="DR13" s="5"/>
      <c r="DS13" s="35">
        <f t="shared" si="109"/>
        <v>0</v>
      </c>
      <c r="DT13" s="35">
        <f t="shared" si="67"/>
        <v>0</v>
      </c>
      <c r="DU13" s="5">
        <f t="shared" si="68"/>
        <v>0</v>
      </c>
      <c r="DV13" s="35">
        <f t="shared" si="69"/>
        <v>0</v>
      </c>
      <c r="DW13" s="5"/>
      <c r="DX13" s="35">
        <f t="shared" si="110"/>
        <v>0</v>
      </c>
      <c r="DY13" s="35">
        <f t="shared" si="70"/>
        <v>0</v>
      </c>
      <c r="DZ13" s="5">
        <f t="shared" si="71"/>
        <v>0</v>
      </c>
      <c r="EA13" s="35">
        <f t="shared" si="72"/>
        <v>0</v>
      </c>
      <c r="EB13" s="5"/>
      <c r="EC13" s="35">
        <f t="shared" si="111"/>
        <v>0</v>
      </c>
      <c r="ED13" s="35">
        <f t="shared" si="73"/>
        <v>0</v>
      </c>
      <c r="EE13" s="5">
        <f t="shared" si="74"/>
        <v>0</v>
      </c>
      <c r="EF13" s="35">
        <f t="shared" si="75"/>
        <v>0</v>
      </c>
      <c r="EG13" s="5"/>
      <c r="EH13" s="35">
        <f t="shared" si="112"/>
        <v>0</v>
      </c>
      <c r="EI13" s="35">
        <f t="shared" si="76"/>
        <v>0</v>
      </c>
      <c r="EJ13" s="5">
        <f t="shared" si="77"/>
        <v>0</v>
      </c>
      <c r="EK13" s="35">
        <f t="shared" si="78"/>
        <v>0</v>
      </c>
      <c r="EL13" s="5"/>
      <c r="EM13" s="35">
        <f t="shared" si="113"/>
        <v>0</v>
      </c>
      <c r="EN13" s="35">
        <f t="shared" si="79"/>
        <v>0</v>
      </c>
      <c r="EO13" s="35">
        <f t="shared" si="80"/>
        <v>0</v>
      </c>
      <c r="EP13" s="35">
        <f t="shared" si="81"/>
        <v>0</v>
      </c>
      <c r="EQ13" s="5"/>
      <c r="ER13" s="35">
        <f t="shared" si="114"/>
        <v>0</v>
      </c>
      <c r="ES13" s="35">
        <f t="shared" si="82"/>
        <v>0</v>
      </c>
      <c r="ET13" s="35">
        <f t="shared" si="83"/>
        <v>0</v>
      </c>
      <c r="EU13" s="35">
        <f t="shared" si="84"/>
        <v>0</v>
      </c>
      <c r="EV13" s="5"/>
      <c r="EW13" s="35">
        <f t="shared" si="115"/>
        <v>0</v>
      </c>
      <c r="EX13" s="35">
        <f t="shared" si="85"/>
        <v>0</v>
      </c>
      <c r="EY13" s="5">
        <f t="shared" si="86"/>
        <v>0</v>
      </c>
      <c r="EZ13" s="35">
        <f t="shared" si="87"/>
        <v>0</v>
      </c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ht="12.75">
      <c r="A14" s="36">
        <v>44835</v>
      </c>
      <c r="C14" s="77"/>
      <c r="D14" s="77"/>
      <c r="E14" s="34">
        <f t="shared" si="0"/>
        <v>0</v>
      </c>
      <c r="F14" s="34"/>
      <c r="H14" s="35">
        <f>'Academic Project '!H14</f>
        <v>0</v>
      </c>
      <c r="I14" s="35">
        <f>'Academic Project '!I14</f>
        <v>0</v>
      </c>
      <c r="J14" s="35">
        <f t="shared" si="88"/>
        <v>0</v>
      </c>
      <c r="K14" s="35">
        <f>'Academic Project '!K14</f>
        <v>0</v>
      </c>
      <c r="M14" s="35"/>
      <c r="N14" s="34">
        <f t="shared" si="1"/>
        <v>0</v>
      </c>
      <c r="O14" s="5">
        <f t="shared" si="2"/>
        <v>0</v>
      </c>
      <c r="P14" s="34">
        <f t="shared" si="3"/>
        <v>0</v>
      </c>
      <c r="R14" s="35"/>
      <c r="S14" s="35">
        <f t="shared" si="4"/>
        <v>0</v>
      </c>
      <c r="T14" s="5">
        <f t="shared" si="5"/>
        <v>0</v>
      </c>
      <c r="U14" s="35">
        <f t="shared" si="6"/>
        <v>0</v>
      </c>
      <c r="W14" s="35"/>
      <c r="X14" s="35">
        <f t="shared" si="7"/>
        <v>0</v>
      </c>
      <c r="Y14" s="5">
        <f t="shared" si="8"/>
        <v>0</v>
      </c>
      <c r="Z14" s="35">
        <f t="shared" si="9"/>
        <v>0</v>
      </c>
      <c r="AB14" s="35"/>
      <c r="AC14" s="35">
        <f t="shared" si="10"/>
        <v>0</v>
      </c>
      <c r="AD14" s="35">
        <f t="shared" si="11"/>
        <v>0</v>
      </c>
      <c r="AE14" s="35">
        <f t="shared" si="12"/>
        <v>0</v>
      </c>
      <c r="AG14" s="35"/>
      <c r="AH14" s="35">
        <f t="shared" si="13"/>
        <v>0</v>
      </c>
      <c r="AI14" s="5">
        <f t="shared" si="14"/>
        <v>0</v>
      </c>
      <c r="AJ14" s="35">
        <f t="shared" si="15"/>
        <v>0</v>
      </c>
      <c r="AL14" s="35"/>
      <c r="AM14" s="35">
        <f t="shared" si="16"/>
        <v>0</v>
      </c>
      <c r="AN14" s="5">
        <f t="shared" si="17"/>
        <v>0</v>
      </c>
      <c r="AO14" s="35">
        <f t="shared" si="18"/>
        <v>0</v>
      </c>
      <c r="AQ14" s="35"/>
      <c r="AR14" s="35">
        <f t="shared" si="19"/>
        <v>0</v>
      </c>
      <c r="AS14" s="5">
        <f t="shared" si="20"/>
        <v>0</v>
      </c>
      <c r="AT14" s="35">
        <f t="shared" si="21"/>
        <v>0</v>
      </c>
      <c r="AV14" s="35"/>
      <c r="AW14" s="35">
        <f t="shared" si="22"/>
        <v>0</v>
      </c>
      <c r="AX14" s="5">
        <f t="shared" si="23"/>
        <v>0</v>
      </c>
      <c r="AY14" s="35">
        <f t="shared" si="24"/>
        <v>0</v>
      </c>
      <c r="AZ14" s="5"/>
      <c r="BA14" s="35"/>
      <c r="BB14" s="35">
        <f t="shared" si="25"/>
        <v>0</v>
      </c>
      <c r="BC14" s="5">
        <f t="shared" si="26"/>
        <v>0</v>
      </c>
      <c r="BD14" s="35">
        <f t="shared" si="27"/>
        <v>0</v>
      </c>
      <c r="BE14" s="5"/>
      <c r="BF14" s="35"/>
      <c r="BG14" s="35">
        <f t="shared" si="28"/>
        <v>0</v>
      </c>
      <c r="BH14" s="5">
        <f t="shared" si="29"/>
        <v>0</v>
      </c>
      <c r="BI14" s="35">
        <f t="shared" si="30"/>
        <v>0</v>
      </c>
      <c r="BJ14" s="5"/>
      <c r="BK14" s="35"/>
      <c r="BL14" s="35">
        <f t="shared" si="31"/>
        <v>0</v>
      </c>
      <c r="BM14" s="5">
        <f t="shared" si="32"/>
        <v>0</v>
      </c>
      <c r="BN14" s="35">
        <f t="shared" si="33"/>
        <v>0</v>
      </c>
      <c r="BO14" s="5"/>
      <c r="BP14" s="35"/>
      <c r="BQ14" s="35">
        <f t="shared" si="34"/>
        <v>0</v>
      </c>
      <c r="BR14" s="5">
        <f t="shared" si="35"/>
        <v>0</v>
      </c>
      <c r="BS14" s="35">
        <f t="shared" si="36"/>
        <v>0</v>
      </c>
      <c r="BT14" s="5"/>
      <c r="BU14" s="35"/>
      <c r="BV14" s="35">
        <f t="shared" si="37"/>
        <v>0</v>
      </c>
      <c r="BW14" s="5">
        <f t="shared" si="38"/>
        <v>0</v>
      </c>
      <c r="BX14" s="35">
        <f t="shared" si="39"/>
        <v>0</v>
      </c>
      <c r="BY14" s="5"/>
      <c r="BZ14" s="35"/>
      <c r="CA14" s="35">
        <f t="shared" si="40"/>
        <v>0</v>
      </c>
      <c r="CB14" s="5">
        <f t="shared" si="41"/>
        <v>0</v>
      </c>
      <c r="CC14" s="35">
        <f t="shared" si="42"/>
        <v>0</v>
      </c>
      <c r="CD14" s="5"/>
      <c r="CE14" s="35"/>
      <c r="CF14" s="35">
        <f t="shared" si="43"/>
        <v>0</v>
      </c>
      <c r="CG14" s="5">
        <f t="shared" si="44"/>
        <v>0</v>
      </c>
      <c r="CH14" s="35">
        <f t="shared" si="45"/>
        <v>0</v>
      </c>
      <c r="CI14" s="5"/>
      <c r="CJ14" s="35"/>
      <c r="CK14" s="35">
        <f t="shared" si="46"/>
        <v>0</v>
      </c>
      <c r="CL14" s="5">
        <f t="shared" si="47"/>
        <v>0</v>
      </c>
      <c r="CM14" s="35">
        <f t="shared" si="48"/>
        <v>0</v>
      </c>
      <c r="CN14" s="5"/>
      <c r="CO14" s="35"/>
      <c r="CP14" s="35">
        <f t="shared" si="49"/>
        <v>0</v>
      </c>
      <c r="CQ14" s="35">
        <f t="shared" si="50"/>
        <v>0</v>
      </c>
      <c r="CR14" s="35">
        <f t="shared" si="51"/>
        <v>0</v>
      </c>
      <c r="CS14" s="5"/>
      <c r="CT14" s="35"/>
      <c r="CU14" s="35">
        <f t="shared" si="52"/>
        <v>0</v>
      </c>
      <c r="CV14" s="35">
        <f t="shared" si="53"/>
        <v>0</v>
      </c>
      <c r="CW14" s="35">
        <f t="shared" si="54"/>
        <v>0</v>
      </c>
      <c r="CX14" s="5"/>
      <c r="CY14" s="35"/>
      <c r="CZ14" s="35">
        <f t="shared" si="55"/>
        <v>0</v>
      </c>
      <c r="DA14" s="5">
        <f t="shared" si="56"/>
        <v>0</v>
      </c>
      <c r="DB14" s="35">
        <f t="shared" si="57"/>
        <v>0</v>
      </c>
      <c r="DC14" s="5"/>
      <c r="DD14" s="35"/>
      <c r="DE14" s="35">
        <f t="shared" si="58"/>
        <v>0</v>
      </c>
      <c r="DF14" s="35">
        <f t="shared" si="59"/>
        <v>0</v>
      </c>
      <c r="DG14" s="35">
        <f t="shared" si="60"/>
        <v>0</v>
      </c>
      <c r="DH14" s="5"/>
      <c r="DI14" s="35"/>
      <c r="DJ14" s="35">
        <f t="shared" si="61"/>
        <v>0</v>
      </c>
      <c r="DK14" s="5">
        <f t="shared" si="62"/>
        <v>0</v>
      </c>
      <c r="DL14" s="35">
        <f t="shared" si="63"/>
        <v>0</v>
      </c>
      <c r="DM14" s="5"/>
      <c r="DN14" s="35"/>
      <c r="DO14" s="35">
        <f t="shared" si="64"/>
        <v>0</v>
      </c>
      <c r="DP14" s="5">
        <f t="shared" si="65"/>
        <v>0</v>
      </c>
      <c r="DQ14" s="35">
        <f t="shared" si="66"/>
        <v>0</v>
      </c>
      <c r="DR14" s="5"/>
      <c r="DS14" s="35"/>
      <c r="DT14" s="35">
        <f t="shared" si="67"/>
        <v>0</v>
      </c>
      <c r="DU14" s="5">
        <f t="shared" si="68"/>
        <v>0</v>
      </c>
      <c r="DV14" s="35">
        <f t="shared" si="69"/>
        <v>0</v>
      </c>
      <c r="DW14" s="5"/>
      <c r="DX14" s="35"/>
      <c r="DY14" s="35">
        <f t="shared" si="70"/>
        <v>0</v>
      </c>
      <c r="DZ14" s="5">
        <f t="shared" si="71"/>
        <v>0</v>
      </c>
      <c r="EA14" s="35">
        <f t="shared" si="72"/>
        <v>0</v>
      </c>
      <c r="EB14" s="5"/>
      <c r="EC14" s="35"/>
      <c r="ED14" s="35">
        <f t="shared" si="73"/>
        <v>0</v>
      </c>
      <c r="EE14" s="5">
        <f t="shared" si="74"/>
        <v>0</v>
      </c>
      <c r="EF14" s="35">
        <f t="shared" si="75"/>
        <v>0</v>
      </c>
      <c r="EG14" s="5"/>
      <c r="EH14" s="35"/>
      <c r="EI14" s="35">
        <f t="shared" si="76"/>
        <v>0</v>
      </c>
      <c r="EJ14" s="5">
        <f t="shared" si="77"/>
        <v>0</v>
      </c>
      <c r="EK14" s="35">
        <f t="shared" si="78"/>
        <v>0</v>
      </c>
      <c r="EL14" s="5"/>
      <c r="EM14" s="35"/>
      <c r="EN14" s="35">
        <f t="shared" si="79"/>
        <v>0</v>
      </c>
      <c r="EO14" s="35">
        <f t="shared" si="80"/>
        <v>0</v>
      </c>
      <c r="EP14" s="35">
        <f t="shared" si="81"/>
        <v>0</v>
      </c>
      <c r="EQ14" s="5"/>
      <c r="ER14" s="35"/>
      <c r="ES14" s="35">
        <f t="shared" si="82"/>
        <v>0</v>
      </c>
      <c r="ET14" s="35">
        <f t="shared" si="83"/>
        <v>0</v>
      </c>
      <c r="EU14" s="35">
        <f t="shared" si="84"/>
        <v>0</v>
      </c>
      <c r="EV14" s="5"/>
      <c r="EW14" s="35"/>
      <c r="EX14" s="35">
        <f t="shared" si="85"/>
        <v>0</v>
      </c>
      <c r="EY14" s="5">
        <f t="shared" si="86"/>
        <v>0</v>
      </c>
      <c r="EZ14" s="35">
        <f t="shared" si="87"/>
        <v>0</v>
      </c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ht="12.75">
      <c r="A15" s="36">
        <v>45017</v>
      </c>
      <c r="C15" s="77"/>
      <c r="D15" s="77"/>
      <c r="E15" s="34">
        <f t="shared" si="0"/>
        <v>0</v>
      </c>
      <c r="F15" s="34"/>
      <c r="H15" s="35">
        <f>'Academic Project '!H15</f>
        <v>0</v>
      </c>
      <c r="I15" s="35">
        <f>'Academic Project '!I15</f>
        <v>0</v>
      </c>
      <c r="J15" s="35">
        <f t="shared" si="88"/>
        <v>0</v>
      </c>
      <c r="K15" s="35">
        <f>'Academic Project '!K15</f>
        <v>0</v>
      </c>
      <c r="M15" s="35">
        <f>R15+W15+AB15+AG15+AL15+AQ15+AV15+BA15+BF15+BK15+BP15+BU15+BZ15+CE15+CO15+CT15+CY15+DD15+DI15+DN15+DS15+DX15+EC15+EH15+CJ15+EM15+ER15+EW15+FB15</f>
        <v>0</v>
      </c>
      <c r="N15" s="34">
        <f t="shared" si="1"/>
        <v>0</v>
      </c>
      <c r="O15" s="5">
        <f t="shared" si="2"/>
        <v>0</v>
      </c>
      <c r="P15" s="34">
        <f t="shared" si="3"/>
        <v>0</v>
      </c>
      <c r="R15" s="35">
        <f t="shared" si="89"/>
        <v>0</v>
      </c>
      <c r="S15" s="35">
        <f t="shared" si="4"/>
        <v>0</v>
      </c>
      <c r="T15" s="5">
        <f t="shared" si="5"/>
        <v>0</v>
      </c>
      <c r="U15" s="35">
        <f t="shared" si="6"/>
        <v>0</v>
      </c>
      <c r="W15" s="35">
        <f t="shared" si="90"/>
        <v>0</v>
      </c>
      <c r="X15" s="35">
        <f t="shared" si="7"/>
        <v>0</v>
      </c>
      <c r="Y15" s="5">
        <f t="shared" si="8"/>
        <v>0</v>
      </c>
      <c r="Z15" s="35">
        <f t="shared" si="9"/>
        <v>0</v>
      </c>
      <c r="AB15" s="35">
        <f t="shared" si="91"/>
        <v>0</v>
      </c>
      <c r="AC15" s="35">
        <f t="shared" si="10"/>
        <v>0</v>
      </c>
      <c r="AD15" s="35">
        <f t="shared" si="11"/>
        <v>0</v>
      </c>
      <c r="AE15" s="35">
        <f t="shared" si="12"/>
        <v>0</v>
      </c>
      <c r="AG15" s="35">
        <f t="shared" si="92"/>
        <v>0</v>
      </c>
      <c r="AH15" s="35">
        <f t="shared" si="13"/>
        <v>0</v>
      </c>
      <c r="AI15" s="5">
        <f t="shared" si="14"/>
        <v>0</v>
      </c>
      <c r="AJ15" s="35">
        <f t="shared" si="15"/>
        <v>0</v>
      </c>
      <c r="AL15" s="35">
        <f t="shared" si="93"/>
        <v>0</v>
      </c>
      <c r="AM15" s="35">
        <f t="shared" si="16"/>
        <v>0</v>
      </c>
      <c r="AN15" s="5">
        <f t="shared" si="17"/>
        <v>0</v>
      </c>
      <c r="AO15" s="35">
        <f t="shared" si="18"/>
        <v>0</v>
      </c>
      <c r="AQ15" s="35">
        <f t="shared" si="94"/>
        <v>0</v>
      </c>
      <c r="AR15" s="35">
        <f t="shared" si="19"/>
        <v>0</v>
      </c>
      <c r="AS15" s="5">
        <f t="shared" si="20"/>
        <v>0</v>
      </c>
      <c r="AT15" s="35">
        <f t="shared" si="21"/>
        <v>0</v>
      </c>
      <c r="AV15" s="35">
        <f t="shared" si="95"/>
        <v>0</v>
      </c>
      <c r="AW15" s="35">
        <f t="shared" si="22"/>
        <v>0</v>
      </c>
      <c r="AX15" s="5">
        <f t="shared" si="23"/>
        <v>0</v>
      </c>
      <c r="AY15" s="35">
        <f t="shared" si="24"/>
        <v>0</v>
      </c>
      <c r="AZ15" s="5"/>
      <c r="BA15" s="35">
        <f t="shared" si="96"/>
        <v>0</v>
      </c>
      <c r="BB15" s="35">
        <f t="shared" si="25"/>
        <v>0</v>
      </c>
      <c r="BC15" s="5">
        <f t="shared" si="26"/>
        <v>0</v>
      </c>
      <c r="BD15" s="35">
        <f t="shared" si="27"/>
        <v>0</v>
      </c>
      <c r="BE15" s="5"/>
      <c r="BF15" s="35">
        <f t="shared" si="97"/>
        <v>0</v>
      </c>
      <c r="BG15" s="35">
        <f t="shared" si="28"/>
        <v>0</v>
      </c>
      <c r="BH15" s="5">
        <f t="shared" si="29"/>
        <v>0</v>
      </c>
      <c r="BI15" s="35">
        <f t="shared" si="30"/>
        <v>0</v>
      </c>
      <c r="BJ15" s="5"/>
      <c r="BK15" s="35">
        <f t="shared" si="98"/>
        <v>0</v>
      </c>
      <c r="BL15" s="35">
        <f t="shared" si="31"/>
        <v>0</v>
      </c>
      <c r="BM15" s="5">
        <f t="shared" si="32"/>
        <v>0</v>
      </c>
      <c r="BN15" s="35">
        <f t="shared" si="33"/>
        <v>0</v>
      </c>
      <c r="BO15" s="5"/>
      <c r="BP15" s="35">
        <f t="shared" si="99"/>
        <v>0</v>
      </c>
      <c r="BQ15" s="35">
        <f t="shared" si="34"/>
        <v>0</v>
      </c>
      <c r="BR15" s="5">
        <f t="shared" si="35"/>
        <v>0</v>
      </c>
      <c r="BS15" s="35">
        <f t="shared" si="36"/>
        <v>0</v>
      </c>
      <c r="BT15" s="5"/>
      <c r="BU15" s="35">
        <f t="shared" si="100"/>
        <v>0</v>
      </c>
      <c r="BV15" s="35">
        <f t="shared" si="37"/>
        <v>0</v>
      </c>
      <c r="BW15" s="5">
        <f t="shared" si="38"/>
        <v>0</v>
      </c>
      <c r="BX15" s="35">
        <f t="shared" si="39"/>
        <v>0</v>
      </c>
      <c r="BY15" s="5"/>
      <c r="BZ15" s="35">
        <f t="shared" si="101"/>
        <v>0</v>
      </c>
      <c r="CA15" s="35">
        <f t="shared" si="40"/>
        <v>0</v>
      </c>
      <c r="CB15" s="5">
        <f t="shared" si="41"/>
        <v>0</v>
      </c>
      <c r="CC15" s="35">
        <f t="shared" si="42"/>
        <v>0</v>
      </c>
      <c r="CD15" s="5"/>
      <c r="CE15" s="35">
        <f t="shared" si="102"/>
        <v>0</v>
      </c>
      <c r="CF15" s="35">
        <f t="shared" si="43"/>
        <v>0</v>
      </c>
      <c r="CG15" s="5">
        <f t="shared" si="44"/>
        <v>0</v>
      </c>
      <c r="CH15" s="35">
        <f t="shared" si="45"/>
        <v>0</v>
      </c>
      <c r="CI15" s="5"/>
      <c r="CJ15" s="35">
        <f>$C15*CK$6</f>
        <v>0</v>
      </c>
      <c r="CK15" s="35">
        <f t="shared" si="46"/>
        <v>0</v>
      </c>
      <c r="CL15" s="5">
        <f t="shared" si="47"/>
        <v>0</v>
      </c>
      <c r="CM15" s="35">
        <f t="shared" si="48"/>
        <v>0</v>
      </c>
      <c r="CN15" s="5"/>
      <c r="CO15" s="35">
        <f t="shared" si="103"/>
        <v>0</v>
      </c>
      <c r="CP15" s="35">
        <f t="shared" si="49"/>
        <v>0</v>
      </c>
      <c r="CQ15" s="35">
        <f t="shared" si="50"/>
        <v>0</v>
      </c>
      <c r="CR15" s="35">
        <f t="shared" si="51"/>
        <v>0</v>
      </c>
      <c r="CS15" s="5"/>
      <c r="CT15" s="35">
        <f t="shared" si="104"/>
        <v>0</v>
      </c>
      <c r="CU15" s="35">
        <f t="shared" si="52"/>
        <v>0</v>
      </c>
      <c r="CV15" s="35">
        <f t="shared" si="53"/>
        <v>0</v>
      </c>
      <c r="CW15" s="35">
        <f t="shared" si="54"/>
        <v>0</v>
      </c>
      <c r="CX15" s="5"/>
      <c r="CY15" s="35">
        <f t="shared" si="105"/>
        <v>0</v>
      </c>
      <c r="CZ15" s="35">
        <f t="shared" si="55"/>
        <v>0</v>
      </c>
      <c r="DA15" s="5">
        <f t="shared" si="56"/>
        <v>0</v>
      </c>
      <c r="DB15" s="35">
        <f t="shared" si="57"/>
        <v>0</v>
      </c>
      <c r="DC15" s="5"/>
      <c r="DD15" s="35">
        <f t="shared" si="106"/>
        <v>0</v>
      </c>
      <c r="DE15" s="35">
        <f t="shared" si="58"/>
        <v>0</v>
      </c>
      <c r="DF15" s="35">
        <f t="shared" si="59"/>
        <v>0</v>
      </c>
      <c r="DG15" s="35">
        <f t="shared" si="60"/>
        <v>0</v>
      </c>
      <c r="DH15" s="5"/>
      <c r="DI15" s="35">
        <f t="shared" si="107"/>
        <v>0</v>
      </c>
      <c r="DJ15" s="35">
        <f t="shared" si="61"/>
        <v>0</v>
      </c>
      <c r="DK15" s="5">
        <f t="shared" si="62"/>
        <v>0</v>
      </c>
      <c r="DL15" s="35">
        <f t="shared" si="63"/>
        <v>0</v>
      </c>
      <c r="DM15" s="5"/>
      <c r="DN15" s="35">
        <f t="shared" si="108"/>
        <v>0</v>
      </c>
      <c r="DO15" s="35">
        <f t="shared" si="64"/>
        <v>0</v>
      </c>
      <c r="DP15" s="5">
        <f t="shared" si="65"/>
        <v>0</v>
      </c>
      <c r="DQ15" s="35">
        <f t="shared" si="66"/>
        <v>0</v>
      </c>
      <c r="DR15" s="5"/>
      <c r="DS15" s="35">
        <f t="shared" si="109"/>
        <v>0</v>
      </c>
      <c r="DT15" s="35">
        <f t="shared" si="67"/>
        <v>0</v>
      </c>
      <c r="DU15" s="5">
        <f t="shared" si="68"/>
        <v>0</v>
      </c>
      <c r="DV15" s="35">
        <f t="shared" si="69"/>
        <v>0</v>
      </c>
      <c r="DW15" s="5"/>
      <c r="DX15" s="35">
        <f t="shared" si="110"/>
        <v>0</v>
      </c>
      <c r="DY15" s="35">
        <f t="shared" si="70"/>
        <v>0</v>
      </c>
      <c r="DZ15" s="5">
        <f t="shared" si="71"/>
        <v>0</v>
      </c>
      <c r="EA15" s="35">
        <f t="shared" si="72"/>
        <v>0</v>
      </c>
      <c r="EB15" s="5"/>
      <c r="EC15" s="35">
        <f t="shared" si="111"/>
        <v>0</v>
      </c>
      <c r="ED15" s="35">
        <f t="shared" si="73"/>
        <v>0</v>
      </c>
      <c r="EE15" s="5">
        <f t="shared" si="74"/>
        <v>0</v>
      </c>
      <c r="EF15" s="35">
        <f t="shared" si="75"/>
        <v>0</v>
      </c>
      <c r="EG15" s="5"/>
      <c r="EH15" s="35">
        <f t="shared" si="112"/>
        <v>0</v>
      </c>
      <c r="EI15" s="35">
        <f t="shared" si="76"/>
        <v>0</v>
      </c>
      <c r="EJ15" s="5">
        <f t="shared" si="77"/>
        <v>0</v>
      </c>
      <c r="EK15" s="35">
        <f t="shared" si="78"/>
        <v>0</v>
      </c>
      <c r="EL15" s="5"/>
      <c r="EM15" s="35">
        <f t="shared" si="113"/>
        <v>0</v>
      </c>
      <c r="EN15" s="35">
        <f t="shared" si="79"/>
        <v>0</v>
      </c>
      <c r="EO15" s="35">
        <f t="shared" si="80"/>
        <v>0</v>
      </c>
      <c r="EP15" s="35">
        <f t="shared" si="81"/>
        <v>0</v>
      </c>
      <c r="EQ15" s="5"/>
      <c r="ER15" s="35">
        <f t="shared" si="114"/>
        <v>0</v>
      </c>
      <c r="ES15" s="35">
        <f t="shared" si="82"/>
        <v>0</v>
      </c>
      <c r="ET15" s="35">
        <f t="shared" si="83"/>
        <v>0</v>
      </c>
      <c r="EU15" s="35">
        <f t="shared" si="84"/>
        <v>0</v>
      </c>
      <c r="EV15" s="5"/>
      <c r="EW15" s="35">
        <f t="shared" si="115"/>
        <v>0</v>
      </c>
      <c r="EX15" s="35">
        <f t="shared" si="85"/>
        <v>0</v>
      </c>
      <c r="EY15" s="5">
        <f t="shared" si="86"/>
        <v>0</v>
      </c>
      <c r="EZ15" s="35">
        <f t="shared" si="87"/>
        <v>0</v>
      </c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ht="12.75">
      <c r="A16" s="36">
        <v>45200</v>
      </c>
      <c r="C16" s="77"/>
      <c r="D16" s="77"/>
      <c r="E16" s="34">
        <f t="shared" si="0"/>
        <v>0</v>
      </c>
      <c r="F16" s="34"/>
      <c r="H16" s="35">
        <f>'Academic Project '!H16</f>
        <v>0</v>
      </c>
      <c r="I16" s="35">
        <f>'Academic Project '!I16</f>
        <v>0</v>
      </c>
      <c r="J16" s="35">
        <f t="shared" si="88"/>
        <v>0</v>
      </c>
      <c r="K16" s="35">
        <f>'Academic Project '!K16</f>
        <v>0</v>
      </c>
      <c r="M16" s="35"/>
      <c r="N16" s="34">
        <f t="shared" si="1"/>
        <v>0</v>
      </c>
      <c r="O16" s="5">
        <f t="shared" si="2"/>
        <v>0</v>
      </c>
      <c r="P16" s="34">
        <f t="shared" si="3"/>
        <v>0</v>
      </c>
      <c r="R16" s="35"/>
      <c r="S16" s="35">
        <f t="shared" si="4"/>
        <v>0</v>
      </c>
      <c r="T16" s="5">
        <f t="shared" si="5"/>
        <v>0</v>
      </c>
      <c r="U16" s="35">
        <f t="shared" si="6"/>
        <v>0</v>
      </c>
      <c r="W16" s="35"/>
      <c r="X16" s="35">
        <f t="shared" si="7"/>
        <v>0</v>
      </c>
      <c r="Y16" s="5">
        <f t="shared" si="8"/>
        <v>0</v>
      </c>
      <c r="Z16" s="35">
        <f t="shared" si="9"/>
        <v>0</v>
      </c>
      <c r="AB16" s="35"/>
      <c r="AC16" s="35">
        <f t="shared" si="10"/>
        <v>0</v>
      </c>
      <c r="AD16" s="35">
        <f t="shared" si="11"/>
        <v>0</v>
      </c>
      <c r="AE16" s="35">
        <f t="shared" si="12"/>
        <v>0</v>
      </c>
      <c r="AG16" s="35"/>
      <c r="AH16" s="35">
        <f t="shared" si="13"/>
        <v>0</v>
      </c>
      <c r="AI16" s="5">
        <f t="shared" si="14"/>
        <v>0</v>
      </c>
      <c r="AJ16" s="35">
        <f t="shared" si="15"/>
        <v>0</v>
      </c>
      <c r="AL16" s="35"/>
      <c r="AM16" s="35">
        <f t="shared" si="16"/>
        <v>0</v>
      </c>
      <c r="AN16" s="5">
        <f t="shared" si="17"/>
        <v>0</v>
      </c>
      <c r="AO16" s="35">
        <f t="shared" si="18"/>
        <v>0</v>
      </c>
      <c r="AQ16" s="35"/>
      <c r="AR16" s="35">
        <f t="shared" si="19"/>
        <v>0</v>
      </c>
      <c r="AS16" s="5">
        <f t="shared" si="20"/>
        <v>0</v>
      </c>
      <c r="AT16" s="35">
        <f t="shared" si="21"/>
        <v>0</v>
      </c>
      <c r="AV16" s="35"/>
      <c r="AW16" s="35">
        <f t="shared" si="22"/>
        <v>0</v>
      </c>
      <c r="AX16" s="5">
        <f t="shared" si="23"/>
        <v>0</v>
      </c>
      <c r="AY16" s="35">
        <f t="shared" si="24"/>
        <v>0</v>
      </c>
      <c r="AZ16" s="5"/>
      <c r="BA16" s="35"/>
      <c r="BB16" s="35">
        <f t="shared" si="25"/>
        <v>0</v>
      </c>
      <c r="BC16" s="5">
        <f t="shared" si="26"/>
        <v>0</v>
      </c>
      <c r="BD16" s="35">
        <f t="shared" si="27"/>
        <v>0</v>
      </c>
      <c r="BE16" s="5"/>
      <c r="BF16" s="35"/>
      <c r="BG16" s="35">
        <f t="shared" si="28"/>
        <v>0</v>
      </c>
      <c r="BH16" s="5">
        <f t="shared" si="29"/>
        <v>0</v>
      </c>
      <c r="BI16" s="35">
        <f t="shared" si="30"/>
        <v>0</v>
      </c>
      <c r="BJ16" s="5"/>
      <c r="BK16" s="35"/>
      <c r="BL16" s="35">
        <f t="shared" si="31"/>
        <v>0</v>
      </c>
      <c r="BM16" s="5">
        <f t="shared" si="32"/>
        <v>0</v>
      </c>
      <c r="BN16" s="35">
        <f t="shared" si="33"/>
        <v>0</v>
      </c>
      <c r="BO16" s="5"/>
      <c r="BP16" s="35"/>
      <c r="BQ16" s="35">
        <f t="shared" si="34"/>
        <v>0</v>
      </c>
      <c r="BR16" s="5">
        <f t="shared" si="35"/>
        <v>0</v>
      </c>
      <c r="BS16" s="35">
        <f t="shared" si="36"/>
        <v>0</v>
      </c>
      <c r="BT16" s="5"/>
      <c r="BU16" s="35"/>
      <c r="BV16" s="35">
        <f t="shared" si="37"/>
        <v>0</v>
      </c>
      <c r="BW16" s="5">
        <f t="shared" si="38"/>
        <v>0</v>
      </c>
      <c r="BX16" s="35">
        <f t="shared" si="39"/>
        <v>0</v>
      </c>
      <c r="BY16" s="5"/>
      <c r="BZ16" s="35"/>
      <c r="CA16" s="35">
        <f t="shared" si="40"/>
        <v>0</v>
      </c>
      <c r="CB16" s="5">
        <f t="shared" si="41"/>
        <v>0</v>
      </c>
      <c r="CC16" s="35">
        <f t="shared" si="42"/>
        <v>0</v>
      </c>
      <c r="CD16" s="5"/>
      <c r="CE16" s="35"/>
      <c r="CF16" s="35">
        <f t="shared" si="43"/>
        <v>0</v>
      </c>
      <c r="CG16" s="5">
        <f t="shared" si="44"/>
        <v>0</v>
      </c>
      <c r="CH16" s="35">
        <f t="shared" si="45"/>
        <v>0</v>
      </c>
      <c r="CI16" s="5"/>
      <c r="CJ16" s="35"/>
      <c r="CK16" s="35">
        <f t="shared" si="46"/>
        <v>0</v>
      </c>
      <c r="CL16" s="5">
        <f t="shared" si="47"/>
        <v>0</v>
      </c>
      <c r="CM16" s="35">
        <f t="shared" si="48"/>
        <v>0</v>
      </c>
      <c r="CN16" s="5"/>
      <c r="CO16" s="35"/>
      <c r="CP16" s="35">
        <f t="shared" si="49"/>
        <v>0</v>
      </c>
      <c r="CQ16" s="35">
        <f t="shared" si="50"/>
        <v>0</v>
      </c>
      <c r="CR16" s="35">
        <f t="shared" si="51"/>
        <v>0</v>
      </c>
      <c r="CS16" s="5"/>
      <c r="CT16" s="35"/>
      <c r="CU16" s="35">
        <f t="shared" si="52"/>
        <v>0</v>
      </c>
      <c r="CV16" s="35">
        <f t="shared" si="53"/>
        <v>0</v>
      </c>
      <c r="CW16" s="35">
        <f t="shared" si="54"/>
        <v>0</v>
      </c>
      <c r="CX16" s="5"/>
      <c r="CY16" s="35"/>
      <c r="CZ16" s="35">
        <f t="shared" si="55"/>
        <v>0</v>
      </c>
      <c r="DA16" s="5">
        <f t="shared" si="56"/>
        <v>0</v>
      </c>
      <c r="DB16" s="35">
        <f t="shared" si="57"/>
        <v>0</v>
      </c>
      <c r="DC16" s="5"/>
      <c r="DD16" s="35"/>
      <c r="DE16" s="35">
        <f t="shared" si="58"/>
        <v>0</v>
      </c>
      <c r="DF16" s="35">
        <f t="shared" si="59"/>
        <v>0</v>
      </c>
      <c r="DG16" s="35">
        <f t="shared" si="60"/>
        <v>0</v>
      </c>
      <c r="DH16" s="5"/>
      <c r="DI16" s="35"/>
      <c r="DJ16" s="35">
        <f t="shared" si="61"/>
        <v>0</v>
      </c>
      <c r="DK16" s="5">
        <f t="shared" si="62"/>
        <v>0</v>
      </c>
      <c r="DL16" s="35">
        <f t="shared" si="63"/>
        <v>0</v>
      </c>
      <c r="DM16" s="5"/>
      <c r="DN16" s="35"/>
      <c r="DO16" s="35">
        <f t="shared" si="64"/>
        <v>0</v>
      </c>
      <c r="DP16" s="5">
        <f t="shared" si="65"/>
        <v>0</v>
      </c>
      <c r="DQ16" s="35">
        <f t="shared" si="66"/>
        <v>0</v>
      </c>
      <c r="DR16" s="5"/>
      <c r="DS16" s="35"/>
      <c r="DT16" s="35">
        <f t="shared" si="67"/>
        <v>0</v>
      </c>
      <c r="DU16" s="5">
        <f t="shared" si="68"/>
        <v>0</v>
      </c>
      <c r="DV16" s="35">
        <f t="shared" si="69"/>
        <v>0</v>
      </c>
      <c r="DW16" s="5"/>
      <c r="DX16" s="35"/>
      <c r="DY16" s="35">
        <f t="shared" si="70"/>
        <v>0</v>
      </c>
      <c r="DZ16" s="5">
        <f t="shared" si="71"/>
        <v>0</v>
      </c>
      <c r="EA16" s="35">
        <f t="shared" si="72"/>
        <v>0</v>
      </c>
      <c r="EB16" s="5"/>
      <c r="EC16" s="35"/>
      <c r="ED16" s="35">
        <f t="shared" si="73"/>
        <v>0</v>
      </c>
      <c r="EE16" s="5">
        <f t="shared" si="74"/>
        <v>0</v>
      </c>
      <c r="EF16" s="35">
        <f t="shared" si="75"/>
        <v>0</v>
      </c>
      <c r="EG16" s="5"/>
      <c r="EH16" s="35"/>
      <c r="EI16" s="35">
        <f t="shared" si="76"/>
        <v>0</v>
      </c>
      <c r="EJ16" s="5">
        <f t="shared" si="77"/>
        <v>0</v>
      </c>
      <c r="EK16" s="35">
        <f t="shared" si="78"/>
        <v>0</v>
      </c>
      <c r="EL16" s="5"/>
      <c r="EM16" s="35"/>
      <c r="EN16" s="35">
        <f t="shared" si="79"/>
        <v>0</v>
      </c>
      <c r="EO16" s="35">
        <f t="shared" si="80"/>
        <v>0</v>
      </c>
      <c r="EP16" s="35">
        <f t="shared" si="81"/>
        <v>0</v>
      </c>
      <c r="EQ16" s="5"/>
      <c r="ER16" s="35"/>
      <c r="ES16" s="35">
        <f t="shared" si="82"/>
        <v>0</v>
      </c>
      <c r="ET16" s="35">
        <f t="shared" si="83"/>
        <v>0</v>
      </c>
      <c r="EU16" s="35">
        <f t="shared" si="84"/>
        <v>0</v>
      </c>
      <c r="EV16" s="5"/>
      <c r="EW16" s="35"/>
      <c r="EX16" s="35">
        <f t="shared" si="85"/>
        <v>0</v>
      </c>
      <c r="EY16" s="5">
        <f t="shared" si="86"/>
        <v>0</v>
      </c>
      <c r="EZ16" s="35">
        <f t="shared" si="87"/>
        <v>0</v>
      </c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ht="12.75">
      <c r="A17" s="36">
        <v>45383</v>
      </c>
      <c r="C17" s="77"/>
      <c r="D17" s="77"/>
      <c r="E17" s="34">
        <f t="shared" si="0"/>
        <v>0</v>
      </c>
      <c r="F17" s="34"/>
      <c r="H17" s="35">
        <f>'Academic Project '!H17</f>
        <v>0</v>
      </c>
      <c r="I17" s="35">
        <f>'Academic Project '!I17</f>
        <v>0</v>
      </c>
      <c r="J17" s="35">
        <f t="shared" si="88"/>
        <v>0</v>
      </c>
      <c r="K17" s="35">
        <f>'Academic Project '!K17</f>
        <v>0</v>
      </c>
      <c r="M17" s="35">
        <f>R17+W17+AB17+AG17+AL17+AQ17+AV17+BA17+BF17+BK17+BP17+BU17+BZ17+CE17+CO17+CT17+CY17+DD17+DI17+DN17+DS17+DX17+EC17+EH17+CJ17+EM17+ER17+EW17+FB17</f>
        <v>0</v>
      </c>
      <c r="N17" s="34">
        <f t="shared" si="1"/>
        <v>0</v>
      </c>
      <c r="O17" s="5">
        <f t="shared" si="2"/>
        <v>0</v>
      </c>
      <c r="P17" s="34">
        <f t="shared" si="3"/>
        <v>0</v>
      </c>
      <c r="R17" s="35">
        <f t="shared" si="89"/>
        <v>0</v>
      </c>
      <c r="S17" s="35">
        <f t="shared" si="4"/>
        <v>0</v>
      </c>
      <c r="T17" s="5">
        <f t="shared" si="5"/>
        <v>0</v>
      </c>
      <c r="U17" s="35">
        <f t="shared" si="6"/>
        <v>0</v>
      </c>
      <c r="W17" s="35">
        <f t="shared" si="90"/>
        <v>0</v>
      </c>
      <c r="X17" s="35">
        <f t="shared" si="7"/>
        <v>0</v>
      </c>
      <c r="Y17" s="5">
        <f t="shared" si="8"/>
        <v>0</v>
      </c>
      <c r="Z17" s="35">
        <f t="shared" si="9"/>
        <v>0</v>
      </c>
      <c r="AB17" s="35">
        <f t="shared" si="91"/>
        <v>0</v>
      </c>
      <c r="AC17" s="35">
        <f t="shared" si="10"/>
        <v>0</v>
      </c>
      <c r="AD17" s="35">
        <f t="shared" si="11"/>
        <v>0</v>
      </c>
      <c r="AE17" s="35">
        <f t="shared" si="12"/>
        <v>0</v>
      </c>
      <c r="AG17" s="35">
        <f t="shared" si="92"/>
        <v>0</v>
      </c>
      <c r="AH17" s="35">
        <f t="shared" si="13"/>
        <v>0</v>
      </c>
      <c r="AI17" s="5">
        <f t="shared" si="14"/>
        <v>0</v>
      </c>
      <c r="AJ17" s="35">
        <f t="shared" si="15"/>
        <v>0</v>
      </c>
      <c r="AL17" s="35">
        <f t="shared" si="93"/>
        <v>0</v>
      </c>
      <c r="AM17" s="35">
        <f t="shared" si="16"/>
        <v>0</v>
      </c>
      <c r="AN17" s="5">
        <f t="shared" si="17"/>
        <v>0</v>
      </c>
      <c r="AO17" s="35">
        <f t="shared" si="18"/>
        <v>0</v>
      </c>
      <c r="AQ17" s="35">
        <f t="shared" si="94"/>
        <v>0</v>
      </c>
      <c r="AR17" s="35">
        <f t="shared" si="19"/>
        <v>0</v>
      </c>
      <c r="AS17" s="5">
        <f t="shared" si="20"/>
        <v>0</v>
      </c>
      <c r="AT17" s="35">
        <f t="shared" si="21"/>
        <v>0</v>
      </c>
      <c r="AV17" s="35">
        <f t="shared" si="95"/>
        <v>0</v>
      </c>
      <c r="AW17" s="35">
        <f t="shared" si="22"/>
        <v>0</v>
      </c>
      <c r="AX17" s="5">
        <f t="shared" si="23"/>
        <v>0</v>
      </c>
      <c r="AY17" s="35">
        <f t="shared" si="24"/>
        <v>0</v>
      </c>
      <c r="AZ17" s="5"/>
      <c r="BA17" s="35">
        <f t="shared" si="96"/>
        <v>0</v>
      </c>
      <c r="BB17" s="35">
        <f t="shared" si="25"/>
        <v>0</v>
      </c>
      <c r="BC17" s="5">
        <f t="shared" si="26"/>
        <v>0</v>
      </c>
      <c r="BD17" s="35">
        <f t="shared" si="27"/>
        <v>0</v>
      </c>
      <c r="BE17" s="5"/>
      <c r="BF17" s="35">
        <f t="shared" si="97"/>
        <v>0</v>
      </c>
      <c r="BG17" s="35">
        <f t="shared" si="28"/>
        <v>0</v>
      </c>
      <c r="BH17" s="5">
        <f t="shared" si="29"/>
        <v>0</v>
      </c>
      <c r="BI17" s="35">
        <f t="shared" si="30"/>
        <v>0</v>
      </c>
      <c r="BJ17" s="5"/>
      <c r="BK17" s="35">
        <f t="shared" si="98"/>
        <v>0</v>
      </c>
      <c r="BL17" s="35">
        <f t="shared" si="31"/>
        <v>0</v>
      </c>
      <c r="BM17" s="5">
        <f t="shared" si="32"/>
        <v>0</v>
      </c>
      <c r="BN17" s="35">
        <f t="shared" si="33"/>
        <v>0</v>
      </c>
      <c r="BO17" s="5"/>
      <c r="BP17" s="35">
        <f t="shared" si="99"/>
        <v>0</v>
      </c>
      <c r="BQ17" s="35">
        <f t="shared" si="34"/>
        <v>0</v>
      </c>
      <c r="BR17" s="5">
        <f t="shared" si="35"/>
        <v>0</v>
      </c>
      <c r="BS17" s="35">
        <f t="shared" si="36"/>
        <v>0</v>
      </c>
      <c r="BT17" s="5"/>
      <c r="BU17" s="35">
        <f t="shared" si="100"/>
        <v>0</v>
      </c>
      <c r="BV17" s="35">
        <f t="shared" si="37"/>
        <v>0</v>
      </c>
      <c r="BW17" s="5">
        <f t="shared" si="38"/>
        <v>0</v>
      </c>
      <c r="BX17" s="35">
        <f t="shared" si="39"/>
        <v>0</v>
      </c>
      <c r="BY17" s="5"/>
      <c r="BZ17" s="35">
        <f t="shared" si="101"/>
        <v>0</v>
      </c>
      <c r="CA17" s="35">
        <f t="shared" si="40"/>
        <v>0</v>
      </c>
      <c r="CB17" s="5">
        <f t="shared" si="41"/>
        <v>0</v>
      </c>
      <c r="CC17" s="35">
        <f t="shared" si="42"/>
        <v>0</v>
      </c>
      <c r="CD17" s="5"/>
      <c r="CE17" s="35">
        <f t="shared" si="102"/>
        <v>0</v>
      </c>
      <c r="CF17" s="35">
        <f t="shared" si="43"/>
        <v>0</v>
      </c>
      <c r="CG17" s="5">
        <f t="shared" si="44"/>
        <v>0</v>
      </c>
      <c r="CH17" s="35">
        <f t="shared" si="45"/>
        <v>0</v>
      </c>
      <c r="CI17" s="5"/>
      <c r="CJ17" s="35">
        <f>$C17*CK$6</f>
        <v>0</v>
      </c>
      <c r="CK17" s="35">
        <f t="shared" si="46"/>
        <v>0</v>
      </c>
      <c r="CL17" s="5">
        <f t="shared" si="47"/>
        <v>0</v>
      </c>
      <c r="CM17" s="35">
        <f t="shared" si="48"/>
        <v>0</v>
      </c>
      <c r="CN17" s="5"/>
      <c r="CO17" s="35">
        <f t="shared" si="103"/>
        <v>0</v>
      </c>
      <c r="CP17" s="35">
        <f t="shared" si="49"/>
        <v>0</v>
      </c>
      <c r="CQ17" s="35">
        <f t="shared" si="50"/>
        <v>0</v>
      </c>
      <c r="CR17" s="35">
        <f t="shared" si="51"/>
        <v>0</v>
      </c>
      <c r="CS17" s="5"/>
      <c r="CT17" s="35">
        <f t="shared" si="104"/>
        <v>0</v>
      </c>
      <c r="CU17" s="35">
        <f t="shared" si="52"/>
        <v>0</v>
      </c>
      <c r="CV17" s="35">
        <f t="shared" si="53"/>
        <v>0</v>
      </c>
      <c r="CW17" s="35">
        <f t="shared" si="54"/>
        <v>0</v>
      </c>
      <c r="CX17" s="5"/>
      <c r="CY17" s="35">
        <f t="shared" si="105"/>
        <v>0</v>
      </c>
      <c r="CZ17" s="35">
        <f t="shared" si="55"/>
        <v>0</v>
      </c>
      <c r="DA17" s="5">
        <f t="shared" si="56"/>
        <v>0</v>
      </c>
      <c r="DB17" s="35">
        <f t="shared" si="57"/>
        <v>0</v>
      </c>
      <c r="DC17" s="5"/>
      <c r="DD17" s="35">
        <f t="shared" si="106"/>
        <v>0</v>
      </c>
      <c r="DE17" s="35">
        <f t="shared" si="58"/>
        <v>0</v>
      </c>
      <c r="DF17" s="35">
        <f t="shared" si="59"/>
        <v>0</v>
      </c>
      <c r="DG17" s="35">
        <f t="shared" si="60"/>
        <v>0</v>
      </c>
      <c r="DH17" s="5"/>
      <c r="DI17" s="35">
        <f t="shared" si="107"/>
        <v>0</v>
      </c>
      <c r="DJ17" s="35">
        <f t="shared" si="61"/>
        <v>0</v>
      </c>
      <c r="DK17" s="5">
        <f t="shared" si="62"/>
        <v>0</v>
      </c>
      <c r="DL17" s="35">
        <f t="shared" si="63"/>
        <v>0</v>
      </c>
      <c r="DM17" s="5"/>
      <c r="DN17" s="35">
        <f t="shared" si="108"/>
        <v>0</v>
      </c>
      <c r="DO17" s="35">
        <f t="shared" si="64"/>
        <v>0</v>
      </c>
      <c r="DP17" s="5">
        <f t="shared" si="65"/>
        <v>0</v>
      </c>
      <c r="DQ17" s="35">
        <f t="shared" si="66"/>
        <v>0</v>
      </c>
      <c r="DR17" s="5"/>
      <c r="DS17" s="35">
        <f t="shared" si="109"/>
        <v>0</v>
      </c>
      <c r="DT17" s="35">
        <f t="shared" si="67"/>
        <v>0</v>
      </c>
      <c r="DU17" s="5">
        <f t="shared" si="68"/>
        <v>0</v>
      </c>
      <c r="DV17" s="35">
        <f t="shared" si="69"/>
        <v>0</v>
      </c>
      <c r="DW17" s="5"/>
      <c r="DX17" s="35">
        <f t="shared" si="110"/>
        <v>0</v>
      </c>
      <c r="DY17" s="35">
        <f t="shared" si="70"/>
        <v>0</v>
      </c>
      <c r="DZ17" s="5">
        <f t="shared" si="71"/>
        <v>0</v>
      </c>
      <c r="EA17" s="35">
        <f t="shared" si="72"/>
        <v>0</v>
      </c>
      <c r="EB17" s="5"/>
      <c r="EC17" s="35">
        <f t="shared" si="111"/>
        <v>0</v>
      </c>
      <c r="ED17" s="35">
        <f t="shared" si="73"/>
        <v>0</v>
      </c>
      <c r="EE17" s="5">
        <f t="shared" si="74"/>
        <v>0</v>
      </c>
      <c r="EF17" s="35">
        <f t="shared" si="75"/>
        <v>0</v>
      </c>
      <c r="EG17" s="5"/>
      <c r="EH17" s="35">
        <f t="shared" si="112"/>
        <v>0</v>
      </c>
      <c r="EI17" s="35">
        <f t="shared" si="76"/>
        <v>0</v>
      </c>
      <c r="EJ17" s="5">
        <f t="shared" si="77"/>
        <v>0</v>
      </c>
      <c r="EK17" s="35">
        <f t="shared" si="78"/>
        <v>0</v>
      </c>
      <c r="EL17" s="5"/>
      <c r="EM17" s="35">
        <f t="shared" si="113"/>
        <v>0</v>
      </c>
      <c r="EN17" s="35">
        <f t="shared" si="79"/>
        <v>0</v>
      </c>
      <c r="EO17" s="35">
        <f t="shared" si="80"/>
        <v>0</v>
      </c>
      <c r="EP17" s="35">
        <f t="shared" si="81"/>
        <v>0</v>
      </c>
      <c r="EQ17" s="5"/>
      <c r="ER17" s="35">
        <f t="shared" si="114"/>
        <v>0</v>
      </c>
      <c r="ES17" s="35">
        <f t="shared" si="82"/>
        <v>0</v>
      </c>
      <c r="ET17" s="35">
        <f t="shared" si="83"/>
        <v>0</v>
      </c>
      <c r="EU17" s="35">
        <f t="shared" si="84"/>
        <v>0</v>
      </c>
      <c r="EV17" s="5"/>
      <c r="EW17" s="35">
        <f t="shared" si="115"/>
        <v>0</v>
      </c>
      <c r="EX17" s="35">
        <f t="shared" si="85"/>
        <v>0</v>
      </c>
      <c r="EY17" s="5">
        <f t="shared" si="86"/>
        <v>0</v>
      </c>
      <c r="EZ17" s="35">
        <f t="shared" si="87"/>
        <v>0</v>
      </c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ht="12.75">
      <c r="A18" s="36">
        <v>45566</v>
      </c>
      <c r="C18" s="77"/>
      <c r="D18" s="77"/>
      <c r="E18" s="34">
        <f t="shared" si="0"/>
        <v>0</v>
      </c>
      <c r="F18" s="34"/>
      <c r="H18" s="35">
        <f>'Academic Project '!H18</f>
        <v>0</v>
      </c>
      <c r="I18" s="35">
        <f>'Academic Project '!I18</f>
        <v>0</v>
      </c>
      <c r="J18" s="35">
        <f t="shared" si="88"/>
        <v>0</v>
      </c>
      <c r="K18" s="35">
        <f>'Academic Project '!K18</f>
        <v>0</v>
      </c>
      <c r="M18" s="35"/>
      <c r="N18" s="34">
        <f t="shared" si="1"/>
        <v>0</v>
      </c>
      <c r="O18" s="5">
        <f t="shared" si="2"/>
        <v>0</v>
      </c>
      <c r="P18" s="34">
        <f t="shared" si="3"/>
        <v>0</v>
      </c>
      <c r="R18" s="35"/>
      <c r="S18" s="35">
        <f t="shared" si="4"/>
        <v>0</v>
      </c>
      <c r="T18" s="5">
        <f t="shared" si="5"/>
        <v>0</v>
      </c>
      <c r="U18" s="35">
        <f t="shared" si="6"/>
        <v>0</v>
      </c>
      <c r="W18" s="35"/>
      <c r="X18" s="35">
        <f t="shared" si="7"/>
        <v>0</v>
      </c>
      <c r="Y18" s="5">
        <f t="shared" si="8"/>
        <v>0</v>
      </c>
      <c r="Z18" s="35">
        <f t="shared" si="9"/>
        <v>0</v>
      </c>
      <c r="AB18" s="35"/>
      <c r="AC18" s="35">
        <f t="shared" si="10"/>
        <v>0</v>
      </c>
      <c r="AD18" s="35">
        <f t="shared" si="11"/>
        <v>0</v>
      </c>
      <c r="AE18" s="35">
        <f t="shared" si="12"/>
        <v>0</v>
      </c>
      <c r="AG18" s="35"/>
      <c r="AH18" s="35">
        <f t="shared" si="13"/>
        <v>0</v>
      </c>
      <c r="AI18" s="5">
        <f t="shared" si="14"/>
        <v>0</v>
      </c>
      <c r="AJ18" s="35">
        <f t="shared" si="15"/>
        <v>0</v>
      </c>
      <c r="AL18" s="35"/>
      <c r="AM18" s="35">
        <f t="shared" si="16"/>
        <v>0</v>
      </c>
      <c r="AN18" s="5">
        <f t="shared" si="17"/>
        <v>0</v>
      </c>
      <c r="AO18" s="35">
        <f t="shared" si="18"/>
        <v>0</v>
      </c>
      <c r="AQ18" s="35"/>
      <c r="AR18" s="35">
        <f t="shared" si="19"/>
        <v>0</v>
      </c>
      <c r="AS18" s="5">
        <f t="shared" si="20"/>
        <v>0</v>
      </c>
      <c r="AT18" s="35">
        <f t="shared" si="21"/>
        <v>0</v>
      </c>
      <c r="AV18" s="35"/>
      <c r="AW18" s="35">
        <f t="shared" si="22"/>
        <v>0</v>
      </c>
      <c r="AX18" s="5">
        <f t="shared" si="23"/>
        <v>0</v>
      </c>
      <c r="AY18" s="35">
        <f t="shared" si="24"/>
        <v>0</v>
      </c>
      <c r="AZ18" s="5"/>
      <c r="BA18" s="35"/>
      <c r="BB18" s="35">
        <f t="shared" si="25"/>
        <v>0</v>
      </c>
      <c r="BC18" s="5">
        <f t="shared" si="26"/>
        <v>0</v>
      </c>
      <c r="BD18" s="35">
        <f t="shared" si="27"/>
        <v>0</v>
      </c>
      <c r="BE18" s="5"/>
      <c r="BF18" s="35"/>
      <c r="BG18" s="35">
        <f t="shared" si="28"/>
        <v>0</v>
      </c>
      <c r="BH18" s="5">
        <f t="shared" si="29"/>
        <v>0</v>
      </c>
      <c r="BI18" s="35">
        <f t="shared" si="30"/>
        <v>0</v>
      </c>
      <c r="BJ18" s="5"/>
      <c r="BK18" s="35"/>
      <c r="BL18" s="35">
        <f t="shared" si="31"/>
        <v>0</v>
      </c>
      <c r="BM18" s="5">
        <f t="shared" si="32"/>
        <v>0</v>
      </c>
      <c r="BN18" s="35">
        <f t="shared" si="33"/>
        <v>0</v>
      </c>
      <c r="BO18" s="5"/>
      <c r="BP18" s="35"/>
      <c r="BQ18" s="35">
        <f t="shared" si="34"/>
        <v>0</v>
      </c>
      <c r="BR18" s="5">
        <f t="shared" si="35"/>
        <v>0</v>
      </c>
      <c r="BS18" s="35">
        <f t="shared" si="36"/>
        <v>0</v>
      </c>
      <c r="BT18" s="5"/>
      <c r="BU18" s="35"/>
      <c r="BV18" s="35">
        <f t="shared" si="37"/>
        <v>0</v>
      </c>
      <c r="BW18" s="5">
        <f t="shared" si="38"/>
        <v>0</v>
      </c>
      <c r="BX18" s="35">
        <f t="shared" si="39"/>
        <v>0</v>
      </c>
      <c r="BY18" s="5"/>
      <c r="BZ18" s="35"/>
      <c r="CA18" s="35">
        <f t="shared" si="40"/>
        <v>0</v>
      </c>
      <c r="CB18" s="5">
        <f t="shared" si="41"/>
        <v>0</v>
      </c>
      <c r="CC18" s="35">
        <f t="shared" si="42"/>
        <v>0</v>
      </c>
      <c r="CD18" s="5"/>
      <c r="CE18" s="35"/>
      <c r="CF18" s="35">
        <f t="shared" si="43"/>
        <v>0</v>
      </c>
      <c r="CG18" s="5">
        <f t="shared" si="44"/>
        <v>0</v>
      </c>
      <c r="CH18" s="35">
        <f t="shared" si="45"/>
        <v>0</v>
      </c>
      <c r="CI18" s="5"/>
      <c r="CJ18" s="35"/>
      <c r="CK18" s="35">
        <f t="shared" si="46"/>
        <v>0</v>
      </c>
      <c r="CL18" s="5">
        <f t="shared" si="47"/>
        <v>0</v>
      </c>
      <c r="CM18" s="35">
        <f t="shared" si="48"/>
        <v>0</v>
      </c>
      <c r="CN18" s="5"/>
      <c r="CO18" s="35"/>
      <c r="CP18" s="35">
        <f t="shared" si="49"/>
        <v>0</v>
      </c>
      <c r="CQ18" s="35">
        <f t="shared" si="50"/>
        <v>0</v>
      </c>
      <c r="CR18" s="35">
        <f t="shared" si="51"/>
        <v>0</v>
      </c>
      <c r="CS18" s="5"/>
      <c r="CT18" s="35"/>
      <c r="CU18" s="35">
        <f t="shared" si="52"/>
        <v>0</v>
      </c>
      <c r="CV18" s="35">
        <f t="shared" si="53"/>
        <v>0</v>
      </c>
      <c r="CW18" s="35">
        <f t="shared" si="54"/>
        <v>0</v>
      </c>
      <c r="CX18" s="5"/>
      <c r="CY18" s="35"/>
      <c r="CZ18" s="35">
        <f t="shared" si="55"/>
        <v>0</v>
      </c>
      <c r="DA18" s="5">
        <f t="shared" si="56"/>
        <v>0</v>
      </c>
      <c r="DB18" s="35">
        <f t="shared" si="57"/>
        <v>0</v>
      </c>
      <c r="DC18" s="5"/>
      <c r="DD18" s="35"/>
      <c r="DE18" s="35">
        <f t="shared" si="58"/>
        <v>0</v>
      </c>
      <c r="DF18" s="35">
        <f t="shared" si="59"/>
        <v>0</v>
      </c>
      <c r="DG18" s="35">
        <f t="shared" si="60"/>
        <v>0</v>
      </c>
      <c r="DH18" s="5"/>
      <c r="DI18" s="35"/>
      <c r="DJ18" s="35">
        <f t="shared" si="61"/>
        <v>0</v>
      </c>
      <c r="DK18" s="5">
        <f t="shared" si="62"/>
        <v>0</v>
      </c>
      <c r="DL18" s="35">
        <f t="shared" si="63"/>
        <v>0</v>
      </c>
      <c r="DM18" s="5"/>
      <c r="DN18" s="35"/>
      <c r="DO18" s="35">
        <f t="shared" si="64"/>
        <v>0</v>
      </c>
      <c r="DP18" s="5">
        <f t="shared" si="65"/>
        <v>0</v>
      </c>
      <c r="DQ18" s="35">
        <f t="shared" si="66"/>
        <v>0</v>
      </c>
      <c r="DR18" s="5"/>
      <c r="DS18" s="35"/>
      <c r="DT18" s="35">
        <f t="shared" si="67"/>
        <v>0</v>
      </c>
      <c r="DU18" s="5">
        <f t="shared" si="68"/>
        <v>0</v>
      </c>
      <c r="DV18" s="35">
        <f t="shared" si="69"/>
        <v>0</v>
      </c>
      <c r="DW18" s="5"/>
      <c r="DX18" s="35"/>
      <c r="DY18" s="35">
        <f t="shared" si="70"/>
        <v>0</v>
      </c>
      <c r="DZ18" s="5">
        <f t="shared" si="71"/>
        <v>0</v>
      </c>
      <c r="EA18" s="35">
        <f t="shared" si="72"/>
        <v>0</v>
      </c>
      <c r="EB18" s="5"/>
      <c r="EC18" s="35"/>
      <c r="ED18" s="35">
        <f t="shared" si="73"/>
        <v>0</v>
      </c>
      <c r="EE18" s="5">
        <f t="shared" si="74"/>
        <v>0</v>
      </c>
      <c r="EF18" s="35">
        <f t="shared" si="75"/>
        <v>0</v>
      </c>
      <c r="EG18" s="5"/>
      <c r="EH18" s="35"/>
      <c r="EI18" s="35">
        <f t="shared" si="76"/>
        <v>0</v>
      </c>
      <c r="EJ18" s="5">
        <f t="shared" si="77"/>
        <v>0</v>
      </c>
      <c r="EK18" s="35">
        <f t="shared" si="78"/>
        <v>0</v>
      </c>
      <c r="EL18" s="5"/>
      <c r="EM18" s="35"/>
      <c r="EN18" s="35">
        <f t="shared" si="79"/>
        <v>0</v>
      </c>
      <c r="EO18" s="35">
        <f t="shared" si="80"/>
        <v>0</v>
      </c>
      <c r="EP18" s="35">
        <f t="shared" si="81"/>
        <v>0</v>
      </c>
      <c r="EQ18" s="5"/>
      <c r="ER18" s="35"/>
      <c r="ES18" s="35">
        <f t="shared" si="82"/>
        <v>0</v>
      </c>
      <c r="ET18" s="35">
        <f t="shared" si="83"/>
        <v>0</v>
      </c>
      <c r="EU18" s="35">
        <f t="shared" si="84"/>
        <v>0</v>
      </c>
      <c r="EV18" s="5"/>
      <c r="EW18" s="35"/>
      <c r="EX18" s="35">
        <f t="shared" si="85"/>
        <v>0</v>
      </c>
      <c r="EY18" s="5">
        <f t="shared" si="86"/>
        <v>0</v>
      </c>
      <c r="EZ18" s="35">
        <f t="shared" si="87"/>
        <v>0</v>
      </c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ht="12.75">
      <c r="A19" s="36">
        <v>45748</v>
      </c>
      <c r="C19" s="77"/>
      <c r="D19" s="77"/>
      <c r="E19" s="34">
        <f t="shared" si="0"/>
        <v>0</v>
      </c>
      <c r="F19" s="34"/>
      <c r="H19" s="35">
        <f>'Academic Project '!H19</f>
        <v>0</v>
      </c>
      <c r="I19" s="35">
        <f>'Academic Project '!I19</f>
        <v>0</v>
      </c>
      <c r="J19" s="35">
        <f t="shared" si="88"/>
        <v>0</v>
      </c>
      <c r="K19" s="35">
        <f>'Academic Project '!K19</f>
        <v>0</v>
      </c>
      <c r="M19" s="35">
        <f>R19+W19+AB19+AG19+AL19+AQ19+AV19+BA19+BF19+BK19+BP19+BU19+BZ19+CE19+CO19+CT19+CY19+DD19+DI19+DN19+DS19+DX19+EC19+EH19+CJ19+EM19+ER19+EW19+FB19</f>
        <v>0</v>
      </c>
      <c r="N19" s="34">
        <f t="shared" si="1"/>
        <v>0</v>
      </c>
      <c r="O19" s="5">
        <f t="shared" si="2"/>
        <v>0</v>
      </c>
      <c r="P19" s="34">
        <f t="shared" si="3"/>
        <v>0</v>
      </c>
      <c r="R19" s="35">
        <f t="shared" si="89"/>
        <v>0</v>
      </c>
      <c r="S19" s="35">
        <f t="shared" si="4"/>
        <v>0</v>
      </c>
      <c r="T19" s="5">
        <f t="shared" si="5"/>
        <v>0</v>
      </c>
      <c r="U19" s="35">
        <f t="shared" si="6"/>
        <v>0</v>
      </c>
      <c r="W19" s="35">
        <f t="shared" si="90"/>
        <v>0</v>
      </c>
      <c r="X19" s="35">
        <f t="shared" si="7"/>
        <v>0</v>
      </c>
      <c r="Y19" s="5">
        <f t="shared" si="8"/>
        <v>0</v>
      </c>
      <c r="Z19" s="35">
        <f t="shared" si="9"/>
        <v>0</v>
      </c>
      <c r="AB19" s="35">
        <f t="shared" si="91"/>
        <v>0</v>
      </c>
      <c r="AC19" s="35">
        <f t="shared" si="10"/>
        <v>0</v>
      </c>
      <c r="AD19" s="35">
        <f t="shared" si="11"/>
        <v>0</v>
      </c>
      <c r="AE19" s="35">
        <f t="shared" si="12"/>
        <v>0</v>
      </c>
      <c r="AG19" s="35">
        <f t="shared" si="92"/>
        <v>0</v>
      </c>
      <c r="AH19" s="35">
        <f t="shared" si="13"/>
        <v>0</v>
      </c>
      <c r="AI19" s="5">
        <f t="shared" si="14"/>
        <v>0</v>
      </c>
      <c r="AJ19" s="35">
        <f t="shared" si="15"/>
        <v>0</v>
      </c>
      <c r="AL19" s="35">
        <f t="shared" si="93"/>
        <v>0</v>
      </c>
      <c r="AM19" s="35">
        <f t="shared" si="16"/>
        <v>0</v>
      </c>
      <c r="AN19" s="5">
        <f t="shared" si="17"/>
        <v>0</v>
      </c>
      <c r="AO19" s="35">
        <f t="shared" si="18"/>
        <v>0</v>
      </c>
      <c r="AQ19" s="35">
        <f t="shared" si="94"/>
        <v>0</v>
      </c>
      <c r="AR19" s="35">
        <f t="shared" si="19"/>
        <v>0</v>
      </c>
      <c r="AS19" s="5">
        <f t="shared" si="20"/>
        <v>0</v>
      </c>
      <c r="AT19" s="35">
        <f t="shared" si="21"/>
        <v>0</v>
      </c>
      <c r="AV19" s="35">
        <f t="shared" si="95"/>
        <v>0</v>
      </c>
      <c r="AW19" s="35">
        <f t="shared" si="22"/>
        <v>0</v>
      </c>
      <c r="AX19" s="5">
        <f t="shared" si="23"/>
        <v>0</v>
      </c>
      <c r="AY19" s="35">
        <f t="shared" si="24"/>
        <v>0</v>
      </c>
      <c r="AZ19" s="5"/>
      <c r="BA19" s="35">
        <f t="shared" si="96"/>
        <v>0</v>
      </c>
      <c r="BB19" s="35">
        <f t="shared" si="25"/>
        <v>0</v>
      </c>
      <c r="BC19" s="5">
        <f t="shared" si="26"/>
        <v>0</v>
      </c>
      <c r="BD19" s="35">
        <f t="shared" si="27"/>
        <v>0</v>
      </c>
      <c r="BE19" s="5"/>
      <c r="BF19" s="35">
        <f t="shared" si="97"/>
        <v>0</v>
      </c>
      <c r="BG19" s="35">
        <f t="shared" si="28"/>
        <v>0</v>
      </c>
      <c r="BH19" s="5">
        <f t="shared" si="29"/>
        <v>0</v>
      </c>
      <c r="BI19" s="35">
        <f t="shared" si="30"/>
        <v>0</v>
      </c>
      <c r="BJ19" s="5"/>
      <c r="BK19" s="35">
        <f t="shared" si="98"/>
        <v>0</v>
      </c>
      <c r="BL19" s="35">
        <f t="shared" si="31"/>
        <v>0</v>
      </c>
      <c r="BM19" s="5">
        <f t="shared" si="32"/>
        <v>0</v>
      </c>
      <c r="BN19" s="35">
        <f t="shared" si="33"/>
        <v>0</v>
      </c>
      <c r="BO19" s="5"/>
      <c r="BP19" s="35">
        <f t="shared" si="99"/>
        <v>0</v>
      </c>
      <c r="BQ19" s="35">
        <f t="shared" si="34"/>
        <v>0</v>
      </c>
      <c r="BR19" s="5">
        <f t="shared" si="35"/>
        <v>0</v>
      </c>
      <c r="BS19" s="35">
        <f t="shared" si="36"/>
        <v>0</v>
      </c>
      <c r="BT19" s="5"/>
      <c r="BU19" s="35">
        <f t="shared" si="100"/>
        <v>0</v>
      </c>
      <c r="BV19" s="35">
        <f t="shared" si="37"/>
        <v>0</v>
      </c>
      <c r="BW19" s="5">
        <f t="shared" si="38"/>
        <v>0</v>
      </c>
      <c r="BX19" s="35">
        <f t="shared" si="39"/>
        <v>0</v>
      </c>
      <c r="BY19" s="5"/>
      <c r="BZ19" s="35">
        <f t="shared" si="101"/>
        <v>0</v>
      </c>
      <c r="CA19" s="35">
        <f t="shared" si="40"/>
        <v>0</v>
      </c>
      <c r="CB19" s="5">
        <f t="shared" si="41"/>
        <v>0</v>
      </c>
      <c r="CC19" s="35">
        <f t="shared" si="42"/>
        <v>0</v>
      </c>
      <c r="CD19" s="5"/>
      <c r="CE19" s="35">
        <f t="shared" si="102"/>
        <v>0</v>
      </c>
      <c r="CF19" s="35">
        <f t="shared" si="43"/>
        <v>0</v>
      </c>
      <c r="CG19" s="5">
        <f t="shared" si="44"/>
        <v>0</v>
      </c>
      <c r="CH19" s="35">
        <f t="shared" si="45"/>
        <v>0</v>
      </c>
      <c r="CI19" s="5"/>
      <c r="CJ19" s="35">
        <f>$C19*CK$6</f>
        <v>0</v>
      </c>
      <c r="CK19" s="35">
        <f t="shared" si="46"/>
        <v>0</v>
      </c>
      <c r="CL19" s="5">
        <f t="shared" si="47"/>
        <v>0</v>
      </c>
      <c r="CM19" s="35">
        <f t="shared" si="48"/>
        <v>0</v>
      </c>
      <c r="CN19" s="5"/>
      <c r="CO19" s="35">
        <f t="shared" si="103"/>
        <v>0</v>
      </c>
      <c r="CP19" s="35">
        <f t="shared" si="49"/>
        <v>0</v>
      </c>
      <c r="CQ19" s="35">
        <f t="shared" si="50"/>
        <v>0</v>
      </c>
      <c r="CR19" s="35">
        <f t="shared" si="51"/>
        <v>0</v>
      </c>
      <c r="CS19" s="5"/>
      <c r="CT19" s="35">
        <f t="shared" si="104"/>
        <v>0</v>
      </c>
      <c r="CU19" s="35">
        <f t="shared" si="52"/>
        <v>0</v>
      </c>
      <c r="CV19" s="35">
        <f t="shared" si="53"/>
        <v>0</v>
      </c>
      <c r="CW19" s="35">
        <f t="shared" si="54"/>
        <v>0</v>
      </c>
      <c r="CX19" s="5"/>
      <c r="CY19" s="35">
        <f t="shared" si="105"/>
        <v>0</v>
      </c>
      <c r="CZ19" s="35">
        <f t="shared" si="55"/>
        <v>0</v>
      </c>
      <c r="DA19" s="5">
        <f t="shared" si="56"/>
        <v>0</v>
      </c>
      <c r="DB19" s="35">
        <f t="shared" si="57"/>
        <v>0</v>
      </c>
      <c r="DC19" s="5"/>
      <c r="DD19" s="35">
        <f t="shared" si="106"/>
        <v>0</v>
      </c>
      <c r="DE19" s="35">
        <f t="shared" si="58"/>
        <v>0</v>
      </c>
      <c r="DF19" s="35">
        <f t="shared" si="59"/>
        <v>0</v>
      </c>
      <c r="DG19" s="35">
        <f t="shared" si="60"/>
        <v>0</v>
      </c>
      <c r="DH19" s="5"/>
      <c r="DI19" s="35">
        <f t="shared" si="107"/>
        <v>0</v>
      </c>
      <c r="DJ19" s="35">
        <f t="shared" si="61"/>
        <v>0</v>
      </c>
      <c r="DK19" s="5">
        <f t="shared" si="62"/>
        <v>0</v>
      </c>
      <c r="DL19" s="35">
        <f t="shared" si="63"/>
        <v>0</v>
      </c>
      <c r="DM19" s="5"/>
      <c r="DN19" s="35">
        <f t="shared" si="108"/>
        <v>0</v>
      </c>
      <c r="DO19" s="35">
        <f t="shared" si="64"/>
        <v>0</v>
      </c>
      <c r="DP19" s="5">
        <f t="shared" si="65"/>
        <v>0</v>
      </c>
      <c r="DQ19" s="35">
        <f t="shared" si="66"/>
        <v>0</v>
      </c>
      <c r="DR19" s="5"/>
      <c r="DS19" s="35">
        <f t="shared" si="109"/>
        <v>0</v>
      </c>
      <c r="DT19" s="35">
        <f t="shared" si="67"/>
        <v>0</v>
      </c>
      <c r="DU19" s="5">
        <f t="shared" si="68"/>
        <v>0</v>
      </c>
      <c r="DV19" s="35">
        <f t="shared" si="69"/>
        <v>0</v>
      </c>
      <c r="DW19" s="5"/>
      <c r="DX19" s="35">
        <f t="shared" si="110"/>
        <v>0</v>
      </c>
      <c r="DY19" s="35">
        <f t="shared" si="70"/>
        <v>0</v>
      </c>
      <c r="DZ19" s="5">
        <f t="shared" si="71"/>
        <v>0</v>
      </c>
      <c r="EA19" s="35">
        <f t="shared" si="72"/>
        <v>0</v>
      </c>
      <c r="EB19" s="5"/>
      <c r="EC19" s="35">
        <f t="shared" si="111"/>
        <v>0</v>
      </c>
      <c r="ED19" s="35">
        <f t="shared" si="73"/>
        <v>0</v>
      </c>
      <c r="EE19" s="5">
        <f t="shared" si="74"/>
        <v>0</v>
      </c>
      <c r="EF19" s="35">
        <f t="shared" si="75"/>
        <v>0</v>
      </c>
      <c r="EG19" s="5"/>
      <c r="EH19" s="35">
        <f t="shared" si="112"/>
        <v>0</v>
      </c>
      <c r="EI19" s="35">
        <f t="shared" si="76"/>
        <v>0</v>
      </c>
      <c r="EJ19" s="5">
        <f t="shared" si="77"/>
        <v>0</v>
      </c>
      <c r="EK19" s="35">
        <f t="shared" si="78"/>
        <v>0</v>
      </c>
      <c r="EL19" s="5"/>
      <c r="EM19" s="35">
        <f t="shared" si="113"/>
        <v>0</v>
      </c>
      <c r="EN19" s="35">
        <f t="shared" si="79"/>
        <v>0</v>
      </c>
      <c r="EO19" s="35">
        <f t="shared" si="80"/>
        <v>0</v>
      </c>
      <c r="EP19" s="35">
        <f t="shared" si="81"/>
        <v>0</v>
      </c>
      <c r="EQ19" s="5"/>
      <c r="ER19" s="35">
        <f t="shared" si="114"/>
        <v>0</v>
      </c>
      <c r="ES19" s="35">
        <f t="shared" si="82"/>
        <v>0</v>
      </c>
      <c r="ET19" s="35">
        <f t="shared" si="83"/>
        <v>0</v>
      </c>
      <c r="EU19" s="35">
        <f t="shared" si="84"/>
        <v>0</v>
      </c>
      <c r="EV19" s="5"/>
      <c r="EW19" s="35">
        <f t="shared" si="115"/>
        <v>0</v>
      </c>
      <c r="EX19" s="35">
        <f t="shared" si="85"/>
        <v>0</v>
      </c>
      <c r="EY19" s="5">
        <f t="shared" si="86"/>
        <v>0</v>
      </c>
      <c r="EZ19" s="35">
        <f t="shared" si="87"/>
        <v>0</v>
      </c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12.75">
      <c r="A20" s="36">
        <v>45931</v>
      </c>
      <c r="C20" s="77"/>
      <c r="D20" s="77"/>
      <c r="E20" s="34">
        <f t="shared" si="0"/>
        <v>0</v>
      </c>
      <c r="F20" s="34"/>
      <c r="H20" s="35">
        <f>'Academic Project '!H20</f>
        <v>0</v>
      </c>
      <c r="I20" s="35">
        <f>'Academic Project '!I20</f>
        <v>0</v>
      </c>
      <c r="J20" s="35">
        <f t="shared" si="88"/>
        <v>0</v>
      </c>
      <c r="K20" s="35">
        <f>'Academic Project '!K20</f>
        <v>0</v>
      </c>
      <c r="M20" s="35"/>
      <c r="N20" s="34">
        <f t="shared" si="1"/>
        <v>0</v>
      </c>
      <c r="O20" s="5">
        <f t="shared" si="2"/>
        <v>0</v>
      </c>
      <c r="P20" s="34">
        <f t="shared" si="3"/>
        <v>0</v>
      </c>
      <c r="R20" s="35"/>
      <c r="S20" s="35">
        <f t="shared" si="4"/>
        <v>0</v>
      </c>
      <c r="T20" s="5">
        <f t="shared" si="5"/>
        <v>0</v>
      </c>
      <c r="U20" s="35">
        <f t="shared" si="6"/>
        <v>0</v>
      </c>
      <c r="W20" s="35"/>
      <c r="X20" s="35">
        <f t="shared" si="7"/>
        <v>0</v>
      </c>
      <c r="Y20" s="5">
        <f t="shared" si="8"/>
        <v>0</v>
      </c>
      <c r="Z20" s="35">
        <f t="shared" si="9"/>
        <v>0</v>
      </c>
      <c r="AB20" s="35"/>
      <c r="AC20" s="35">
        <f t="shared" si="10"/>
        <v>0</v>
      </c>
      <c r="AD20" s="35">
        <f t="shared" si="11"/>
        <v>0</v>
      </c>
      <c r="AE20" s="35">
        <f t="shared" si="12"/>
        <v>0</v>
      </c>
      <c r="AG20" s="35"/>
      <c r="AH20" s="35">
        <f t="shared" si="13"/>
        <v>0</v>
      </c>
      <c r="AI20" s="5">
        <f t="shared" si="14"/>
        <v>0</v>
      </c>
      <c r="AJ20" s="35">
        <f t="shared" si="15"/>
        <v>0</v>
      </c>
      <c r="AL20" s="35"/>
      <c r="AM20" s="35">
        <f t="shared" si="16"/>
        <v>0</v>
      </c>
      <c r="AN20" s="5">
        <f t="shared" si="17"/>
        <v>0</v>
      </c>
      <c r="AO20" s="35">
        <f t="shared" si="18"/>
        <v>0</v>
      </c>
      <c r="AQ20" s="35"/>
      <c r="AR20" s="35">
        <f t="shared" si="19"/>
        <v>0</v>
      </c>
      <c r="AS20" s="5">
        <f t="shared" si="20"/>
        <v>0</v>
      </c>
      <c r="AT20" s="35">
        <f t="shared" si="21"/>
        <v>0</v>
      </c>
      <c r="AV20" s="35"/>
      <c r="AW20" s="35">
        <f t="shared" si="22"/>
        <v>0</v>
      </c>
      <c r="AX20" s="5">
        <f t="shared" si="23"/>
        <v>0</v>
      </c>
      <c r="AY20" s="35">
        <f t="shared" si="24"/>
        <v>0</v>
      </c>
      <c r="AZ20" s="5"/>
      <c r="BA20" s="35"/>
      <c r="BB20" s="35">
        <f t="shared" si="25"/>
        <v>0</v>
      </c>
      <c r="BC20" s="5">
        <f t="shared" si="26"/>
        <v>0</v>
      </c>
      <c r="BD20" s="35">
        <f t="shared" si="27"/>
        <v>0</v>
      </c>
      <c r="BE20" s="5"/>
      <c r="BF20" s="35"/>
      <c r="BG20" s="35">
        <f t="shared" si="28"/>
        <v>0</v>
      </c>
      <c r="BH20" s="5">
        <f t="shared" si="29"/>
        <v>0</v>
      </c>
      <c r="BI20" s="35">
        <f t="shared" si="30"/>
        <v>0</v>
      </c>
      <c r="BJ20" s="5"/>
      <c r="BK20" s="35"/>
      <c r="BL20" s="35">
        <f t="shared" si="31"/>
        <v>0</v>
      </c>
      <c r="BM20" s="5">
        <f t="shared" si="32"/>
        <v>0</v>
      </c>
      <c r="BN20" s="35">
        <f t="shared" si="33"/>
        <v>0</v>
      </c>
      <c r="BO20" s="5"/>
      <c r="BP20" s="35"/>
      <c r="BQ20" s="35">
        <f t="shared" si="34"/>
        <v>0</v>
      </c>
      <c r="BR20" s="5">
        <f t="shared" si="35"/>
        <v>0</v>
      </c>
      <c r="BS20" s="35">
        <f t="shared" si="36"/>
        <v>0</v>
      </c>
      <c r="BT20" s="5"/>
      <c r="BU20" s="35"/>
      <c r="BV20" s="35">
        <f t="shared" si="37"/>
        <v>0</v>
      </c>
      <c r="BW20" s="5">
        <f t="shared" si="38"/>
        <v>0</v>
      </c>
      <c r="BX20" s="35">
        <f t="shared" si="39"/>
        <v>0</v>
      </c>
      <c r="BY20" s="5"/>
      <c r="BZ20" s="35"/>
      <c r="CA20" s="35">
        <f t="shared" si="40"/>
        <v>0</v>
      </c>
      <c r="CB20" s="5">
        <f t="shared" si="41"/>
        <v>0</v>
      </c>
      <c r="CC20" s="35">
        <f t="shared" si="42"/>
        <v>0</v>
      </c>
      <c r="CD20" s="5"/>
      <c r="CE20" s="35"/>
      <c r="CF20" s="35">
        <f t="shared" si="43"/>
        <v>0</v>
      </c>
      <c r="CG20" s="5">
        <f t="shared" si="44"/>
        <v>0</v>
      </c>
      <c r="CH20" s="35">
        <f t="shared" si="45"/>
        <v>0</v>
      </c>
      <c r="CI20" s="5"/>
      <c r="CJ20" s="35"/>
      <c r="CK20" s="35">
        <f t="shared" si="46"/>
        <v>0</v>
      </c>
      <c r="CL20" s="5">
        <f t="shared" si="47"/>
        <v>0</v>
      </c>
      <c r="CM20" s="35">
        <f t="shared" si="48"/>
        <v>0</v>
      </c>
      <c r="CN20" s="5"/>
      <c r="CO20" s="35"/>
      <c r="CP20" s="35">
        <f t="shared" si="49"/>
        <v>0</v>
      </c>
      <c r="CQ20" s="35">
        <f t="shared" si="50"/>
        <v>0</v>
      </c>
      <c r="CR20" s="35">
        <f t="shared" si="51"/>
        <v>0</v>
      </c>
      <c r="CS20" s="5"/>
      <c r="CT20" s="35"/>
      <c r="CU20" s="35">
        <f t="shared" si="52"/>
        <v>0</v>
      </c>
      <c r="CV20" s="35">
        <f t="shared" si="53"/>
        <v>0</v>
      </c>
      <c r="CW20" s="35">
        <f t="shared" si="54"/>
        <v>0</v>
      </c>
      <c r="CX20" s="5"/>
      <c r="CY20" s="35"/>
      <c r="CZ20" s="35">
        <f t="shared" si="55"/>
        <v>0</v>
      </c>
      <c r="DA20" s="5">
        <f t="shared" si="56"/>
        <v>0</v>
      </c>
      <c r="DB20" s="35">
        <f t="shared" si="57"/>
        <v>0</v>
      </c>
      <c r="DC20" s="5"/>
      <c r="DD20" s="35"/>
      <c r="DE20" s="35">
        <f t="shared" si="58"/>
        <v>0</v>
      </c>
      <c r="DF20" s="35">
        <f t="shared" si="59"/>
        <v>0</v>
      </c>
      <c r="DG20" s="35">
        <f t="shared" si="60"/>
        <v>0</v>
      </c>
      <c r="DH20" s="5"/>
      <c r="DI20" s="35"/>
      <c r="DJ20" s="35">
        <f t="shared" si="61"/>
        <v>0</v>
      </c>
      <c r="DK20" s="5">
        <f t="shared" si="62"/>
        <v>0</v>
      </c>
      <c r="DL20" s="35">
        <f t="shared" si="63"/>
        <v>0</v>
      </c>
      <c r="DM20" s="5"/>
      <c r="DN20" s="35"/>
      <c r="DO20" s="35">
        <f t="shared" si="64"/>
        <v>0</v>
      </c>
      <c r="DP20" s="5">
        <f t="shared" si="65"/>
        <v>0</v>
      </c>
      <c r="DQ20" s="35">
        <f t="shared" si="66"/>
        <v>0</v>
      </c>
      <c r="DR20" s="5"/>
      <c r="DS20" s="35"/>
      <c r="DT20" s="35">
        <f t="shared" si="67"/>
        <v>0</v>
      </c>
      <c r="DU20" s="5">
        <f t="shared" si="68"/>
        <v>0</v>
      </c>
      <c r="DV20" s="35">
        <f t="shared" si="69"/>
        <v>0</v>
      </c>
      <c r="DW20" s="5"/>
      <c r="DX20" s="35"/>
      <c r="DY20" s="35">
        <f t="shared" si="70"/>
        <v>0</v>
      </c>
      <c r="DZ20" s="5">
        <f t="shared" si="71"/>
        <v>0</v>
      </c>
      <c r="EA20" s="35">
        <f t="shared" si="72"/>
        <v>0</v>
      </c>
      <c r="EB20" s="5"/>
      <c r="EC20" s="35"/>
      <c r="ED20" s="35">
        <f t="shared" si="73"/>
        <v>0</v>
      </c>
      <c r="EE20" s="5">
        <f t="shared" si="74"/>
        <v>0</v>
      </c>
      <c r="EF20" s="35">
        <f t="shared" si="75"/>
        <v>0</v>
      </c>
      <c r="EG20" s="5"/>
      <c r="EH20" s="35"/>
      <c r="EI20" s="35">
        <f t="shared" si="76"/>
        <v>0</v>
      </c>
      <c r="EJ20" s="5">
        <f t="shared" si="77"/>
        <v>0</v>
      </c>
      <c r="EK20" s="35">
        <f t="shared" si="78"/>
        <v>0</v>
      </c>
      <c r="EL20" s="5"/>
      <c r="EM20" s="35"/>
      <c r="EN20" s="35">
        <f t="shared" si="79"/>
        <v>0</v>
      </c>
      <c r="EO20" s="35">
        <f t="shared" si="80"/>
        <v>0</v>
      </c>
      <c r="EP20" s="35">
        <f t="shared" si="81"/>
        <v>0</v>
      </c>
      <c r="EQ20" s="5"/>
      <c r="ER20" s="35"/>
      <c r="ES20" s="35">
        <f t="shared" si="82"/>
        <v>0</v>
      </c>
      <c r="ET20" s="35">
        <f t="shared" si="83"/>
        <v>0</v>
      </c>
      <c r="EU20" s="35">
        <f t="shared" si="84"/>
        <v>0</v>
      </c>
      <c r="EV20" s="5"/>
      <c r="EW20" s="35"/>
      <c r="EX20" s="35">
        <f t="shared" si="85"/>
        <v>0</v>
      </c>
      <c r="EY20" s="5">
        <f t="shared" si="86"/>
        <v>0</v>
      </c>
      <c r="EZ20" s="35">
        <f t="shared" si="87"/>
        <v>0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ht="12.75">
      <c r="A21" s="36">
        <v>46113</v>
      </c>
      <c r="C21" s="77"/>
      <c r="D21" s="77"/>
      <c r="E21" s="34">
        <f t="shared" si="0"/>
        <v>0</v>
      </c>
      <c r="F21" s="34"/>
      <c r="H21" s="35">
        <f>'Academic Project '!H21</f>
        <v>0</v>
      </c>
      <c r="I21" s="35">
        <f>'Academic Project '!I21</f>
        <v>0</v>
      </c>
      <c r="J21" s="35">
        <f t="shared" si="88"/>
        <v>0</v>
      </c>
      <c r="K21" s="35">
        <f>'Academic Project '!K21</f>
        <v>0</v>
      </c>
      <c r="M21" s="35">
        <f>R21+W21+AB21+AG21+AL21+AQ21+AV21+BA21+BF21+BK21+BP21+BU21+BZ21+CE21+CO21+CT21+CY21+DD21+DI21+DN21+DS21+DX21+EC21+EH21+CJ21+EM21+ER21+EW21+FB21</f>
        <v>0</v>
      </c>
      <c r="N21" s="34">
        <f t="shared" si="1"/>
        <v>0</v>
      </c>
      <c r="O21" s="5">
        <f t="shared" si="2"/>
        <v>0</v>
      </c>
      <c r="P21" s="34">
        <f t="shared" si="3"/>
        <v>0</v>
      </c>
      <c r="R21" s="35">
        <f t="shared" si="89"/>
        <v>0</v>
      </c>
      <c r="S21" s="35">
        <f t="shared" si="4"/>
        <v>0</v>
      </c>
      <c r="T21" s="5">
        <f t="shared" si="5"/>
        <v>0</v>
      </c>
      <c r="U21" s="35">
        <f t="shared" si="6"/>
        <v>0</v>
      </c>
      <c r="W21" s="35">
        <f t="shared" si="90"/>
        <v>0</v>
      </c>
      <c r="X21" s="35">
        <f t="shared" si="7"/>
        <v>0</v>
      </c>
      <c r="Y21" s="5">
        <f t="shared" si="8"/>
        <v>0</v>
      </c>
      <c r="Z21" s="35">
        <f t="shared" si="9"/>
        <v>0</v>
      </c>
      <c r="AB21" s="35">
        <f t="shared" si="91"/>
        <v>0</v>
      </c>
      <c r="AC21" s="35">
        <f t="shared" si="10"/>
        <v>0</v>
      </c>
      <c r="AD21" s="35">
        <f t="shared" si="11"/>
        <v>0</v>
      </c>
      <c r="AE21" s="35">
        <f t="shared" si="12"/>
        <v>0</v>
      </c>
      <c r="AG21" s="35">
        <f t="shared" si="92"/>
        <v>0</v>
      </c>
      <c r="AH21" s="35">
        <f t="shared" si="13"/>
        <v>0</v>
      </c>
      <c r="AI21" s="5">
        <f t="shared" si="14"/>
        <v>0</v>
      </c>
      <c r="AJ21" s="35">
        <f t="shared" si="15"/>
        <v>0</v>
      </c>
      <c r="AL21" s="35">
        <f t="shared" si="93"/>
        <v>0</v>
      </c>
      <c r="AM21" s="35">
        <f t="shared" si="16"/>
        <v>0</v>
      </c>
      <c r="AN21" s="5">
        <f t="shared" si="17"/>
        <v>0</v>
      </c>
      <c r="AO21" s="35">
        <f t="shared" si="18"/>
        <v>0</v>
      </c>
      <c r="AQ21" s="35">
        <f t="shared" si="94"/>
        <v>0</v>
      </c>
      <c r="AR21" s="35">
        <f t="shared" si="19"/>
        <v>0</v>
      </c>
      <c r="AS21" s="5">
        <f t="shared" si="20"/>
        <v>0</v>
      </c>
      <c r="AT21" s="35">
        <f t="shared" si="21"/>
        <v>0</v>
      </c>
      <c r="AV21" s="35">
        <f t="shared" si="95"/>
        <v>0</v>
      </c>
      <c r="AW21" s="35">
        <f t="shared" si="22"/>
        <v>0</v>
      </c>
      <c r="AX21" s="5">
        <f t="shared" si="23"/>
        <v>0</v>
      </c>
      <c r="AY21" s="35">
        <f t="shared" si="24"/>
        <v>0</v>
      </c>
      <c r="AZ21" s="5"/>
      <c r="BA21" s="35">
        <f t="shared" si="96"/>
        <v>0</v>
      </c>
      <c r="BB21" s="35">
        <f t="shared" si="25"/>
        <v>0</v>
      </c>
      <c r="BC21" s="5">
        <f t="shared" si="26"/>
        <v>0</v>
      </c>
      <c r="BD21" s="35">
        <f t="shared" si="27"/>
        <v>0</v>
      </c>
      <c r="BE21" s="5"/>
      <c r="BF21" s="35">
        <f t="shared" si="97"/>
        <v>0</v>
      </c>
      <c r="BG21" s="35">
        <f t="shared" si="28"/>
        <v>0</v>
      </c>
      <c r="BH21" s="5">
        <f t="shared" si="29"/>
        <v>0</v>
      </c>
      <c r="BI21" s="35">
        <f t="shared" si="30"/>
        <v>0</v>
      </c>
      <c r="BJ21" s="5"/>
      <c r="BK21" s="35">
        <f t="shared" si="98"/>
        <v>0</v>
      </c>
      <c r="BL21" s="35">
        <f t="shared" si="31"/>
        <v>0</v>
      </c>
      <c r="BM21" s="5">
        <f t="shared" si="32"/>
        <v>0</v>
      </c>
      <c r="BN21" s="35">
        <f t="shared" si="33"/>
        <v>0</v>
      </c>
      <c r="BO21" s="5"/>
      <c r="BP21" s="35">
        <f t="shared" si="99"/>
        <v>0</v>
      </c>
      <c r="BQ21" s="35">
        <f t="shared" si="34"/>
        <v>0</v>
      </c>
      <c r="BR21" s="5">
        <f t="shared" si="35"/>
        <v>0</v>
      </c>
      <c r="BS21" s="35">
        <f t="shared" si="36"/>
        <v>0</v>
      </c>
      <c r="BT21" s="5"/>
      <c r="BU21" s="35">
        <f t="shared" si="100"/>
        <v>0</v>
      </c>
      <c r="BV21" s="35">
        <f t="shared" si="37"/>
        <v>0</v>
      </c>
      <c r="BW21" s="5">
        <f t="shared" si="38"/>
        <v>0</v>
      </c>
      <c r="BX21" s="35">
        <f t="shared" si="39"/>
        <v>0</v>
      </c>
      <c r="BY21" s="5"/>
      <c r="BZ21" s="35">
        <f t="shared" si="101"/>
        <v>0</v>
      </c>
      <c r="CA21" s="35">
        <f t="shared" si="40"/>
        <v>0</v>
      </c>
      <c r="CB21" s="5">
        <f t="shared" si="41"/>
        <v>0</v>
      </c>
      <c r="CC21" s="35">
        <f t="shared" si="42"/>
        <v>0</v>
      </c>
      <c r="CD21" s="5"/>
      <c r="CE21" s="35">
        <f t="shared" si="102"/>
        <v>0</v>
      </c>
      <c r="CF21" s="35">
        <f t="shared" si="43"/>
        <v>0</v>
      </c>
      <c r="CG21" s="5">
        <f t="shared" si="44"/>
        <v>0</v>
      </c>
      <c r="CH21" s="35">
        <f t="shared" si="45"/>
        <v>0</v>
      </c>
      <c r="CI21" s="5"/>
      <c r="CJ21" s="35">
        <f>$C21*CK$6</f>
        <v>0</v>
      </c>
      <c r="CK21" s="35">
        <f t="shared" si="46"/>
        <v>0</v>
      </c>
      <c r="CL21" s="5">
        <f t="shared" si="47"/>
        <v>0</v>
      </c>
      <c r="CM21" s="35">
        <f t="shared" si="48"/>
        <v>0</v>
      </c>
      <c r="CN21" s="5"/>
      <c r="CO21" s="35">
        <f t="shared" si="103"/>
        <v>0</v>
      </c>
      <c r="CP21" s="35">
        <f t="shared" si="49"/>
        <v>0</v>
      </c>
      <c r="CQ21" s="35">
        <f t="shared" si="50"/>
        <v>0</v>
      </c>
      <c r="CR21" s="35">
        <f t="shared" si="51"/>
        <v>0</v>
      </c>
      <c r="CS21" s="5"/>
      <c r="CT21" s="35">
        <f t="shared" si="104"/>
        <v>0</v>
      </c>
      <c r="CU21" s="35">
        <f t="shared" si="52"/>
        <v>0</v>
      </c>
      <c r="CV21" s="35">
        <f t="shared" si="53"/>
        <v>0</v>
      </c>
      <c r="CW21" s="35">
        <f t="shared" si="54"/>
        <v>0</v>
      </c>
      <c r="CX21" s="5"/>
      <c r="CY21" s="35">
        <f t="shared" si="105"/>
        <v>0</v>
      </c>
      <c r="CZ21" s="35">
        <f t="shared" si="55"/>
        <v>0</v>
      </c>
      <c r="DA21" s="5">
        <f t="shared" si="56"/>
        <v>0</v>
      </c>
      <c r="DB21" s="35">
        <f t="shared" si="57"/>
        <v>0</v>
      </c>
      <c r="DC21" s="5"/>
      <c r="DD21" s="35">
        <f t="shared" si="106"/>
        <v>0</v>
      </c>
      <c r="DE21" s="35">
        <f t="shared" si="58"/>
        <v>0</v>
      </c>
      <c r="DF21" s="35">
        <f t="shared" si="59"/>
        <v>0</v>
      </c>
      <c r="DG21" s="35">
        <f t="shared" si="60"/>
        <v>0</v>
      </c>
      <c r="DH21" s="5"/>
      <c r="DI21" s="35">
        <f t="shared" si="107"/>
        <v>0</v>
      </c>
      <c r="DJ21" s="35">
        <f t="shared" si="61"/>
        <v>0</v>
      </c>
      <c r="DK21" s="5">
        <f t="shared" si="62"/>
        <v>0</v>
      </c>
      <c r="DL21" s="35">
        <f t="shared" si="63"/>
        <v>0</v>
      </c>
      <c r="DM21" s="5"/>
      <c r="DN21" s="35">
        <f t="shared" si="108"/>
        <v>0</v>
      </c>
      <c r="DO21" s="35">
        <f t="shared" si="64"/>
        <v>0</v>
      </c>
      <c r="DP21" s="5">
        <f t="shared" si="65"/>
        <v>0</v>
      </c>
      <c r="DQ21" s="35">
        <f t="shared" si="66"/>
        <v>0</v>
      </c>
      <c r="DR21" s="5"/>
      <c r="DS21" s="35">
        <f t="shared" si="109"/>
        <v>0</v>
      </c>
      <c r="DT21" s="35">
        <f t="shared" si="67"/>
        <v>0</v>
      </c>
      <c r="DU21" s="5">
        <f t="shared" si="68"/>
        <v>0</v>
      </c>
      <c r="DV21" s="35">
        <f t="shared" si="69"/>
        <v>0</v>
      </c>
      <c r="DW21" s="5"/>
      <c r="DX21" s="35">
        <f t="shared" si="110"/>
        <v>0</v>
      </c>
      <c r="DY21" s="35">
        <f t="shared" si="70"/>
        <v>0</v>
      </c>
      <c r="DZ21" s="5">
        <f t="shared" si="71"/>
        <v>0</v>
      </c>
      <c r="EA21" s="35">
        <f t="shared" si="72"/>
        <v>0</v>
      </c>
      <c r="EB21" s="5"/>
      <c r="EC21" s="35">
        <f t="shared" si="111"/>
        <v>0</v>
      </c>
      <c r="ED21" s="35">
        <f t="shared" si="73"/>
        <v>0</v>
      </c>
      <c r="EE21" s="5">
        <f t="shared" si="74"/>
        <v>0</v>
      </c>
      <c r="EF21" s="35">
        <f t="shared" si="75"/>
        <v>0</v>
      </c>
      <c r="EG21" s="5"/>
      <c r="EH21" s="35">
        <f t="shared" si="112"/>
        <v>0</v>
      </c>
      <c r="EI21" s="35">
        <f t="shared" si="76"/>
        <v>0</v>
      </c>
      <c r="EJ21" s="5">
        <f t="shared" si="77"/>
        <v>0</v>
      </c>
      <c r="EK21" s="35">
        <f t="shared" si="78"/>
        <v>0</v>
      </c>
      <c r="EL21" s="5"/>
      <c r="EM21" s="35">
        <f t="shared" si="113"/>
        <v>0</v>
      </c>
      <c r="EN21" s="35">
        <f t="shared" si="79"/>
        <v>0</v>
      </c>
      <c r="EO21" s="35">
        <f t="shared" si="80"/>
        <v>0</v>
      </c>
      <c r="EP21" s="35">
        <f t="shared" si="81"/>
        <v>0</v>
      </c>
      <c r="EQ21" s="5"/>
      <c r="ER21" s="35">
        <f t="shared" si="114"/>
        <v>0</v>
      </c>
      <c r="ES21" s="35">
        <f t="shared" si="82"/>
        <v>0</v>
      </c>
      <c r="ET21" s="35">
        <f t="shared" si="83"/>
        <v>0</v>
      </c>
      <c r="EU21" s="35">
        <f t="shared" si="84"/>
        <v>0</v>
      </c>
      <c r="EV21" s="5"/>
      <c r="EW21" s="35">
        <f t="shared" si="115"/>
        <v>0</v>
      </c>
      <c r="EX21" s="35">
        <f t="shared" si="85"/>
        <v>0</v>
      </c>
      <c r="EY21" s="5">
        <f t="shared" si="86"/>
        <v>0</v>
      </c>
      <c r="EZ21" s="35">
        <f t="shared" si="87"/>
        <v>0</v>
      </c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ht="12.75">
      <c r="A22" s="36">
        <v>46296</v>
      </c>
      <c r="C22" s="77"/>
      <c r="D22" s="77"/>
      <c r="E22" s="34">
        <f t="shared" si="0"/>
        <v>0</v>
      </c>
      <c r="F22" s="34"/>
      <c r="H22" s="35">
        <f>'Academic Project '!H22</f>
        <v>0</v>
      </c>
      <c r="I22" s="35">
        <f>'Academic Project '!I22</f>
        <v>0</v>
      </c>
      <c r="J22" s="35">
        <f t="shared" si="88"/>
        <v>0</v>
      </c>
      <c r="K22" s="35">
        <f>'Academic Project '!K22</f>
        <v>0</v>
      </c>
      <c r="M22" s="35"/>
      <c r="N22" s="34">
        <f t="shared" si="1"/>
        <v>0</v>
      </c>
      <c r="O22" s="5">
        <f t="shared" si="2"/>
        <v>0</v>
      </c>
      <c r="P22" s="34">
        <f t="shared" si="3"/>
        <v>0</v>
      </c>
      <c r="R22" s="35"/>
      <c r="S22" s="35">
        <f t="shared" si="4"/>
        <v>0</v>
      </c>
      <c r="T22" s="5">
        <f t="shared" si="5"/>
        <v>0</v>
      </c>
      <c r="U22" s="35">
        <f t="shared" si="6"/>
        <v>0</v>
      </c>
      <c r="W22" s="35"/>
      <c r="X22" s="35">
        <f t="shared" si="7"/>
        <v>0</v>
      </c>
      <c r="Y22" s="5">
        <f t="shared" si="8"/>
        <v>0</v>
      </c>
      <c r="Z22" s="35">
        <f t="shared" si="9"/>
        <v>0</v>
      </c>
      <c r="AB22" s="35"/>
      <c r="AC22" s="35">
        <f t="shared" si="10"/>
        <v>0</v>
      </c>
      <c r="AD22" s="35">
        <f t="shared" si="11"/>
        <v>0</v>
      </c>
      <c r="AE22" s="35">
        <f t="shared" si="12"/>
        <v>0</v>
      </c>
      <c r="AG22" s="35"/>
      <c r="AH22" s="35">
        <f t="shared" si="13"/>
        <v>0</v>
      </c>
      <c r="AI22" s="5">
        <f t="shared" si="14"/>
        <v>0</v>
      </c>
      <c r="AJ22" s="35">
        <f t="shared" si="15"/>
        <v>0</v>
      </c>
      <c r="AL22" s="35"/>
      <c r="AM22" s="35">
        <f t="shared" si="16"/>
        <v>0</v>
      </c>
      <c r="AN22" s="5">
        <f t="shared" si="17"/>
        <v>0</v>
      </c>
      <c r="AO22" s="35">
        <f t="shared" si="18"/>
        <v>0</v>
      </c>
      <c r="AQ22" s="35"/>
      <c r="AR22" s="35">
        <f t="shared" si="19"/>
        <v>0</v>
      </c>
      <c r="AS22" s="5">
        <f t="shared" si="20"/>
        <v>0</v>
      </c>
      <c r="AT22" s="35">
        <f t="shared" si="21"/>
        <v>0</v>
      </c>
      <c r="AV22" s="35"/>
      <c r="AW22" s="35">
        <f t="shared" si="22"/>
        <v>0</v>
      </c>
      <c r="AX22" s="5">
        <f t="shared" si="23"/>
        <v>0</v>
      </c>
      <c r="AY22" s="35">
        <f t="shared" si="24"/>
        <v>0</v>
      </c>
      <c r="AZ22" s="5"/>
      <c r="BA22" s="35"/>
      <c r="BB22" s="35">
        <f t="shared" si="25"/>
        <v>0</v>
      </c>
      <c r="BC22" s="5">
        <f t="shared" si="26"/>
        <v>0</v>
      </c>
      <c r="BD22" s="35">
        <f t="shared" si="27"/>
        <v>0</v>
      </c>
      <c r="BE22" s="5"/>
      <c r="BF22" s="35"/>
      <c r="BG22" s="35">
        <f t="shared" si="28"/>
        <v>0</v>
      </c>
      <c r="BH22" s="5">
        <f t="shared" si="29"/>
        <v>0</v>
      </c>
      <c r="BI22" s="35">
        <f t="shared" si="30"/>
        <v>0</v>
      </c>
      <c r="BJ22" s="5"/>
      <c r="BK22" s="35"/>
      <c r="BL22" s="35">
        <f t="shared" si="31"/>
        <v>0</v>
      </c>
      <c r="BM22" s="5">
        <f t="shared" si="32"/>
        <v>0</v>
      </c>
      <c r="BN22" s="35">
        <f t="shared" si="33"/>
        <v>0</v>
      </c>
      <c r="BO22" s="5"/>
      <c r="BP22" s="35"/>
      <c r="BQ22" s="35">
        <f t="shared" si="34"/>
        <v>0</v>
      </c>
      <c r="BR22" s="5">
        <f t="shared" si="35"/>
        <v>0</v>
      </c>
      <c r="BS22" s="35">
        <f t="shared" si="36"/>
        <v>0</v>
      </c>
      <c r="BT22" s="5"/>
      <c r="BU22" s="35"/>
      <c r="BV22" s="35">
        <f t="shared" si="37"/>
        <v>0</v>
      </c>
      <c r="BW22" s="5">
        <f t="shared" si="38"/>
        <v>0</v>
      </c>
      <c r="BX22" s="35">
        <f t="shared" si="39"/>
        <v>0</v>
      </c>
      <c r="BY22" s="5"/>
      <c r="BZ22" s="35"/>
      <c r="CA22" s="35">
        <f t="shared" si="40"/>
        <v>0</v>
      </c>
      <c r="CB22" s="5">
        <f t="shared" si="41"/>
        <v>0</v>
      </c>
      <c r="CC22" s="35">
        <f t="shared" si="42"/>
        <v>0</v>
      </c>
      <c r="CD22" s="5"/>
      <c r="CE22" s="35"/>
      <c r="CF22" s="35">
        <f t="shared" si="43"/>
        <v>0</v>
      </c>
      <c r="CG22" s="5">
        <f t="shared" si="44"/>
        <v>0</v>
      </c>
      <c r="CH22" s="35">
        <f t="shared" si="45"/>
        <v>0</v>
      </c>
      <c r="CI22" s="5"/>
      <c r="CJ22" s="35"/>
      <c r="CK22" s="35">
        <f t="shared" si="46"/>
        <v>0</v>
      </c>
      <c r="CL22" s="5">
        <f t="shared" si="47"/>
        <v>0</v>
      </c>
      <c r="CM22" s="35">
        <f t="shared" si="48"/>
        <v>0</v>
      </c>
      <c r="CN22" s="5"/>
      <c r="CO22" s="35"/>
      <c r="CP22" s="35">
        <f t="shared" si="49"/>
        <v>0</v>
      </c>
      <c r="CQ22" s="35">
        <f t="shared" si="50"/>
        <v>0</v>
      </c>
      <c r="CR22" s="35">
        <f t="shared" si="51"/>
        <v>0</v>
      </c>
      <c r="CS22" s="5"/>
      <c r="CT22" s="35"/>
      <c r="CU22" s="35">
        <f t="shared" si="52"/>
        <v>0</v>
      </c>
      <c r="CV22" s="35">
        <f t="shared" si="53"/>
        <v>0</v>
      </c>
      <c r="CW22" s="35">
        <f t="shared" si="54"/>
        <v>0</v>
      </c>
      <c r="CX22" s="5"/>
      <c r="CY22" s="35"/>
      <c r="CZ22" s="35">
        <f t="shared" si="55"/>
        <v>0</v>
      </c>
      <c r="DA22" s="5">
        <f t="shared" si="56"/>
        <v>0</v>
      </c>
      <c r="DB22" s="35">
        <f t="shared" si="57"/>
        <v>0</v>
      </c>
      <c r="DC22" s="5"/>
      <c r="DD22" s="35"/>
      <c r="DE22" s="35">
        <f t="shared" si="58"/>
        <v>0</v>
      </c>
      <c r="DF22" s="35">
        <f t="shared" si="59"/>
        <v>0</v>
      </c>
      <c r="DG22" s="35">
        <f t="shared" si="60"/>
        <v>0</v>
      </c>
      <c r="DH22" s="5"/>
      <c r="DI22" s="35"/>
      <c r="DJ22" s="35">
        <f t="shared" si="61"/>
        <v>0</v>
      </c>
      <c r="DK22" s="5">
        <f t="shared" si="62"/>
        <v>0</v>
      </c>
      <c r="DL22" s="35">
        <f t="shared" si="63"/>
        <v>0</v>
      </c>
      <c r="DM22" s="5"/>
      <c r="DN22" s="35"/>
      <c r="DO22" s="35">
        <f t="shared" si="64"/>
        <v>0</v>
      </c>
      <c r="DP22" s="5">
        <f t="shared" si="65"/>
        <v>0</v>
      </c>
      <c r="DQ22" s="35">
        <f t="shared" si="66"/>
        <v>0</v>
      </c>
      <c r="DR22" s="5"/>
      <c r="DS22" s="35"/>
      <c r="DT22" s="35">
        <f t="shared" si="67"/>
        <v>0</v>
      </c>
      <c r="DU22" s="5">
        <f t="shared" si="68"/>
        <v>0</v>
      </c>
      <c r="DV22" s="35">
        <f t="shared" si="69"/>
        <v>0</v>
      </c>
      <c r="DW22" s="5"/>
      <c r="DX22" s="35"/>
      <c r="DY22" s="35">
        <f t="shared" si="70"/>
        <v>0</v>
      </c>
      <c r="DZ22" s="5">
        <f t="shared" si="71"/>
        <v>0</v>
      </c>
      <c r="EA22" s="35">
        <f t="shared" si="72"/>
        <v>0</v>
      </c>
      <c r="EB22" s="5"/>
      <c r="EC22" s="35"/>
      <c r="ED22" s="35">
        <f t="shared" si="73"/>
        <v>0</v>
      </c>
      <c r="EE22" s="5">
        <f t="shared" si="74"/>
        <v>0</v>
      </c>
      <c r="EF22" s="35">
        <f t="shared" si="75"/>
        <v>0</v>
      </c>
      <c r="EG22" s="5"/>
      <c r="EH22" s="35"/>
      <c r="EI22" s="35">
        <f t="shared" si="76"/>
        <v>0</v>
      </c>
      <c r="EJ22" s="5">
        <f t="shared" si="77"/>
        <v>0</v>
      </c>
      <c r="EK22" s="35">
        <f t="shared" si="78"/>
        <v>0</v>
      </c>
      <c r="EL22" s="5"/>
      <c r="EM22" s="35"/>
      <c r="EN22" s="35">
        <f t="shared" si="79"/>
        <v>0</v>
      </c>
      <c r="EO22" s="35">
        <f t="shared" si="80"/>
        <v>0</v>
      </c>
      <c r="EP22" s="35">
        <f t="shared" si="81"/>
        <v>0</v>
      </c>
      <c r="EQ22" s="5"/>
      <c r="ER22" s="35"/>
      <c r="ES22" s="35">
        <f t="shared" si="82"/>
        <v>0</v>
      </c>
      <c r="ET22" s="35">
        <f t="shared" si="83"/>
        <v>0</v>
      </c>
      <c r="EU22" s="35">
        <f t="shared" si="84"/>
        <v>0</v>
      </c>
      <c r="EV22" s="5"/>
      <c r="EW22" s="35"/>
      <c r="EX22" s="35">
        <f t="shared" si="85"/>
        <v>0</v>
      </c>
      <c r="EY22" s="5">
        <f t="shared" si="86"/>
        <v>0</v>
      </c>
      <c r="EZ22" s="35">
        <f t="shared" si="87"/>
        <v>0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ht="12.75">
      <c r="A23" s="36">
        <v>46478</v>
      </c>
      <c r="C23" s="77"/>
      <c r="D23" s="77"/>
      <c r="E23" s="34">
        <f t="shared" si="0"/>
        <v>0</v>
      </c>
      <c r="F23" s="34"/>
      <c r="H23" s="35">
        <f>'Academic Project '!H23</f>
        <v>0</v>
      </c>
      <c r="I23" s="35">
        <f>'Academic Project '!I23</f>
        <v>0</v>
      </c>
      <c r="J23" s="35">
        <f t="shared" si="88"/>
        <v>0</v>
      </c>
      <c r="K23" s="35">
        <f>'Academic Project '!K23</f>
        <v>0</v>
      </c>
      <c r="M23" s="35">
        <f>R23+W23+AB23+AG23+AL23+AQ23+AV23+BA23+BF23+BK23+BP23+BU23+BZ23+CE23+CO23+CT23+CY23+DD23+DI23+DN23+DS23+DX23+EC23+EH23+CJ23+EM23+ER23+EW23+FB23</f>
        <v>0</v>
      </c>
      <c r="N23" s="34">
        <f t="shared" si="1"/>
        <v>0</v>
      </c>
      <c r="O23" s="5">
        <f t="shared" si="2"/>
        <v>0</v>
      </c>
      <c r="P23" s="34">
        <f t="shared" si="3"/>
        <v>0</v>
      </c>
      <c r="R23" s="35">
        <f t="shared" si="89"/>
        <v>0</v>
      </c>
      <c r="S23" s="35">
        <f t="shared" si="4"/>
        <v>0</v>
      </c>
      <c r="T23" s="5">
        <f t="shared" si="5"/>
        <v>0</v>
      </c>
      <c r="U23" s="35">
        <f t="shared" si="6"/>
        <v>0</v>
      </c>
      <c r="W23" s="35">
        <f t="shared" si="90"/>
        <v>0</v>
      </c>
      <c r="X23" s="35">
        <f t="shared" si="7"/>
        <v>0</v>
      </c>
      <c r="Y23" s="5">
        <f t="shared" si="8"/>
        <v>0</v>
      </c>
      <c r="Z23" s="35">
        <f t="shared" si="9"/>
        <v>0</v>
      </c>
      <c r="AB23" s="35">
        <f t="shared" si="91"/>
        <v>0</v>
      </c>
      <c r="AC23" s="35">
        <f t="shared" si="10"/>
        <v>0</v>
      </c>
      <c r="AD23" s="35">
        <f t="shared" si="11"/>
        <v>0</v>
      </c>
      <c r="AE23" s="35">
        <f t="shared" si="12"/>
        <v>0</v>
      </c>
      <c r="AG23" s="35">
        <f t="shared" si="92"/>
        <v>0</v>
      </c>
      <c r="AH23" s="35">
        <f t="shared" si="13"/>
        <v>0</v>
      </c>
      <c r="AI23" s="5">
        <f t="shared" si="14"/>
        <v>0</v>
      </c>
      <c r="AJ23" s="35">
        <f t="shared" si="15"/>
        <v>0</v>
      </c>
      <c r="AL23" s="35">
        <f t="shared" si="93"/>
        <v>0</v>
      </c>
      <c r="AM23" s="35">
        <f t="shared" si="16"/>
        <v>0</v>
      </c>
      <c r="AN23" s="5">
        <f t="shared" si="17"/>
        <v>0</v>
      </c>
      <c r="AO23" s="35">
        <f t="shared" si="18"/>
        <v>0</v>
      </c>
      <c r="AQ23" s="35">
        <f t="shared" si="94"/>
        <v>0</v>
      </c>
      <c r="AR23" s="35">
        <f t="shared" si="19"/>
        <v>0</v>
      </c>
      <c r="AS23" s="5">
        <f t="shared" si="20"/>
        <v>0</v>
      </c>
      <c r="AT23" s="35">
        <f t="shared" si="21"/>
        <v>0</v>
      </c>
      <c r="AV23" s="35">
        <f t="shared" si="95"/>
        <v>0</v>
      </c>
      <c r="AW23" s="35">
        <f t="shared" si="22"/>
        <v>0</v>
      </c>
      <c r="AX23" s="5">
        <f t="shared" si="23"/>
        <v>0</v>
      </c>
      <c r="AY23" s="35">
        <f t="shared" si="24"/>
        <v>0</v>
      </c>
      <c r="AZ23" s="5"/>
      <c r="BA23" s="35">
        <f t="shared" si="96"/>
        <v>0</v>
      </c>
      <c r="BB23" s="35">
        <f t="shared" si="25"/>
        <v>0</v>
      </c>
      <c r="BC23" s="5">
        <f t="shared" si="26"/>
        <v>0</v>
      </c>
      <c r="BD23" s="35">
        <f t="shared" si="27"/>
        <v>0</v>
      </c>
      <c r="BE23" s="5"/>
      <c r="BF23" s="35">
        <f t="shared" si="97"/>
        <v>0</v>
      </c>
      <c r="BG23" s="35">
        <f t="shared" si="28"/>
        <v>0</v>
      </c>
      <c r="BH23" s="5">
        <f t="shared" si="29"/>
        <v>0</v>
      </c>
      <c r="BI23" s="35">
        <f t="shared" si="30"/>
        <v>0</v>
      </c>
      <c r="BJ23" s="5"/>
      <c r="BK23" s="35">
        <f t="shared" si="98"/>
        <v>0</v>
      </c>
      <c r="BL23" s="35">
        <f t="shared" si="31"/>
        <v>0</v>
      </c>
      <c r="BM23" s="5">
        <f t="shared" si="32"/>
        <v>0</v>
      </c>
      <c r="BN23" s="35">
        <f t="shared" si="33"/>
        <v>0</v>
      </c>
      <c r="BO23" s="5"/>
      <c r="BP23" s="35">
        <f t="shared" si="99"/>
        <v>0</v>
      </c>
      <c r="BQ23" s="35">
        <f t="shared" si="34"/>
        <v>0</v>
      </c>
      <c r="BR23" s="5">
        <f t="shared" si="35"/>
        <v>0</v>
      </c>
      <c r="BS23" s="35">
        <f t="shared" si="36"/>
        <v>0</v>
      </c>
      <c r="BT23" s="5"/>
      <c r="BU23" s="35">
        <f t="shared" si="100"/>
        <v>0</v>
      </c>
      <c r="BV23" s="35">
        <f t="shared" si="37"/>
        <v>0</v>
      </c>
      <c r="BW23" s="5">
        <f t="shared" si="38"/>
        <v>0</v>
      </c>
      <c r="BX23" s="35">
        <f t="shared" si="39"/>
        <v>0</v>
      </c>
      <c r="BY23" s="5"/>
      <c r="BZ23" s="35">
        <f t="shared" si="101"/>
        <v>0</v>
      </c>
      <c r="CA23" s="35">
        <f t="shared" si="40"/>
        <v>0</v>
      </c>
      <c r="CB23" s="5">
        <f t="shared" si="41"/>
        <v>0</v>
      </c>
      <c r="CC23" s="35">
        <f t="shared" si="42"/>
        <v>0</v>
      </c>
      <c r="CD23" s="5"/>
      <c r="CE23" s="35">
        <f t="shared" si="102"/>
        <v>0</v>
      </c>
      <c r="CF23" s="35">
        <f t="shared" si="43"/>
        <v>0</v>
      </c>
      <c r="CG23" s="5">
        <f t="shared" si="44"/>
        <v>0</v>
      </c>
      <c r="CH23" s="35">
        <f t="shared" si="45"/>
        <v>0</v>
      </c>
      <c r="CI23" s="5"/>
      <c r="CJ23" s="35">
        <f>$C23*CK$6</f>
        <v>0</v>
      </c>
      <c r="CK23" s="35">
        <f t="shared" si="46"/>
        <v>0</v>
      </c>
      <c r="CL23" s="5">
        <f t="shared" si="47"/>
        <v>0</v>
      </c>
      <c r="CM23" s="35">
        <f t="shared" si="48"/>
        <v>0</v>
      </c>
      <c r="CN23" s="5"/>
      <c r="CO23" s="35">
        <f t="shared" si="103"/>
        <v>0</v>
      </c>
      <c r="CP23" s="35">
        <f t="shared" si="49"/>
        <v>0</v>
      </c>
      <c r="CQ23" s="35">
        <f t="shared" si="50"/>
        <v>0</v>
      </c>
      <c r="CR23" s="35">
        <f t="shared" si="51"/>
        <v>0</v>
      </c>
      <c r="CS23" s="5"/>
      <c r="CT23" s="35">
        <f t="shared" si="104"/>
        <v>0</v>
      </c>
      <c r="CU23" s="35">
        <f t="shared" si="52"/>
        <v>0</v>
      </c>
      <c r="CV23" s="35">
        <f t="shared" si="53"/>
        <v>0</v>
      </c>
      <c r="CW23" s="35">
        <f t="shared" si="54"/>
        <v>0</v>
      </c>
      <c r="CX23" s="5"/>
      <c r="CY23" s="35">
        <f t="shared" si="105"/>
        <v>0</v>
      </c>
      <c r="CZ23" s="35">
        <f t="shared" si="55"/>
        <v>0</v>
      </c>
      <c r="DA23" s="5">
        <f t="shared" si="56"/>
        <v>0</v>
      </c>
      <c r="DB23" s="35">
        <f t="shared" si="57"/>
        <v>0</v>
      </c>
      <c r="DC23" s="5"/>
      <c r="DD23" s="35">
        <f t="shared" si="106"/>
        <v>0</v>
      </c>
      <c r="DE23" s="35">
        <f t="shared" si="58"/>
        <v>0</v>
      </c>
      <c r="DF23" s="35">
        <f t="shared" si="59"/>
        <v>0</v>
      </c>
      <c r="DG23" s="35">
        <f t="shared" si="60"/>
        <v>0</v>
      </c>
      <c r="DH23" s="5"/>
      <c r="DI23" s="35">
        <f t="shared" si="107"/>
        <v>0</v>
      </c>
      <c r="DJ23" s="35">
        <f t="shared" si="61"/>
        <v>0</v>
      </c>
      <c r="DK23" s="5">
        <f t="shared" si="62"/>
        <v>0</v>
      </c>
      <c r="DL23" s="35">
        <f t="shared" si="63"/>
        <v>0</v>
      </c>
      <c r="DM23" s="5"/>
      <c r="DN23" s="35">
        <f t="shared" si="108"/>
        <v>0</v>
      </c>
      <c r="DO23" s="35">
        <f t="shared" si="64"/>
        <v>0</v>
      </c>
      <c r="DP23" s="5">
        <f t="shared" si="65"/>
        <v>0</v>
      </c>
      <c r="DQ23" s="35">
        <f t="shared" si="66"/>
        <v>0</v>
      </c>
      <c r="DR23" s="5"/>
      <c r="DS23" s="35">
        <f t="shared" si="109"/>
        <v>0</v>
      </c>
      <c r="DT23" s="35">
        <f t="shared" si="67"/>
        <v>0</v>
      </c>
      <c r="DU23" s="5">
        <f t="shared" si="68"/>
        <v>0</v>
      </c>
      <c r="DV23" s="35">
        <f t="shared" si="69"/>
        <v>0</v>
      </c>
      <c r="DW23" s="5"/>
      <c r="DX23" s="35">
        <f t="shared" si="110"/>
        <v>0</v>
      </c>
      <c r="DY23" s="35">
        <f t="shared" si="70"/>
        <v>0</v>
      </c>
      <c r="DZ23" s="5">
        <f t="shared" si="71"/>
        <v>0</v>
      </c>
      <c r="EA23" s="35">
        <f t="shared" si="72"/>
        <v>0</v>
      </c>
      <c r="EB23" s="5"/>
      <c r="EC23" s="35">
        <f t="shared" si="111"/>
        <v>0</v>
      </c>
      <c r="ED23" s="35">
        <f t="shared" si="73"/>
        <v>0</v>
      </c>
      <c r="EE23" s="5">
        <f t="shared" si="74"/>
        <v>0</v>
      </c>
      <c r="EF23" s="35">
        <f t="shared" si="75"/>
        <v>0</v>
      </c>
      <c r="EG23" s="5"/>
      <c r="EH23" s="35">
        <f t="shared" si="112"/>
        <v>0</v>
      </c>
      <c r="EI23" s="35">
        <f t="shared" si="76"/>
        <v>0</v>
      </c>
      <c r="EJ23" s="5">
        <f t="shared" si="77"/>
        <v>0</v>
      </c>
      <c r="EK23" s="35">
        <f t="shared" si="78"/>
        <v>0</v>
      </c>
      <c r="EL23" s="5"/>
      <c r="EM23" s="35">
        <f t="shared" si="113"/>
        <v>0</v>
      </c>
      <c r="EN23" s="35">
        <f t="shared" si="79"/>
        <v>0</v>
      </c>
      <c r="EO23" s="35">
        <f t="shared" si="80"/>
        <v>0</v>
      </c>
      <c r="EP23" s="35">
        <f t="shared" si="81"/>
        <v>0</v>
      </c>
      <c r="EQ23" s="5"/>
      <c r="ER23" s="35">
        <f t="shared" si="114"/>
        <v>0</v>
      </c>
      <c r="ES23" s="35">
        <f t="shared" si="82"/>
        <v>0</v>
      </c>
      <c r="ET23" s="35">
        <f t="shared" si="83"/>
        <v>0</v>
      </c>
      <c r="EU23" s="35">
        <f t="shared" si="84"/>
        <v>0</v>
      </c>
      <c r="EV23" s="5"/>
      <c r="EW23" s="35">
        <f t="shared" si="115"/>
        <v>0</v>
      </c>
      <c r="EX23" s="35">
        <f t="shared" si="85"/>
        <v>0</v>
      </c>
      <c r="EY23" s="5">
        <f t="shared" si="86"/>
        <v>0</v>
      </c>
      <c r="EZ23" s="35">
        <f t="shared" si="87"/>
        <v>0</v>
      </c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ht="12.75">
      <c r="A24" s="36">
        <v>46661</v>
      </c>
      <c r="C24" s="77"/>
      <c r="D24" s="77"/>
      <c r="E24" s="34">
        <f t="shared" si="0"/>
        <v>0</v>
      </c>
      <c r="F24" s="34"/>
      <c r="H24" s="35">
        <f>'Academic Project '!H24</f>
        <v>0</v>
      </c>
      <c r="I24" s="35">
        <f>'Academic Project '!I24</f>
        <v>0</v>
      </c>
      <c r="J24" s="35">
        <f t="shared" si="88"/>
        <v>0</v>
      </c>
      <c r="K24" s="35">
        <f>'Academic Project '!K24</f>
        <v>0</v>
      </c>
      <c r="M24" s="35"/>
      <c r="N24" s="34">
        <f t="shared" si="1"/>
        <v>0</v>
      </c>
      <c r="O24" s="5">
        <f t="shared" si="2"/>
        <v>0</v>
      </c>
      <c r="P24" s="34">
        <f t="shared" si="3"/>
        <v>0</v>
      </c>
      <c r="R24" s="35"/>
      <c r="S24" s="35">
        <f t="shared" si="4"/>
        <v>0</v>
      </c>
      <c r="T24" s="5">
        <f t="shared" si="5"/>
        <v>0</v>
      </c>
      <c r="U24" s="35">
        <f t="shared" si="6"/>
        <v>0</v>
      </c>
      <c r="W24" s="35"/>
      <c r="X24" s="35">
        <f t="shared" si="7"/>
        <v>0</v>
      </c>
      <c r="Y24" s="5">
        <f t="shared" si="8"/>
        <v>0</v>
      </c>
      <c r="Z24" s="35">
        <f t="shared" si="9"/>
        <v>0</v>
      </c>
      <c r="AB24" s="35"/>
      <c r="AC24" s="35">
        <f t="shared" si="10"/>
        <v>0</v>
      </c>
      <c r="AD24" s="35">
        <f t="shared" si="11"/>
        <v>0</v>
      </c>
      <c r="AE24" s="35">
        <f t="shared" si="12"/>
        <v>0</v>
      </c>
      <c r="AG24" s="35"/>
      <c r="AH24" s="35">
        <f t="shared" si="13"/>
        <v>0</v>
      </c>
      <c r="AI24" s="5">
        <f t="shared" si="14"/>
        <v>0</v>
      </c>
      <c r="AJ24" s="35">
        <f t="shared" si="15"/>
        <v>0</v>
      </c>
      <c r="AL24" s="35"/>
      <c r="AM24" s="35">
        <f t="shared" si="16"/>
        <v>0</v>
      </c>
      <c r="AN24" s="5">
        <f t="shared" si="17"/>
        <v>0</v>
      </c>
      <c r="AO24" s="35">
        <f t="shared" si="18"/>
        <v>0</v>
      </c>
      <c r="AQ24" s="35"/>
      <c r="AR24" s="35">
        <f t="shared" si="19"/>
        <v>0</v>
      </c>
      <c r="AS24" s="5">
        <f t="shared" si="20"/>
        <v>0</v>
      </c>
      <c r="AT24" s="35">
        <f t="shared" si="21"/>
        <v>0</v>
      </c>
      <c r="AV24" s="35"/>
      <c r="AW24" s="35">
        <f t="shared" si="22"/>
        <v>0</v>
      </c>
      <c r="AX24" s="5">
        <f t="shared" si="23"/>
        <v>0</v>
      </c>
      <c r="AY24" s="35">
        <f t="shared" si="24"/>
        <v>0</v>
      </c>
      <c r="AZ24" s="5"/>
      <c r="BA24" s="35"/>
      <c r="BB24" s="35">
        <f t="shared" si="25"/>
        <v>0</v>
      </c>
      <c r="BC24" s="5">
        <f t="shared" si="26"/>
        <v>0</v>
      </c>
      <c r="BD24" s="35">
        <f t="shared" si="27"/>
        <v>0</v>
      </c>
      <c r="BE24" s="5"/>
      <c r="BF24" s="35"/>
      <c r="BG24" s="35">
        <f t="shared" si="28"/>
        <v>0</v>
      </c>
      <c r="BH24" s="5">
        <f t="shared" si="29"/>
        <v>0</v>
      </c>
      <c r="BI24" s="35">
        <f t="shared" si="30"/>
        <v>0</v>
      </c>
      <c r="BJ24" s="5"/>
      <c r="BK24" s="35"/>
      <c r="BL24" s="35">
        <f t="shared" si="31"/>
        <v>0</v>
      </c>
      <c r="BM24" s="5">
        <f t="shared" si="32"/>
        <v>0</v>
      </c>
      <c r="BN24" s="35">
        <f t="shared" si="33"/>
        <v>0</v>
      </c>
      <c r="BO24" s="5"/>
      <c r="BP24" s="35"/>
      <c r="BQ24" s="35">
        <f t="shared" si="34"/>
        <v>0</v>
      </c>
      <c r="BR24" s="5">
        <f t="shared" si="35"/>
        <v>0</v>
      </c>
      <c r="BS24" s="35">
        <f t="shared" si="36"/>
        <v>0</v>
      </c>
      <c r="BT24" s="5"/>
      <c r="BU24" s="35"/>
      <c r="BV24" s="35">
        <f t="shared" si="37"/>
        <v>0</v>
      </c>
      <c r="BW24" s="5">
        <f t="shared" si="38"/>
        <v>0</v>
      </c>
      <c r="BX24" s="35">
        <f t="shared" si="39"/>
        <v>0</v>
      </c>
      <c r="BY24" s="5"/>
      <c r="BZ24" s="35"/>
      <c r="CA24" s="35">
        <f t="shared" si="40"/>
        <v>0</v>
      </c>
      <c r="CB24" s="5">
        <f t="shared" si="41"/>
        <v>0</v>
      </c>
      <c r="CC24" s="35">
        <f t="shared" si="42"/>
        <v>0</v>
      </c>
      <c r="CD24" s="5"/>
      <c r="CE24" s="35"/>
      <c r="CF24" s="35">
        <f t="shared" si="43"/>
        <v>0</v>
      </c>
      <c r="CG24" s="5">
        <f t="shared" si="44"/>
        <v>0</v>
      </c>
      <c r="CH24" s="35">
        <f t="shared" si="45"/>
        <v>0</v>
      </c>
      <c r="CI24" s="5"/>
      <c r="CJ24" s="35"/>
      <c r="CK24" s="35">
        <f t="shared" si="46"/>
        <v>0</v>
      </c>
      <c r="CL24" s="5">
        <f t="shared" si="47"/>
        <v>0</v>
      </c>
      <c r="CM24" s="35">
        <f t="shared" si="48"/>
        <v>0</v>
      </c>
      <c r="CN24" s="5"/>
      <c r="CO24" s="35"/>
      <c r="CP24" s="35">
        <f t="shared" si="49"/>
        <v>0</v>
      </c>
      <c r="CQ24" s="35">
        <f t="shared" si="50"/>
        <v>0</v>
      </c>
      <c r="CR24" s="35">
        <f t="shared" si="51"/>
        <v>0</v>
      </c>
      <c r="CS24" s="5"/>
      <c r="CT24" s="35"/>
      <c r="CU24" s="35">
        <f t="shared" si="52"/>
        <v>0</v>
      </c>
      <c r="CV24" s="35">
        <f t="shared" si="53"/>
        <v>0</v>
      </c>
      <c r="CW24" s="35">
        <f t="shared" si="54"/>
        <v>0</v>
      </c>
      <c r="CX24" s="5"/>
      <c r="CY24" s="35"/>
      <c r="CZ24" s="35">
        <f t="shared" si="55"/>
        <v>0</v>
      </c>
      <c r="DA24" s="5">
        <f t="shared" si="56"/>
        <v>0</v>
      </c>
      <c r="DB24" s="35">
        <f t="shared" si="57"/>
        <v>0</v>
      </c>
      <c r="DC24" s="5"/>
      <c r="DD24" s="35"/>
      <c r="DE24" s="35">
        <f t="shared" si="58"/>
        <v>0</v>
      </c>
      <c r="DF24" s="35">
        <f t="shared" si="59"/>
        <v>0</v>
      </c>
      <c r="DG24" s="35">
        <f t="shared" si="60"/>
        <v>0</v>
      </c>
      <c r="DH24" s="5"/>
      <c r="DI24" s="35"/>
      <c r="DJ24" s="35">
        <f t="shared" si="61"/>
        <v>0</v>
      </c>
      <c r="DK24" s="5">
        <f t="shared" si="62"/>
        <v>0</v>
      </c>
      <c r="DL24" s="35">
        <f t="shared" si="63"/>
        <v>0</v>
      </c>
      <c r="DM24" s="5"/>
      <c r="DN24" s="35"/>
      <c r="DO24" s="35">
        <f t="shared" si="64"/>
        <v>0</v>
      </c>
      <c r="DP24" s="5">
        <f t="shared" si="65"/>
        <v>0</v>
      </c>
      <c r="DQ24" s="35">
        <f t="shared" si="66"/>
        <v>0</v>
      </c>
      <c r="DR24" s="5"/>
      <c r="DS24" s="35"/>
      <c r="DT24" s="35">
        <f t="shared" si="67"/>
        <v>0</v>
      </c>
      <c r="DU24" s="5">
        <f t="shared" si="68"/>
        <v>0</v>
      </c>
      <c r="DV24" s="35">
        <f t="shared" si="69"/>
        <v>0</v>
      </c>
      <c r="DW24" s="5"/>
      <c r="DX24" s="35"/>
      <c r="DY24" s="35">
        <f t="shared" si="70"/>
        <v>0</v>
      </c>
      <c r="DZ24" s="5">
        <f t="shared" si="71"/>
        <v>0</v>
      </c>
      <c r="EA24" s="35">
        <f t="shared" si="72"/>
        <v>0</v>
      </c>
      <c r="EB24" s="5"/>
      <c r="EC24" s="35"/>
      <c r="ED24" s="35">
        <f t="shared" si="73"/>
        <v>0</v>
      </c>
      <c r="EE24" s="5">
        <f t="shared" si="74"/>
        <v>0</v>
      </c>
      <c r="EF24" s="35">
        <f t="shared" si="75"/>
        <v>0</v>
      </c>
      <c r="EG24" s="5"/>
      <c r="EH24" s="35"/>
      <c r="EI24" s="35">
        <f t="shared" si="76"/>
        <v>0</v>
      </c>
      <c r="EJ24" s="5">
        <f t="shared" si="77"/>
        <v>0</v>
      </c>
      <c r="EK24" s="35">
        <f t="shared" si="78"/>
        <v>0</v>
      </c>
      <c r="EL24" s="5"/>
      <c r="EM24" s="35"/>
      <c r="EN24" s="35">
        <f t="shared" si="79"/>
        <v>0</v>
      </c>
      <c r="EO24" s="35">
        <f t="shared" si="80"/>
        <v>0</v>
      </c>
      <c r="EP24" s="35">
        <f t="shared" si="81"/>
        <v>0</v>
      </c>
      <c r="EQ24" s="5"/>
      <c r="ER24" s="35"/>
      <c r="ES24" s="35">
        <f t="shared" si="82"/>
        <v>0</v>
      </c>
      <c r="ET24" s="35">
        <f t="shared" si="83"/>
        <v>0</v>
      </c>
      <c r="EU24" s="35">
        <f t="shared" si="84"/>
        <v>0</v>
      </c>
      <c r="EV24" s="5"/>
      <c r="EW24" s="35"/>
      <c r="EX24" s="35">
        <f t="shared" si="85"/>
        <v>0</v>
      </c>
      <c r="EY24" s="5">
        <f t="shared" si="86"/>
        <v>0</v>
      </c>
      <c r="EZ24" s="35">
        <f t="shared" si="87"/>
        <v>0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ht="12.75">
      <c r="A25" s="36">
        <v>46844</v>
      </c>
      <c r="C25" s="77"/>
      <c r="D25" s="77"/>
      <c r="E25" s="34">
        <f t="shared" si="0"/>
        <v>0</v>
      </c>
      <c r="F25" s="34"/>
      <c r="H25" s="35">
        <f>'Academic Project '!H25</f>
        <v>0</v>
      </c>
      <c r="I25" s="35">
        <f>'Academic Project '!I25</f>
        <v>0</v>
      </c>
      <c r="J25" s="35">
        <f t="shared" si="88"/>
        <v>0</v>
      </c>
      <c r="K25" s="35">
        <f>'Academic Project '!K25</f>
        <v>0</v>
      </c>
      <c r="M25" s="35">
        <f>R25+W25+AB25+AG25+AL25+AQ25+AV25+BA25+BF25+BK25+BP25+BU25+BZ25+CE25+CO25+CT25+CY25+DD25+DI25+DN25+DS25+DX25+EC25+EH25+CJ25+EM25+ER25+EW25+FB25</f>
        <v>0</v>
      </c>
      <c r="N25" s="34">
        <f t="shared" si="1"/>
        <v>0</v>
      </c>
      <c r="O25" s="5">
        <f t="shared" si="2"/>
        <v>0</v>
      </c>
      <c r="P25" s="34">
        <f t="shared" si="3"/>
        <v>0</v>
      </c>
      <c r="R25" s="35">
        <f t="shared" si="89"/>
        <v>0</v>
      </c>
      <c r="S25" s="35">
        <f t="shared" si="4"/>
        <v>0</v>
      </c>
      <c r="T25" s="5">
        <f t="shared" si="5"/>
        <v>0</v>
      </c>
      <c r="U25" s="35">
        <f t="shared" si="6"/>
        <v>0</v>
      </c>
      <c r="W25" s="35">
        <f t="shared" si="90"/>
        <v>0</v>
      </c>
      <c r="X25" s="35">
        <f t="shared" si="7"/>
        <v>0</v>
      </c>
      <c r="Y25" s="5">
        <f t="shared" si="8"/>
        <v>0</v>
      </c>
      <c r="Z25" s="35">
        <f t="shared" si="9"/>
        <v>0</v>
      </c>
      <c r="AB25" s="35">
        <f t="shared" si="91"/>
        <v>0</v>
      </c>
      <c r="AC25" s="35">
        <f t="shared" si="10"/>
        <v>0</v>
      </c>
      <c r="AD25" s="35">
        <f t="shared" si="11"/>
        <v>0</v>
      </c>
      <c r="AE25" s="35">
        <f t="shared" si="12"/>
        <v>0</v>
      </c>
      <c r="AG25" s="35">
        <f t="shared" si="92"/>
        <v>0</v>
      </c>
      <c r="AH25" s="35">
        <f t="shared" si="13"/>
        <v>0</v>
      </c>
      <c r="AI25" s="5">
        <f t="shared" si="14"/>
        <v>0</v>
      </c>
      <c r="AJ25" s="35">
        <f t="shared" si="15"/>
        <v>0</v>
      </c>
      <c r="AL25" s="35">
        <f t="shared" si="93"/>
        <v>0</v>
      </c>
      <c r="AM25" s="35">
        <f t="shared" si="16"/>
        <v>0</v>
      </c>
      <c r="AN25" s="5">
        <f t="shared" si="17"/>
        <v>0</v>
      </c>
      <c r="AO25" s="35">
        <f t="shared" si="18"/>
        <v>0</v>
      </c>
      <c r="AQ25" s="35">
        <f t="shared" si="94"/>
        <v>0</v>
      </c>
      <c r="AR25" s="35">
        <f t="shared" si="19"/>
        <v>0</v>
      </c>
      <c r="AS25" s="5">
        <f t="shared" si="20"/>
        <v>0</v>
      </c>
      <c r="AT25" s="35">
        <f t="shared" si="21"/>
        <v>0</v>
      </c>
      <c r="AV25" s="35">
        <f t="shared" si="95"/>
        <v>0</v>
      </c>
      <c r="AW25" s="35">
        <f t="shared" si="22"/>
        <v>0</v>
      </c>
      <c r="AX25" s="5">
        <f t="shared" si="23"/>
        <v>0</v>
      </c>
      <c r="AY25" s="35">
        <f t="shared" si="24"/>
        <v>0</v>
      </c>
      <c r="AZ25" s="5"/>
      <c r="BA25" s="35">
        <f t="shared" si="96"/>
        <v>0</v>
      </c>
      <c r="BB25" s="35">
        <f t="shared" si="25"/>
        <v>0</v>
      </c>
      <c r="BC25" s="5">
        <f t="shared" si="26"/>
        <v>0</v>
      </c>
      <c r="BD25" s="35">
        <f t="shared" si="27"/>
        <v>0</v>
      </c>
      <c r="BE25" s="5"/>
      <c r="BF25" s="35">
        <f t="shared" si="97"/>
        <v>0</v>
      </c>
      <c r="BG25" s="35">
        <f t="shared" si="28"/>
        <v>0</v>
      </c>
      <c r="BH25" s="5">
        <f t="shared" si="29"/>
        <v>0</v>
      </c>
      <c r="BI25" s="35">
        <f t="shared" si="30"/>
        <v>0</v>
      </c>
      <c r="BJ25" s="5"/>
      <c r="BK25" s="35">
        <f t="shared" si="98"/>
        <v>0</v>
      </c>
      <c r="BL25" s="35">
        <f t="shared" si="31"/>
        <v>0</v>
      </c>
      <c r="BM25" s="5">
        <f t="shared" si="32"/>
        <v>0</v>
      </c>
      <c r="BN25" s="35">
        <f t="shared" si="33"/>
        <v>0</v>
      </c>
      <c r="BO25" s="5"/>
      <c r="BP25" s="35">
        <f t="shared" si="99"/>
        <v>0</v>
      </c>
      <c r="BQ25" s="35">
        <f t="shared" si="34"/>
        <v>0</v>
      </c>
      <c r="BR25" s="5">
        <f t="shared" si="35"/>
        <v>0</v>
      </c>
      <c r="BS25" s="35">
        <f t="shared" si="36"/>
        <v>0</v>
      </c>
      <c r="BT25" s="5"/>
      <c r="BU25" s="35">
        <f t="shared" si="100"/>
        <v>0</v>
      </c>
      <c r="BV25" s="35">
        <f t="shared" si="37"/>
        <v>0</v>
      </c>
      <c r="BW25" s="5">
        <f t="shared" si="38"/>
        <v>0</v>
      </c>
      <c r="BX25" s="35">
        <f t="shared" si="39"/>
        <v>0</v>
      </c>
      <c r="BY25" s="5"/>
      <c r="BZ25" s="35">
        <f t="shared" si="101"/>
        <v>0</v>
      </c>
      <c r="CA25" s="35">
        <f t="shared" si="40"/>
        <v>0</v>
      </c>
      <c r="CB25" s="5">
        <f t="shared" si="41"/>
        <v>0</v>
      </c>
      <c r="CC25" s="35">
        <f t="shared" si="42"/>
        <v>0</v>
      </c>
      <c r="CD25" s="5"/>
      <c r="CE25" s="35">
        <f t="shared" si="102"/>
        <v>0</v>
      </c>
      <c r="CF25" s="35">
        <f t="shared" si="43"/>
        <v>0</v>
      </c>
      <c r="CG25" s="5">
        <f t="shared" si="44"/>
        <v>0</v>
      </c>
      <c r="CH25" s="35">
        <f t="shared" si="45"/>
        <v>0</v>
      </c>
      <c r="CI25" s="5"/>
      <c r="CJ25" s="35">
        <f>$C25*CK$6</f>
        <v>0</v>
      </c>
      <c r="CK25" s="35">
        <f t="shared" si="46"/>
        <v>0</v>
      </c>
      <c r="CL25" s="5">
        <f t="shared" si="47"/>
        <v>0</v>
      </c>
      <c r="CM25" s="35">
        <f t="shared" si="48"/>
        <v>0</v>
      </c>
      <c r="CN25" s="5"/>
      <c r="CO25" s="35">
        <f t="shared" si="103"/>
        <v>0</v>
      </c>
      <c r="CP25" s="35">
        <f t="shared" si="49"/>
        <v>0</v>
      </c>
      <c r="CQ25" s="35">
        <f t="shared" si="50"/>
        <v>0</v>
      </c>
      <c r="CR25" s="35">
        <f t="shared" si="51"/>
        <v>0</v>
      </c>
      <c r="CS25" s="5"/>
      <c r="CT25" s="35">
        <f t="shared" si="104"/>
        <v>0</v>
      </c>
      <c r="CU25" s="35">
        <f t="shared" si="52"/>
        <v>0</v>
      </c>
      <c r="CV25" s="35">
        <f t="shared" si="53"/>
        <v>0</v>
      </c>
      <c r="CW25" s="35">
        <f t="shared" si="54"/>
        <v>0</v>
      </c>
      <c r="CX25" s="5"/>
      <c r="CY25" s="35">
        <f t="shared" si="105"/>
        <v>0</v>
      </c>
      <c r="CZ25" s="35">
        <f t="shared" si="55"/>
        <v>0</v>
      </c>
      <c r="DA25" s="5">
        <f t="shared" si="56"/>
        <v>0</v>
      </c>
      <c r="DB25" s="35">
        <f t="shared" si="57"/>
        <v>0</v>
      </c>
      <c r="DC25" s="5"/>
      <c r="DD25" s="35">
        <f t="shared" si="106"/>
        <v>0</v>
      </c>
      <c r="DE25" s="35">
        <f t="shared" si="58"/>
        <v>0</v>
      </c>
      <c r="DF25" s="35">
        <f t="shared" si="59"/>
        <v>0</v>
      </c>
      <c r="DG25" s="35">
        <f t="shared" si="60"/>
        <v>0</v>
      </c>
      <c r="DH25" s="5"/>
      <c r="DI25" s="35">
        <f t="shared" si="107"/>
        <v>0</v>
      </c>
      <c r="DJ25" s="35">
        <f t="shared" si="61"/>
        <v>0</v>
      </c>
      <c r="DK25" s="5">
        <f t="shared" si="62"/>
        <v>0</v>
      </c>
      <c r="DL25" s="35">
        <f t="shared" si="63"/>
        <v>0</v>
      </c>
      <c r="DM25" s="5"/>
      <c r="DN25" s="35">
        <f t="shared" si="108"/>
        <v>0</v>
      </c>
      <c r="DO25" s="35">
        <f t="shared" si="64"/>
        <v>0</v>
      </c>
      <c r="DP25" s="5">
        <f t="shared" si="65"/>
        <v>0</v>
      </c>
      <c r="DQ25" s="35">
        <f t="shared" si="66"/>
        <v>0</v>
      </c>
      <c r="DR25" s="5"/>
      <c r="DS25" s="35">
        <f t="shared" si="109"/>
        <v>0</v>
      </c>
      <c r="DT25" s="35">
        <f t="shared" si="67"/>
        <v>0</v>
      </c>
      <c r="DU25" s="5">
        <f t="shared" si="68"/>
        <v>0</v>
      </c>
      <c r="DV25" s="35">
        <f t="shared" si="69"/>
        <v>0</v>
      </c>
      <c r="DW25" s="5"/>
      <c r="DX25" s="35">
        <f t="shared" si="110"/>
        <v>0</v>
      </c>
      <c r="DY25" s="35">
        <f t="shared" si="70"/>
        <v>0</v>
      </c>
      <c r="DZ25" s="5">
        <f t="shared" si="71"/>
        <v>0</v>
      </c>
      <c r="EA25" s="35">
        <f t="shared" si="72"/>
        <v>0</v>
      </c>
      <c r="EB25" s="5"/>
      <c r="EC25" s="35">
        <f t="shared" si="111"/>
        <v>0</v>
      </c>
      <c r="ED25" s="35">
        <f t="shared" si="73"/>
        <v>0</v>
      </c>
      <c r="EE25" s="5">
        <f t="shared" si="74"/>
        <v>0</v>
      </c>
      <c r="EF25" s="35">
        <f t="shared" si="75"/>
        <v>0</v>
      </c>
      <c r="EG25" s="5"/>
      <c r="EH25" s="35">
        <f t="shared" si="112"/>
        <v>0</v>
      </c>
      <c r="EI25" s="35">
        <f t="shared" si="76"/>
        <v>0</v>
      </c>
      <c r="EJ25" s="5">
        <f t="shared" si="77"/>
        <v>0</v>
      </c>
      <c r="EK25" s="35">
        <f t="shared" si="78"/>
        <v>0</v>
      </c>
      <c r="EL25" s="5"/>
      <c r="EM25" s="35">
        <f t="shared" si="113"/>
        <v>0</v>
      </c>
      <c r="EN25" s="35">
        <f t="shared" si="79"/>
        <v>0</v>
      </c>
      <c r="EO25" s="35">
        <f t="shared" si="80"/>
        <v>0</v>
      </c>
      <c r="EP25" s="35">
        <f t="shared" si="81"/>
        <v>0</v>
      </c>
      <c r="EQ25" s="5"/>
      <c r="ER25" s="35">
        <f t="shared" si="114"/>
        <v>0</v>
      </c>
      <c r="ES25" s="35">
        <f t="shared" si="82"/>
        <v>0</v>
      </c>
      <c r="ET25" s="35">
        <f t="shared" si="83"/>
        <v>0</v>
      </c>
      <c r="EU25" s="35">
        <f t="shared" si="84"/>
        <v>0</v>
      </c>
      <c r="EV25" s="5"/>
      <c r="EW25" s="35">
        <f t="shared" si="115"/>
        <v>0</v>
      </c>
      <c r="EX25" s="35">
        <f t="shared" si="85"/>
        <v>0</v>
      </c>
      <c r="EY25" s="5">
        <f t="shared" si="86"/>
        <v>0</v>
      </c>
      <c r="EZ25" s="35">
        <f t="shared" si="87"/>
        <v>0</v>
      </c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ht="12.75">
      <c r="A26" s="36">
        <v>47027</v>
      </c>
      <c r="C26" s="77"/>
      <c r="D26" s="77"/>
      <c r="E26" s="34">
        <f t="shared" si="0"/>
        <v>0</v>
      </c>
      <c r="F26" s="34"/>
      <c r="H26" s="35">
        <f>'Academic Project '!H26</f>
        <v>0</v>
      </c>
      <c r="I26" s="35">
        <f>'Academic Project '!I26</f>
        <v>0</v>
      </c>
      <c r="J26" s="35">
        <f t="shared" si="88"/>
        <v>0</v>
      </c>
      <c r="K26" s="35">
        <f>'Academic Project '!K26</f>
        <v>0</v>
      </c>
      <c r="M26" s="35"/>
      <c r="N26" s="34">
        <f t="shared" si="1"/>
        <v>0</v>
      </c>
      <c r="O26" s="5">
        <f t="shared" si="2"/>
        <v>0</v>
      </c>
      <c r="P26" s="34">
        <f t="shared" si="3"/>
        <v>0</v>
      </c>
      <c r="R26" s="35"/>
      <c r="S26" s="35">
        <f t="shared" si="4"/>
        <v>0</v>
      </c>
      <c r="T26" s="5">
        <f t="shared" si="5"/>
        <v>0</v>
      </c>
      <c r="U26" s="35">
        <f t="shared" si="6"/>
        <v>0</v>
      </c>
      <c r="W26" s="35"/>
      <c r="X26" s="35">
        <f t="shared" si="7"/>
        <v>0</v>
      </c>
      <c r="Y26" s="5">
        <f t="shared" si="8"/>
        <v>0</v>
      </c>
      <c r="Z26" s="35">
        <f t="shared" si="9"/>
        <v>0</v>
      </c>
      <c r="AB26" s="35"/>
      <c r="AC26" s="35">
        <f t="shared" si="10"/>
        <v>0</v>
      </c>
      <c r="AD26" s="35">
        <f t="shared" si="11"/>
        <v>0</v>
      </c>
      <c r="AE26" s="35">
        <f t="shared" si="12"/>
        <v>0</v>
      </c>
      <c r="AG26" s="35"/>
      <c r="AH26" s="35">
        <f t="shared" si="13"/>
        <v>0</v>
      </c>
      <c r="AI26" s="5">
        <f t="shared" si="14"/>
        <v>0</v>
      </c>
      <c r="AJ26" s="35">
        <f t="shared" si="15"/>
        <v>0</v>
      </c>
      <c r="AL26" s="35"/>
      <c r="AM26" s="35">
        <f t="shared" si="16"/>
        <v>0</v>
      </c>
      <c r="AN26" s="5">
        <f t="shared" si="17"/>
        <v>0</v>
      </c>
      <c r="AO26" s="35">
        <f t="shared" si="18"/>
        <v>0</v>
      </c>
      <c r="AQ26" s="35"/>
      <c r="AR26" s="35">
        <f t="shared" si="19"/>
        <v>0</v>
      </c>
      <c r="AS26" s="5">
        <f t="shared" si="20"/>
        <v>0</v>
      </c>
      <c r="AT26" s="35">
        <f t="shared" si="21"/>
        <v>0</v>
      </c>
      <c r="AV26" s="35"/>
      <c r="AW26" s="35">
        <f t="shared" si="22"/>
        <v>0</v>
      </c>
      <c r="AX26" s="5">
        <f t="shared" si="23"/>
        <v>0</v>
      </c>
      <c r="AY26" s="35">
        <f t="shared" si="24"/>
        <v>0</v>
      </c>
      <c r="AZ26" s="5"/>
      <c r="BA26" s="35"/>
      <c r="BB26" s="35">
        <f t="shared" si="25"/>
        <v>0</v>
      </c>
      <c r="BC26" s="5">
        <f t="shared" si="26"/>
        <v>0</v>
      </c>
      <c r="BD26" s="35">
        <f t="shared" si="27"/>
        <v>0</v>
      </c>
      <c r="BE26" s="5"/>
      <c r="BF26" s="35"/>
      <c r="BG26" s="35">
        <f t="shared" si="28"/>
        <v>0</v>
      </c>
      <c r="BH26" s="5">
        <f t="shared" si="29"/>
        <v>0</v>
      </c>
      <c r="BI26" s="35">
        <f t="shared" si="30"/>
        <v>0</v>
      </c>
      <c r="BJ26" s="5"/>
      <c r="BK26" s="35"/>
      <c r="BL26" s="35">
        <f t="shared" si="31"/>
        <v>0</v>
      </c>
      <c r="BM26" s="5">
        <f t="shared" si="32"/>
        <v>0</v>
      </c>
      <c r="BN26" s="35">
        <f t="shared" si="33"/>
        <v>0</v>
      </c>
      <c r="BO26" s="5"/>
      <c r="BP26" s="35"/>
      <c r="BQ26" s="35">
        <f t="shared" si="34"/>
        <v>0</v>
      </c>
      <c r="BR26" s="5">
        <f t="shared" si="35"/>
        <v>0</v>
      </c>
      <c r="BS26" s="35">
        <f t="shared" si="36"/>
        <v>0</v>
      </c>
      <c r="BT26" s="5"/>
      <c r="BU26" s="35"/>
      <c r="BV26" s="35">
        <f t="shared" si="37"/>
        <v>0</v>
      </c>
      <c r="BW26" s="5">
        <f t="shared" si="38"/>
        <v>0</v>
      </c>
      <c r="BX26" s="35">
        <f t="shared" si="39"/>
        <v>0</v>
      </c>
      <c r="BY26" s="5"/>
      <c r="BZ26" s="35"/>
      <c r="CA26" s="35">
        <f t="shared" si="40"/>
        <v>0</v>
      </c>
      <c r="CB26" s="5">
        <f t="shared" si="41"/>
        <v>0</v>
      </c>
      <c r="CC26" s="35">
        <f t="shared" si="42"/>
        <v>0</v>
      </c>
      <c r="CD26" s="5"/>
      <c r="CE26" s="35"/>
      <c r="CF26" s="35">
        <f t="shared" si="43"/>
        <v>0</v>
      </c>
      <c r="CG26" s="5">
        <f t="shared" si="44"/>
        <v>0</v>
      </c>
      <c r="CH26" s="35">
        <f t="shared" si="45"/>
        <v>0</v>
      </c>
      <c r="CI26" s="5"/>
      <c r="CJ26" s="35"/>
      <c r="CK26" s="35">
        <f t="shared" si="46"/>
        <v>0</v>
      </c>
      <c r="CL26" s="5">
        <f t="shared" si="47"/>
        <v>0</v>
      </c>
      <c r="CM26" s="35">
        <f t="shared" si="48"/>
        <v>0</v>
      </c>
      <c r="CN26" s="5"/>
      <c r="CO26" s="35"/>
      <c r="CP26" s="35">
        <f t="shared" si="49"/>
        <v>0</v>
      </c>
      <c r="CQ26" s="35">
        <f t="shared" si="50"/>
        <v>0</v>
      </c>
      <c r="CR26" s="35">
        <f t="shared" si="51"/>
        <v>0</v>
      </c>
      <c r="CS26" s="5"/>
      <c r="CT26" s="35"/>
      <c r="CU26" s="35">
        <f t="shared" si="52"/>
        <v>0</v>
      </c>
      <c r="CV26" s="35">
        <f t="shared" si="53"/>
        <v>0</v>
      </c>
      <c r="CW26" s="35">
        <f t="shared" si="54"/>
        <v>0</v>
      </c>
      <c r="CX26" s="5"/>
      <c r="CY26" s="35"/>
      <c r="CZ26" s="35">
        <f t="shared" si="55"/>
        <v>0</v>
      </c>
      <c r="DA26" s="5">
        <f t="shared" si="56"/>
        <v>0</v>
      </c>
      <c r="DB26" s="35">
        <f t="shared" si="57"/>
        <v>0</v>
      </c>
      <c r="DC26" s="5"/>
      <c r="DD26" s="35"/>
      <c r="DE26" s="35">
        <f t="shared" si="58"/>
        <v>0</v>
      </c>
      <c r="DF26" s="35">
        <f t="shared" si="59"/>
        <v>0</v>
      </c>
      <c r="DG26" s="35">
        <f t="shared" si="60"/>
        <v>0</v>
      </c>
      <c r="DH26" s="5"/>
      <c r="DI26" s="35"/>
      <c r="DJ26" s="35">
        <f t="shared" si="61"/>
        <v>0</v>
      </c>
      <c r="DK26" s="5">
        <f t="shared" si="62"/>
        <v>0</v>
      </c>
      <c r="DL26" s="35">
        <f t="shared" si="63"/>
        <v>0</v>
      </c>
      <c r="DM26" s="5"/>
      <c r="DN26" s="35"/>
      <c r="DO26" s="35">
        <f t="shared" si="64"/>
        <v>0</v>
      </c>
      <c r="DP26" s="5">
        <f t="shared" si="65"/>
        <v>0</v>
      </c>
      <c r="DQ26" s="35">
        <f t="shared" si="66"/>
        <v>0</v>
      </c>
      <c r="DR26" s="5"/>
      <c r="DS26" s="35"/>
      <c r="DT26" s="35">
        <f t="shared" si="67"/>
        <v>0</v>
      </c>
      <c r="DU26" s="5">
        <f t="shared" si="68"/>
        <v>0</v>
      </c>
      <c r="DV26" s="35">
        <f t="shared" si="69"/>
        <v>0</v>
      </c>
      <c r="DW26" s="5"/>
      <c r="DX26" s="35"/>
      <c r="DY26" s="35">
        <f t="shared" si="70"/>
        <v>0</v>
      </c>
      <c r="DZ26" s="5">
        <f t="shared" si="71"/>
        <v>0</v>
      </c>
      <c r="EA26" s="35">
        <f t="shared" si="72"/>
        <v>0</v>
      </c>
      <c r="EB26" s="5"/>
      <c r="EC26" s="35"/>
      <c r="ED26" s="35">
        <f t="shared" si="73"/>
        <v>0</v>
      </c>
      <c r="EE26" s="5">
        <f t="shared" si="74"/>
        <v>0</v>
      </c>
      <c r="EF26" s="35">
        <f t="shared" si="75"/>
        <v>0</v>
      </c>
      <c r="EG26" s="5"/>
      <c r="EH26" s="35"/>
      <c r="EI26" s="35">
        <f t="shared" si="76"/>
        <v>0</v>
      </c>
      <c r="EJ26" s="5">
        <f t="shared" si="77"/>
        <v>0</v>
      </c>
      <c r="EK26" s="35">
        <f t="shared" si="78"/>
        <v>0</v>
      </c>
      <c r="EL26" s="5"/>
      <c r="EM26" s="35"/>
      <c r="EN26" s="35">
        <f t="shared" si="79"/>
        <v>0</v>
      </c>
      <c r="EO26" s="35">
        <f t="shared" si="80"/>
        <v>0</v>
      </c>
      <c r="EP26" s="35">
        <f t="shared" si="81"/>
        <v>0</v>
      </c>
      <c r="EQ26" s="5"/>
      <c r="ER26" s="35"/>
      <c r="ES26" s="35">
        <f t="shared" si="82"/>
        <v>0</v>
      </c>
      <c r="ET26" s="35">
        <f t="shared" si="83"/>
        <v>0</v>
      </c>
      <c r="EU26" s="35">
        <f t="shared" si="84"/>
        <v>0</v>
      </c>
      <c r="EV26" s="5"/>
      <c r="EW26" s="35"/>
      <c r="EX26" s="35">
        <f t="shared" si="85"/>
        <v>0</v>
      </c>
      <c r="EY26" s="5">
        <f t="shared" si="86"/>
        <v>0</v>
      </c>
      <c r="EZ26" s="35">
        <f t="shared" si="87"/>
        <v>0</v>
      </c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ht="12.75">
      <c r="A27" s="36">
        <v>47209</v>
      </c>
      <c r="C27" s="77"/>
      <c r="D27" s="77"/>
      <c r="E27" s="34">
        <f t="shared" si="0"/>
        <v>0</v>
      </c>
      <c r="F27" s="34"/>
      <c r="H27" s="35">
        <f>'Academic Project '!H27</f>
        <v>0</v>
      </c>
      <c r="I27" s="35">
        <f>'Academic Project '!I27</f>
        <v>0</v>
      </c>
      <c r="J27" s="35">
        <f t="shared" si="88"/>
        <v>0</v>
      </c>
      <c r="K27" s="35">
        <f>'Academic Project '!K27</f>
        <v>0</v>
      </c>
      <c r="M27" s="35">
        <f>R27+W27+AB27+AG27+AL27+AQ27+AV27+BA27+BF27+BK27+BP27+BU27+BZ27+CE27+CO27+CT27+CY27+DD27+DI27+DN27+DS27+DX27+EC27+EH27+CJ27+EM27+ER27+EW27+FB27</f>
        <v>0</v>
      </c>
      <c r="N27" s="34">
        <f t="shared" si="1"/>
        <v>0</v>
      </c>
      <c r="O27" s="5">
        <f t="shared" si="2"/>
        <v>0</v>
      </c>
      <c r="P27" s="34">
        <f t="shared" si="3"/>
        <v>0</v>
      </c>
      <c r="R27" s="35">
        <f t="shared" si="89"/>
        <v>0</v>
      </c>
      <c r="S27" s="35">
        <f t="shared" si="4"/>
        <v>0</v>
      </c>
      <c r="T27" s="5">
        <f t="shared" si="5"/>
        <v>0</v>
      </c>
      <c r="U27" s="35">
        <f t="shared" si="6"/>
        <v>0</v>
      </c>
      <c r="W27" s="35">
        <f t="shared" si="90"/>
        <v>0</v>
      </c>
      <c r="X27" s="35">
        <f t="shared" si="7"/>
        <v>0</v>
      </c>
      <c r="Y27" s="5">
        <f t="shared" si="8"/>
        <v>0</v>
      </c>
      <c r="Z27" s="35">
        <f t="shared" si="9"/>
        <v>0</v>
      </c>
      <c r="AB27" s="35">
        <f t="shared" si="91"/>
        <v>0</v>
      </c>
      <c r="AC27" s="35">
        <f t="shared" si="10"/>
        <v>0</v>
      </c>
      <c r="AD27" s="35">
        <f t="shared" si="11"/>
        <v>0</v>
      </c>
      <c r="AE27" s="35">
        <f t="shared" si="12"/>
        <v>0</v>
      </c>
      <c r="AG27" s="35">
        <f t="shared" si="92"/>
        <v>0</v>
      </c>
      <c r="AH27" s="35">
        <f t="shared" si="13"/>
        <v>0</v>
      </c>
      <c r="AI27" s="5">
        <f t="shared" si="14"/>
        <v>0</v>
      </c>
      <c r="AJ27" s="35">
        <f t="shared" si="15"/>
        <v>0</v>
      </c>
      <c r="AL27" s="35">
        <f t="shared" si="93"/>
        <v>0</v>
      </c>
      <c r="AM27" s="35">
        <f t="shared" si="16"/>
        <v>0</v>
      </c>
      <c r="AN27" s="5">
        <f t="shared" si="17"/>
        <v>0</v>
      </c>
      <c r="AO27" s="35">
        <f t="shared" si="18"/>
        <v>0</v>
      </c>
      <c r="AQ27" s="35">
        <f t="shared" si="94"/>
        <v>0</v>
      </c>
      <c r="AR27" s="35">
        <f t="shared" si="19"/>
        <v>0</v>
      </c>
      <c r="AS27" s="5">
        <f t="shared" si="20"/>
        <v>0</v>
      </c>
      <c r="AT27" s="35">
        <f t="shared" si="21"/>
        <v>0</v>
      </c>
      <c r="AV27" s="35">
        <f t="shared" si="95"/>
        <v>0</v>
      </c>
      <c r="AW27" s="35">
        <f t="shared" si="22"/>
        <v>0</v>
      </c>
      <c r="AX27" s="5">
        <f t="shared" si="23"/>
        <v>0</v>
      </c>
      <c r="AY27" s="35">
        <f t="shared" si="24"/>
        <v>0</v>
      </c>
      <c r="AZ27" s="5"/>
      <c r="BA27" s="35">
        <f t="shared" si="96"/>
        <v>0</v>
      </c>
      <c r="BB27" s="35">
        <f t="shared" si="25"/>
        <v>0</v>
      </c>
      <c r="BC27" s="5">
        <f t="shared" si="26"/>
        <v>0</v>
      </c>
      <c r="BD27" s="35">
        <f t="shared" si="27"/>
        <v>0</v>
      </c>
      <c r="BE27" s="5"/>
      <c r="BF27" s="35">
        <f t="shared" si="97"/>
        <v>0</v>
      </c>
      <c r="BG27" s="35">
        <f t="shared" si="28"/>
        <v>0</v>
      </c>
      <c r="BH27" s="5">
        <f t="shared" si="29"/>
        <v>0</v>
      </c>
      <c r="BI27" s="35">
        <f t="shared" si="30"/>
        <v>0</v>
      </c>
      <c r="BJ27" s="5"/>
      <c r="BK27" s="35">
        <f t="shared" si="98"/>
        <v>0</v>
      </c>
      <c r="BL27" s="35">
        <f t="shared" si="31"/>
        <v>0</v>
      </c>
      <c r="BM27" s="5">
        <f t="shared" si="32"/>
        <v>0</v>
      </c>
      <c r="BN27" s="35">
        <f t="shared" si="33"/>
        <v>0</v>
      </c>
      <c r="BO27" s="5"/>
      <c r="BP27" s="35">
        <f t="shared" si="99"/>
        <v>0</v>
      </c>
      <c r="BQ27" s="35">
        <f t="shared" si="34"/>
        <v>0</v>
      </c>
      <c r="BR27" s="5">
        <f t="shared" si="35"/>
        <v>0</v>
      </c>
      <c r="BS27" s="35">
        <f t="shared" si="36"/>
        <v>0</v>
      </c>
      <c r="BT27" s="5"/>
      <c r="BU27" s="35">
        <f t="shared" si="100"/>
        <v>0</v>
      </c>
      <c r="BV27" s="35">
        <f t="shared" si="37"/>
        <v>0</v>
      </c>
      <c r="BW27" s="5">
        <f t="shared" si="38"/>
        <v>0</v>
      </c>
      <c r="BX27" s="35">
        <f t="shared" si="39"/>
        <v>0</v>
      </c>
      <c r="BY27" s="5"/>
      <c r="BZ27" s="35">
        <f t="shared" si="101"/>
        <v>0</v>
      </c>
      <c r="CA27" s="35">
        <f t="shared" si="40"/>
        <v>0</v>
      </c>
      <c r="CB27" s="5">
        <f t="shared" si="41"/>
        <v>0</v>
      </c>
      <c r="CC27" s="35">
        <f t="shared" si="42"/>
        <v>0</v>
      </c>
      <c r="CD27" s="5"/>
      <c r="CE27" s="35">
        <f t="shared" si="102"/>
        <v>0</v>
      </c>
      <c r="CF27" s="35">
        <f t="shared" si="43"/>
        <v>0</v>
      </c>
      <c r="CG27" s="5">
        <f t="shared" si="44"/>
        <v>0</v>
      </c>
      <c r="CH27" s="35">
        <f t="shared" si="45"/>
        <v>0</v>
      </c>
      <c r="CI27" s="5"/>
      <c r="CJ27" s="35">
        <f>$C27*CK$6</f>
        <v>0</v>
      </c>
      <c r="CK27" s="35">
        <f t="shared" si="46"/>
        <v>0</v>
      </c>
      <c r="CL27" s="5">
        <f t="shared" si="47"/>
        <v>0</v>
      </c>
      <c r="CM27" s="35">
        <f t="shared" si="48"/>
        <v>0</v>
      </c>
      <c r="CN27" s="5"/>
      <c r="CO27" s="35">
        <f t="shared" si="103"/>
        <v>0</v>
      </c>
      <c r="CP27" s="35">
        <f t="shared" si="49"/>
        <v>0</v>
      </c>
      <c r="CQ27" s="35">
        <f t="shared" si="50"/>
        <v>0</v>
      </c>
      <c r="CR27" s="35">
        <f t="shared" si="51"/>
        <v>0</v>
      </c>
      <c r="CS27" s="5"/>
      <c r="CT27" s="35">
        <f t="shared" si="104"/>
        <v>0</v>
      </c>
      <c r="CU27" s="35">
        <f t="shared" si="52"/>
        <v>0</v>
      </c>
      <c r="CV27" s="35">
        <f t="shared" si="53"/>
        <v>0</v>
      </c>
      <c r="CW27" s="35">
        <f t="shared" si="54"/>
        <v>0</v>
      </c>
      <c r="CX27" s="5"/>
      <c r="CY27" s="35">
        <f t="shared" si="105"/>
        <v>0</v>
      </c>
      <c r="CZ27" s="35">
        <f t="shared" si="55"/>
        <v>0</v>
      </c>
      <c r="DA27" s="5">
        <f t="shared" si="56"/>
        <v>0</v>
      </c>
      <c r="DB27" s="35">
        <f t="shared" si="57"/>
        <v>0</v>
      </c>
      <c r="DC27" s="5"/>
      <c r="DD27" s="35">
        <f t="shared" si="106"/>
        <v>0</v>
      </c>
      <c r="DE27" s="35">
        <f t="shared" si="58"/>
        <v>0</v>
      </c>
      <c r="DF27" s="35">
        <f t="shared" si="59"/>
        <v>0</v>
      </c>
      <c r="DG27" s="35">
        <f t="shared" si="60"/>
        <v>0</v>
      </c>
      <c r="DH27" s="5"/>
      <c r="DI27" s="35">
        <f t="shared" si="107"/>
        <v>0</v>
      </c>
      <c r="DJ27" s="35">
        <f t="shared" si="61"/>
        <v>0</v>
      </c>
      <c r="DK27" s="5">
        <f t="shared" si="62"/>
        <v>0</v>
      </c>
      <c r="DL27" s="35">
        <f t="shared" si="63"/>
        <v>0</v>
      </c>
      <c r="DM27" s="5"/>
      <c r="DN27" s="35">
        <f t="shared" si="108"/>
        <v>0</v>
      </c>
      <c r="DO27" s="35">
        <f t="shared" si="64"/>
        <v>0</v>
      </c>
      <c r="DP27" s="5">
        <f t="shared" si="65"/>
        <v>0</v>
      </c>
      <c r="DQ27" s="35">
        <f t="shared" si="66"/>
        <v>0</v>
      </c>
      <c r="DR27" s="5"/>
      <c r="DS27" s="35">
        <f t="shared" si="109"/>
        <v>0</v>
      </c>
      <c r="DT27" s="35">
        <f t="shared" si="67"/>
        <v>0</v>
      </c>
      <c r="DU27" s="5">
        <f t="shared" si="68"/>
        <v>0</v>
      </c>
      <c r="DV27" s="35">
        <f t="shared" si="69"/>
        <v>0</v>
      </c>
      <c r="DW27" s="5"/>
      <c r="DX27" s="35">
        <f t="shared" si="110"/>
        <v>0</v>
      </c>
      <c r="DY27" s="35">
        <f t="shared" si="70"/>
        <v>0</v>
      </c>
      <c r="DZ27" s="5">
        <f t="shared" si="71"/>
        <v>0</v>
      </c>
      <c r="EA27" s="35">
        <f t="shared" si="72"/>
        <v>0</v>
      </c>
      <c r="EB27" s="5"/>
      <c r="EC27" s="35">
        <f t="shared" si="111"/>
        <v>0</v>
      </c>
      <c r="ED27" s="35">
        <f t="shared" si="73"/>
        <v>0</v>
      </c>
      <c r="EE27" s="5">
        <f t="shared" si="74"/>
        <v>0</v>
      </c>
      <c r="EF27" s="35">
        <f t="shared" si="75"/>
        <v>0</v>
      </c>
      <c r="EG27" s="5"/>
      <c r="EH27" s="35">
        <f t="shared" si="112"/>
        <v>0</v>
      </c>
      <c r="EI27" s="35">
        <f t="shared" si="76"/>
        <v>0</v>
      </c>
      <c r="EJ27" s="5">
        <f t="shared" si="77"/>
        <v>0</v>
      </c>
      <c r="EK27" s="35">
        <f t="shared" si="78"/>
        <v>0</v>
      </c>
      <c r="EL27" s="5"/>
      <c r="EM27" s="35">
        <f t="shared" si="113"/>
        <v>0</v>
      </c>
      <c r="EN27" s="35">
        <f t="shared" si="79"/>
        <v>0</v>
      </c>
      <c r="EO27" s="35">
        <f t="shared" si="80"/>
        <v>0</v>
      </c>
      <c r="EP27" s="35">
        <f t="shared" si="81"/>
        <v>0</v>
      </c>
      <c r="EQ27" s="5"/>
      <c r="ER27" s="35">
        <f t="shared" si="114"/>
        <v>0</v>
      </c>
      <c r="ES27" s="35">
        <f t="shared" si="82"/>
        <v>0</v>
      </c>
      <c r="ET27" s="35">
        <f t="shared" si="83"/>
        <v>0</v>
      </c>
      <c r="EU27" s="35">
        <f t="shared" si="84"/>
        <v>0</v>
      </c>
      <c r="EV27" s="5"/>
      <c r="EW27" s="35">
        <f t="shared" si="115"/>
        <v>0</v>
      </c>
      <c r="EX27" s="35">
        <f t="shared" si="85"/>
        <v>0</v>
      </c>
      <c r="EY27" s="5">
        <f t="shared" si="86"/>
        <v>0</v>
      </c>
      <c r="EZ27" s="35">
        <f t="shared" si="87"/>
        <v>0</v>
      </c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ht="12.75">
      <c r="A28" s="36">
        <v>47392</v>
      </c>
      <c r="C28" s="77"/>
      <c r="D28" s="77"/>
      <c r="E28" s="34">
        <f t="shared" si="0"/>
        <v>0</v>
      </c>
      <c r="F28" s="34"/>
      <c r="H28" s="35">
        <f>'Academic Project '!H28</f>
        <v>0</v>
      </c>
      <c r="I28" s="35">
        <f>'Academic Project '!I28</f>
        <v>0</v>
      </c>
      <c r="J28" s="35">
        <f t="shared" si="88"/>
        <v>0</v>
      </c>
      <c r="K28" s="35">
        <f>'Academic Project '!K28</f>
        <v>0</v>
      </c>
      <c r="M28" s="35"/>
      <c r="N28" s="34">
        <f t="shared" si="1"/>
        <v>0</v>
      </c>
      <c r="O28" s="5">
        <f t="shared" si="2"/>
        <v>0</v>
      </c>
      <c r="P28" s="34">
        <f t="shared" si="3"/>
        <v>0</v>
      </c>
      <c r="R28" s="35"/>
      <c r="S28" s="35">
        <f t="shared" si="4"/>
        <v>0</v>
      </c>
      <c r="T28" s="5">
        <f t="shared" si="5"/>
        <v>0</v>
      </c>
      <c r="U28" s="35">
        <f t="shared" si="6"/>
        <v>0</v>
      </c>
      <c r="W28" s="35"/>
      <c r="X28" s="35">
        <f t="shared" si="7"/>
        <v>0</v>
      </c>
      <c r="Y28" s="5">
        <f t="shared" si="8"/>
        <v>0</v>
      </c>
      <c r="Z28" s="35">
        <f t="shared" si="9"/>
        <v>0</v>
      </c>
      <c r="AB28" s="35"/>
      <c r="AC28" s="35">
        <f t="shared" si="10"/>
        <v>0</v>
      </c>
      <c r="AD28" s="35">
        <f t="shared" si="11"/>
        <v>0</v>
      </c>
      <c r="AE28" s="35">
        <f t="shared" si="12"/>
        <v>0</v>
      </c>
      <c r="AG28" s="35"/>
      <c r="AH28" s="35">
        <f t="shared" si="13"/>
        <v>0</v>
      </c>
      <c r="AI28" s="5">
        <f t="shared" si="14"/>
        <v>0</v>
      </c>
      <c r="AJ28" s="35">
        <f t="shared" si="15"/>
        <v>0</v>
      </c>
      <c r="AL28" s="35"/>
      <c r="AM28" s="35">
        <f t="shared" si="16"/>
        <v>0</v>
      </c>
      <c r="AN28" s="5">
        <f t="shared" si="17"/>
        <v>0</v>
      </c>
      <c r="AO28" s="35">
        <f t="shared" si="18"/>
        <v>0</v>
      </c>
      <c r="AQ28" s="35"/>
      <c r="AR28" s="35">
        <f t="shared" si="19"/>
        <v>0</v>
      </c>
      <c r="AS28" s="5">
        <f t="shared" si="20"/>
        <v>0</v>
      </c>
      <c r="AT28" s="35">
        <f t="shared" si="21"/>
        <v>0</v>
      </c>
      <c r="AV28" s="35"/>
      <c r="AW28" s="35">
        <f t="shared" si="22"/>
        <v>0</v>
      </c>
      <c r="AX28" s="5">
        <f t="shared" si="23"/>
        <v>0</v>
      </c>
      <c r="AY28" s="35">
        <f t="shared" si="24"/>
        <v>0</v>
      </c>
      <c r="AZ28" s="5"/>
      <c r="BA28" s="35"/>
      <c r="BB28" s="35">
        <f t="shared" si="25"/>
        <v>0</v>
      </c>
      <c r="BC28" s="5">
        <f t="shared" si="26"/>
        <v>0</v>
      </c>
      <c r="BD28" s="35">
        <f t="shared" si="27"/>
        <v>0</v>
      </c>
      <c r="BE28" s="5"/>
      <c r="BF28" s="35"/>
      <c r="BG28" s="35">
        <f t="shared" si="28"/>
        <v>0</v>
      </c>
      <c r="BH28" s="5">
        <f t="shared" si="29"/>
        <v>0</v>
      </c>
      <c r="BI28" s="35">
        <f t="shared" si="30"/>
        <v>0</v>
      </c>
      <c r="BJ28" s="5"/>
      <c r="BK28" s="35"/>
      <c r="BL28" s="35">
        <f t="shared" si="31"/>
        <v>0</v>
      </c>
      <c r="BM28" s="5">
        <f t="shared" si="32"/>
        <v>0</v>
      </c>
      <c r="BN28" s="35">
        <f t="shared" si="33"/>
        <v>0</v>
      </c>
      <c r="BO28" s="5"/>
      <c r="BP28" s="35"/>
      <c r="BQ28" s="35">
        <f t="shared" si="34"/>
        <v>0</v>
      </c>
      <c r="BR28" s="5">
        <f t="shared" si="35"/>
        <v>0</v>
      </c>
      <c r="BS28" s="35">
        <f t="shared" si="36"/>
        <v>0</v>
      </c>
      <c r="BT28" s="5"/>
      <c r="BU28" s="35"/>
      <c r="BV28" s="35">
        <f t="shared" si="37"/>
        <v>0</v>
      </c>
      <c r="BW28" s="5">
        <f t="shared" si="38"/>
        <v>0</v>
      </c>
      <c r="BX28" s="35">
        <f t="shared" si="39"/>
        <v>0</v>
      </c>
      <c r="BY28" s="5"/>
      <c r="BZ28" s="35"/>
      <c r="CA28" s="35">
        <f t="shared" si="40"/>
        <v>0</v>
      </c>
      <c r="CB28" s="5">
        <f t="shared" si="41"/>
        <v>0</v>
      </c>
      <c r="CC28" s="35">
        <f t="shared" si="42"/>
        <v>0</v>
      </c>
      <c r="CD28" s="5"/>
      <c r="CE28" s="35"/>
      <c r="CF28" s="35">
        <f t="shared" si="43"/>
        <v>0</v>
      </c>
      <c r="CG28" s="5">
        <f t="shared" si="44"/>
        <v>0</v>
      </c>
      <c r="CH28" s="35">
        <f t="shared" si="45"/>
        <v>0</v>
      </c>
      <c r="CI28" s="5"/>
      <c r="CJ28" s="35"/>
      <c r="CK28" s="35">
        <f t="shared" si="46"/>
        <v>0</v>
      </c>
      <c r="CL28" s="5">
        <f t="shared" si="47"/>
        <v>0</v>
      </c>
      <c r="CM28" s="35">
        <f t="shared" si="48"/>
        <v>0</v>
      </c>
      <c r="CN28" s="5"/>
      <c r="CO28" s="35"/>
      <c r="CP28" s="35">
        <f t="shared" si="49"/>
        <v>0</v>
      </c>
      <c r="CQ28" s="35">
        <f t="shared" si="50"/>
        <v>0</v>
      </c>
      <c r="CR28" s="35">
        <f t="shared" si="51"/>
        <v>0</v>
      </c>
      <c r="CS28" s="5"/>
      <c r="CT28" s="35"/>
      <c r="CU28" s="35">
        <f t="shared" si="52"/>
        <v>0</v>
      </c>
      <c r="CV28" s="35">
        <f t="shared" si="53"/>
        <v>0</v>
      </c>
      <c r="CW28" s="35">
        <f t="shared" si="54"/>
        <v>0</v>
      </c>
      <c r="CX28" s="5"/>
      <c r="CY28" s="35"/>
      <c r="CZ28" s="35">
        <f t="shared" si="55"/>
        <v>0</v>
      </c>
      <c r="DA28" s="5">
        <f t="shared" si="56"/>
        <v>0</v>
      </c>
      <c r="DB28" s="35">
        <f t="shared" si="57"/>
        <v>0</v>
      </c>
      <c r="DC28" s="5"/>
      <c r="DD28" s="35"/>
      <c r="DE28" s="35">
        <f t="shared" si="58"/>
        <v>0</v>
      </c>
      <c r="DF28" s="35">
        <f t="shared" si="59"/>
        <v>0</v>
      </c>
      <c r="DG28" s="35">
        <f t="shared" si="60"/>
        <v>0</v>
      </c>
      <c r="DH28" s="5"/>
      <c r="DI28" s="35"/>
      <c r="DJ28" s="35">
        <f t="shared" si="61"/>
        <v>0</v>
      </c>
      <c r="DK28" s="5">
        <f t="shared" si="62"/>
        <v>0</v>
      </c>
      <c r="DL28" s="35">
        <f t="shared" si="63"/>
        <v>0</v>
      </c>
      <c r="DM28" s="5"/>
      <c r="DN28" s="35"/>
      <c r="DO28" s="35">
        <f t="shared" si="64"/>
        <v>0</v>
      </c>
      <c r="DP28" s="5">
        <f t="shared" si="65"/>
        <v>0</v>
      </c>
      <c r="DQ28" s="35">
        <f t="shared" si="66"/>
        <v>0</v>
      </c>
      <c r="DR28" s="5"/>
      <c r="DS28" s="35"/>
      <c r="DT28" s="35">
        <f t="shared" si="67"/>
        <v>0</v>
      </c>
      <c r="DU28" s="5">
        <f t="shared" si="68"/>
        <v>0</v>
      </c>
      <c r="DV28" s="35">
        <f t="shared" si="69"/>
        <v>0</v>
      </c>
      <c r="DW28" s="5"/>
      <c r="DX28" s="35"/>
      <c r="DY28" s="35">
        <f t="shared" si="70"/>
        <v>0</v>
      </c>
      <c r="DZ28" s="5">
        <f t="shared" si="71"/>
        <v>0</v>
      </c>
      <c r="EA28" s="35">
        <f t="shared" si="72"/>
        <v>0</v>
      </c>
      <c r="EB28" s="5"/>
      <c r="EC28" s="35"/>
      <c r="ED28" s="35">
        <f t="shared" si="73"/>
        <v>0</v>
      </c>
      <c r="EE28" s="5">
        <f t="shared" si="74"/>
        <v>0</v>
      </c>
      <c r="EF28" s="35">
        <f t="shared" si="75"/>
        <v>0</v>
      </c>
      <c r="EG28" s="5"/>
      <c r="EH28" s="35"/>
      <c r="EI28" s="35">
        <f t="shared" si="76"/>
        <v>0</v>
      </c>
      <c r="EJ28" s="5">
        <f t="shared" si="77"/>
        <v>0</v>
      </c>
      <c r="EK28" s="35">
        <f t="shared" si="78"/>
        <v>0</v>
      </c>
      <c r="EL28" s="5"/>
      <c r="EM28" s="35"/>
      <c r="EN28" s="35">
        <f t="shared" si="79"/>
        <v>0</v>
      </c>
      <c r="EO28" s="35">
        <f t="shared" si="80"/>
        <v>0</v>
      </c>
      <c r="EP28" s="35">
        <f t="shared" si="81"/>
        <v>0</v>
      </c>
      <c r="EQ28" s="5"/>
      <c r="ER28" s="35"/>
      <c r="ES28" s="35">
        <f t="shared" si="82"/>
        <v>0</v>
      </c>
      <c r="ET28" s="35">
        <f t="shared" si="83"/>
        <v>0</v>
      </c>
      <c r="EU28" s="35">
        <f t="shared" si="84"/>
        <v>0</v>
      </c>
      <c r="EV28" s="5"/>
      <c r="EW28" s="35"/>
      <c r="EX28" s="35">
        <f t="shared" si="85"/>
        <v>0</v>
      </c>
      <c r="EY28" s="5">
        <f t="shared" si="86"/>
        <v>0</v>
      </c>
      <c r="EZ28" s="35">
        <f t="shared" si="87"/>
        <v>0</v>
      </c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ht="12.75">
      <c r="A29" s="36">
        <v>11049</v>
      </c>
      <c r="C29" s="77"/>
      <c r="D29" s="77"/>
      <c r="E29" s="34">
        <f t="shared" si="0"/>
        <v>0</v>
      </c>
      <c r="F29" s="34"/>
      <c r="H29" s="35">
        <f>'Academic Project '!H29</f>
        <v>0</v>
      </c>
      <c r="I29" s="35">
        <f>'Academic Project '!I29</f>
        <v>0</v>
      </c>
      <c r="J29" s="35">
        <f t="shared" si="88"/>
        <v>0</v>
      </c>
      <c r="K29" s="35">
        <f>'Academic Project '!K29</f>
        <v>0</v>
      </c>
      <c r="M29" s="35">
        <f>R29+W29+AB29+AG29+AL29+AQ29+AV29+BA29+BF29+BK29+BP29+BU29+BZ29+CE29+CO29+CT29+CY29+DD29+DI29+DN29+DS29+DX29+EC29+EH29+CJ29+EM29+ER29+EW29+FB29</f>
        <v>0</v>
      </c>
      <c r="N29" s="34">
        <f t="shared" si="1"/>
        <v>0</v>
      </c>
      <c r="O29" s="5">
        <f t="shared" si="2"/>
        <v>0</v>
      </c>
      <c r="P29" s="34">
        <f t="shared" si="3"/>
        <v>0</v>
      </c>
      <c r="R29" s="35">
        <f t="shared" si="89"/>
        <v>0</v>
      </c>
      <c r="S29" s="35">
        <f t="shared" si="4"/>
        <v>0</v>
      </c>
      <c r="T29" s="5">
        <f t="shared" si="5"/>
        <v>0</v>
      </c>
      <c r="U29" s="35">
        <f t="shared" si="6"/>
        <v>0</v>
      </c>
      <c r="W29" s="35">
        <f t="shared" si="90"/>
        <v>0</v>
      </c>
      <c r="X29" s="35">
        <f t="shared" si="7"/>
        <v>0</v>
      </c>
      <c r="Y29" s="5">
        <f t="shared" si="8"/>
        <v>0</v>
      </c>
      <c r="Z29" s="35">
        <f t="shared" si="9"/>
        <v>0</v>
      </c>
      <c r="AB29" s="35">
        <f t="shared" si="91"/>
        <v>0</v>
      </c>
      <c r="AC29" s="35">
        <f t="shared" si="10"/>
        <v>0</v>
      </c>
      <c r="AD29" s="35">
        <f t="shared" si="11"/>
        <v>0</v>
      </c>
      <c r="AE29" s="35">
        <f t="shared" si="12"/>
        <v>0</v>
      </c>
      <c r="AG29" s="35">
        <f t="shared" si="92"/>
        <v>0</v>
      </c>
      <c r="AH29" s="35">
        <f t="shared" si="13"/>
        <v>0</v>
      </c>
      <c r="AI29" s="5">
        <f t="shared" si="14"/>
        <v>0</v>
      </c>
      <c r="AJ29" s="35">
        <f t="shared" si="15"/>
        <v>0</v>
      </c>
      <c r="AL29" s="35">
        <f t="shared" si="93"/>
        <v>0</v>
      </c>
      <c r="AM29" s="35">
        <f t="shared" si="16"/>
        <v>0</v>
      </c>
      <c r="AN29" s="5">
        <f t="shared" si="17"/>
        <v>0</v>
      </c>
      <c r="AO29" s="35">
        <f t="shared" si="18"/>
        <v>0</v>
      </c>
      <c r="AQ29" s="35">
        <f t="shared" si="94"/>
        <v>0</v>
      </c>
      <c r="AR29" s="35">
        <f t="shared" si="19"/>
        <v>0</v>
      </c>
      <c r="AS29" s="5">
        <f t="shared" si="20"/>
        <v>0</v>
      </c>
      <c r="AT29" s="35">
        <f t="shared" si="21"/>
        <v>0</v>
      </c>
      <c r="AV29" s="35">
        <f t="shared" si="95"/>
        <v>0</v>
      </c>
      <c r="AW29" s="35">
        <f t="shared" si="22"/>
        <v>0</v>
      </c>
      <c r="AX29" s="5">
        <f t="shared" si="23"/>
        <v>0</v>
      </c>
      <c r="AY29" s="35">
        <f t="shared" si="24"/>
        <v>0</v>
      </c>
      <c r="AZ29" s="5"/>
      <c r="BA29" s="35">
        <f t="shared" si="96"/>
        <v>0</v>
      </c>
      <c r="BB29" s="35">
        <f t="shared" si="25"/>
        <v>0</v>
      </c>
      <c r="BC29" s="5">
        <f t="shared" si="26"/>
        <v>0</v>
      </c>
      <c r="BD29" s="35">
        <f t="shared" si="27"/>
        <v>0</v>
      </c>
      <c r="BE29" s="5"/>
      <c r="BF29" s="35">
        <f t="shared" si="97"/>
        <v>0</v>
      </c>
      <c r="BG29" s="35">
        <f t="shared" si="28"/>
        <v>0</v>
      </c>
      <c r="BH29" s="5">
        <f t="shared" si="29"/>
        <v>0</v>
      </c>
      <c r="BI29" s="35">
        <f t="shared" si="30"/>
        <v>0</v>
      </c>
      <c r="BJ29" s="5"/>
      <c r="BK29" s="35">
        <f t="shared" si="98"/>
        <v>0</v>
      </c>
      <c r="BL29" s="35">
        <f t="shared" si="31"/>
        <v>0</v>
      </c>
      <c r="BM29" s="5">
        <f t="shared" si="32"/>
        <v>0</v>
      </c>
      <c r="BN29" s="35">
        <f t="shared" si="33"/>
        <v>0</v>
      </c>
      <c r="BO29" s="5"/>
      <c r="BP29" s="35">
        <f t="shared" si="99"/>
        <v>0</v>
      </c>
      <c r="BQ29" s="35">
        <f t="shared" si="34"/>
        <v>0</v>
      </c>
      <c r="BR29" s="5">
        <f t="shared" si="35"/>
        <v>0</v>
      </c>
      <c r="BS29" s="35">
        <f t="shared" si="36"/>
        <v>0</v>
      </c>
      <c r="BT29" s="5"/>
      <c r="BU29" s="35">
        <f t="shared" si="100"/>
        <v>0</v>
      </c>
      <c r="BV29" s="35">
        <f t="shared" si="37"/>
        <v>0</v>
      </c>
      <c r="BW29" s="5">
        <f t="shared" si="38"/>
        <v>0</v>
      </c>
      <c r="BX29" s="35">
        <f t="shared" si="39"/>
        <v>0</v>
      </c>
      <c r="BY29" s="5"/>
      <c r="BZ29" s="35">
        <f t="shared" si="101"/>
        <v>0</v>
      </c>
      <c r="CA29" s="35">
        <f t="shared" si="40"/>
        <v>0</v>
      </c>
      <c r="CB29" s="5">
        <f t="shared" si="41"/>
        <v>0</v>
      </c>
      <c r="CC29" s="35">
        <f t="shared" si="42"/>
        <v>0</v>
      </c>
      <c r="CD29" s="5"/>
      <c r="CE29" s="35">
        <f t="shared" si="102"/>
        <v>0</v>
      </c>
      <c r="CF29" s="35">
        <f t="shared" si="43"/>
        <v>0</v>
      </c>
      <c r="CG29" s="5">
        <f t="shared" si="44"/>
        <v>0</v>
      </c>
      <c r="CH29" s="35">
        <f t="shared" si="45"/>
        <v>0</v>
      </c>
      <c r="CI29" s="5"/>
      <c r="CJ29" s="35">
        <f>$C29*CK$6</f>
        <v>0</v>
      </c>
      <c r="CK29" s="35">
        <f t="shared" si="46"/>
        <v>0</v>
      </c>
      <c r="CL29" s="5">
        <f t="shared" si="47"/>
        <v>0</v>
      </c>
      <c r="CM29" s="35">
        <f t="shared" si="48"/>
        <v>0</v>
      </c>
      <c r="CN29" s="5"/>
      <c r="CO29" s="35">
        <f t="shared" si="103"/>
        <v>0</v>
      </c>
      <c r="CP29" s="35">
        <f t="shared" si="49"/>
        <v>0</v>
      </c>
      <c r="CQ29" s="35">
        <f t="shared" si="50"/>
        <v>0</v>
      </c>
      <c r="CR29" s="35">
        <f t="shared" si="51"/>
        <v>0</v>
      </c>
      <c r="CS29" s="5"/>
      <c r="CT29" s="35">
        <f t="shared" si="104"/>
        <v>0</v>
      </c>
      <c r="CU29" s="35">
        <f t="shared" si="52"/>
        <v>0</v>
      </c>
      <c r="CV29" s="35">
        <f t="shared" si="53"/>
        <v>0</v>
      </c>
      <c r="CW29" s="35">
        <f t="shared" si="54"/>
        <v>0</v>
      </c>
      <c r="CX29" s="5"/>
      <c r="CY29" s="35">
        <f t="shared" si="105"/>
        <v>0</v>
      </c>
      <c r="CZ29" s="35">
        <f t="shared" si="55"/>
        <v>0</v>
      </c>
      <c r="DA29" s="5">
        <f t="shared" si="56"/>
        <v>0</v>
      </c>
      <c r="DB29" s="35">
        <f t="shared" si="57"/>
        <v>0</v>
      </c>
      <c r="DC29" s="5"/>
      <c r="DD29" s="35">
        <f t="shared" si="106"/>
        <v>0</v>
      </c>
      <c r="DE29" s="35">
        <f t="shared" si="58"/>
        <v>0</v>
      </c>
      <c r="DF29" s="35">
        <f t="shared" si="59"/>
        <v>0</v>
      </c>
      <c r="DG29" s="35">
        <f t="shared" si="60"/>
        <v>0</v>
      </c>
      <c r="DH29" s="5"/>
      <c r="DI29" s="35">
        <f t="shared" si="107"/>
        <v>0</v>
      </c>
      <c r="DJ29" s="35">
        <f t="shared" si="61"/>
        <v>0</v>
      </c>
      <c r="DK29" s="5">
        <f t="shared" si="62"/>
        <v>0</v>
      </c>
      <c r="DL29" s="35">
        <f t="shared" si="63"/>
        <v>0</v>
      </c>
      <c r="DM29" s="5"/>
      <c r="DN29" s="35">
        <f t="shared" si="108"/>
        <v>0</v>
      </c>
      <c r="DO29" s="35">
        <f t="shared" si="64"/>
        <v>0</v>
      </c>
      <c r="DP29" s="5">
        <f t="shared" si="65"/>
        <v>0</v>
      </c>
      <c r="DQ29" s="35">
        <f t="shared" si="66"/>
        <v>0</v>
      </c>
      <c r="DR29" s="5"/>
      <c r="DS29" s="35">
        <f t="shared" si="109"/>
        <v>0</v>
      </c>
      <c r="DT29" s="35">
        <f t="shared" si="67"/>
        <v>0</v>
      </c>
      <c r="DU29" s="5">
        <f t="shared" si="68"/>
        <v>0</v>
      </c>
      <c r="DV29" s="35">
        <f t="shared" si="69"/>
        <v>0</v>
      </c>
      <c r="DW29" s="5"/>
      <c r="DX29" s="35">
        <f t="shared" si="110"/>
        <v>0</v>
      </c>
      <c r="DY29" s="35">
        <f t="shared" si="70"/>
        <v>0</v>
      </c>
      <c r="DZ29" s="5">
        <f t="shared" si="71"/>
        <v>0</v>
      </c>
      <c r="EA29" s="35">
        <f t="shared" si="72"/>
        <v>0</v>
      </c>
      <c r="EB29" s="5"/>
      <c r="EC29" s="35">
        <f t="shared" si="111"/>
        <v>0</v>
      </c>
      <c r="ED29" s="35">
        <f t="shared" si="73"/>
        <v>0</v>
      </c>
      <c r="EE29" s="5">
        <f t="shared" si="74"/>
        <v>0</v>
      </c>
      <c r="EF29" s="35">
        <f t="shared" si="75"/>
        <v>0</v>
      </c>
      <c r="EG29" s="5"/>
      <c r="EH29" s="35">
        <f t="shared" si="112"/>
        <v>0</v>
      </c>
      <c r="EI29" s="35">
        <f t="shared" si="76"/>
        <v>0</v>
      </c>
      <c r="EJ29" s="5">
        <f t="shared" si="77"/>
        <v>0</v>
      </c>
      <c r="EK29" s="35">
        <f t="shared" si="78"/>
        <v>0</v>
      </c>
      <c r="EL29" s="5"/>
      <c r="EM29" s="35">
        <f t="shared" si="113"/>
        <v>0</v>
      </c>
      <c r="EN29" s="35">
        <f t="shared" si="79"/>
        <v>0</v>
      </c>
      <c r="EO29" s="35">
        <f t="shared" si="80"/>
        <v>0</v>
      </c>
      <c r="EP29" s="35">
        <f t="shared" si="81"/>
        <v>0</v>
      </c>
      <c r="EQ29" s="5"/>
      <c r="ER29" s="35">
        <f t="shared" si="114"/>
        <v>0</v>
      </c>
      <c r="ES29" s="35">
        <f t="shared" si="82"/>
        <v>0</v>
      </c>
      <c r="ET29" s="35">
        <f t="shared" si="83"/>
        <v>0</v>
      </c>
      <c r="EU29" s="35">
        <f t="shared" si="84"/>
        <v>0</v>
      </c>
      <c r="EV29" s="5"/>
      <c r="EW29" s="35">
        <f t="shared" si="115"/>
        <v>0</v>
      </c>
      <c r="EX29" s="35">
        <f t="shared" si="85"/>
        <v>0</v>
      </c>
      <c r="EY29" s="5">
        <f t="shared" si="86"/>
        <v>0</v>
      </c>
      <c r="EZ29" s="35">
        <f t="shared" si="87"/>
        <v>0</v>
      </c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2:199" ht="12.75">
      <c r="B30" s="33"/>
      <c r="C30" s="34"/>
      <c r="D30" s="34"/>
      <c r="E30" s="34"/>
      <c r="F30" s="34"/>
      <c r="R30" s="5"/>
      <c r="S30" s="5"/>
      <c r="T30" s="5"/>
      <c r="U30" s="5"/>
      <c r="W30" s="5"/>
      <c r="X30" s="5"/>
      <c r="Y30" s="5"/>
      <c r="Z30" s="5"/>
      <c r="AQ30" s="5"/>
      <c r="AR30" s="5"/>
      <c r="AS30" s="5"/>
      <c r="AT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35"/>
      <c r="EO30" s="3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ht="13.5" thickBot="1">
      <c r="A31" s="37" t="s">
        <v>18</v>
      </c>
      <c r="C31" s="38">
        <f>SUM(C8:C30)</f>
        <v>11850000</v>
      </c>
      <c r="D31" s="38">
        <f>SUM(D8:D30)</f>
        <v>1568924</v>
      </c>
      <c r="E31" s="38">
        <f>SUM(E8:E30)</f>
        <v>13418924</v>
      </c>
      <c r="F31" s="38">
        <f>SUM(F8:F30)</f>
        <v>343170</v>
      </c>
      <c r="H31" s="38">
        <f>SUM(H8:H30)</f>
        <v>2645287.3500000006</v>
      </c>
      <c r="I31" s="38">
        <f>SUM(I8:I30)</f>
        <v>350232.473444</v>
      </c>
      <c r="J31" s="38">
        <f>SUM(J8:J30)</f>
        <v>2995519.8234440004</v>
      </c>
      <c r="K31" s="38">
        <f>SUM(K8:K30)</f>
        <v>76606.18226999999</v>
      </c>
      <c r="M31" s="38">
        <f>SUM(M8:M30)</f>
        <v>9204712.65</v>
      </c>
      <c r="N31" s="38">
        <f>SUM(N8:N30)</f>
        <v>1218691.526556</v>
      </c>
      <c r="O31" s="38">
        <f>SUM(O8:O30)</f>
        <v>10423404.176555999</v>
      </c>
      <c r="P31" s="38">
        <f>SUM(P8:P30)</f>
        <v>266563.81773</v>
      </c>
      <c r="R31" s="38">
        <f>SUM(R8:R30)</f>
        <v>2573.8199999999997</v>
      </c>
      <c r="S31" s="38">
        <f>SUM(S8:S30)</f>
        <v>340.7702928</v>
      </c>
      <c r="T31" s="38">
        <f>SUM(T8:T30)</f>
        <v>2914.5902928</v>
      </c>
      <c r="U31" s="38">
        <f>SUM(U8:U30)</f>
        <v>74.536524</v>
      </c>
      <c r="W31" s="38">
        <f>SUM(W8:W30)</f>
        <v>273906.825</v>
      </c>
      <c r="X31" s="38">
        <f>SUM(X8:X30)</f>
        <v>36264.893798000005</v>
      </c>
      <c r="Y31" s="38">
        <f>SUM(Y8:Y30)</f>
        <v>310171.718798</v>
      </c>
      <c r="Z31" s="38">
        <f>SUM(Z8:Z30)</f>
        <v>7932.2029649999995</v>
      </c>
      <c r="AB31" s="38">
        <f>SUM(AB8:AB30)</f>
        <v>16806.855</v>
      </c>
      <c r="AC31" s="38">
        <f>SUM(AC8:AC30)</f>
        <v>2225.2049091999997</v>
      </c>
      <c r="AD31" s="38">
        <f>SUM(AD8:AD30)</f>
        <v>19032.059909199997</v>
      </c>
      <c r="AE31" s="38">
        <f>SUM(AE8:AE30)</f>
        <v>486.71801099999993</v>
      </c>
      <c r="AG31" s="38">
        <f>SUM(AG8:AG30)</f>
        <v>121556.115</v>
      </c>
      <c r="AH31" s="38">
        <f>SUM(AH8:AH30)</f>
        <v>16093.8654996</v>
      </c>
      <c r="AI31" s="38">
        <f>SUM(AI8:AI30)</f>
        <v>137649.9804996</v>
      </c>
      <c r="AJ31" s="38">
        <f>SUM(AJ8:AJ30)</f>
        <v>3520.203543</v>
      </c>
      <c r="AL31" s="38">
        <f>SUM(AL8:AL30)</f>
        <v>96146.16</v>
      </c>
      <c r="AM31" s="38">
        <f>SUM(AM8:AM30)</f>
        <v>12729.6217664</v>
      </c>
      <c r="AN31" s="38">
        <f>SUM(AN8:AN30)</f>
        <v>108875.7817664</v>
      </c>
      <c r="AO31" s="38">
        <f>SUM(AO8:AO30)</f>
        <v>2784.3441119999998</v>
      </c>
      <c r="AQ31" s="38">
        <f>SUM(AQ8:AQ30)</f>
        <v>25648.14</v>
      </c>
      <c r="AR31" s="38">
        <f>SUM(AR8:AR30)</f>
        <v>3395.7791056000005</v>
      </c>
      <c r="AS31" s="38">
        <f>SUM(AS8:AS30)</f>
        <v>29043.919105599998</v>
      </c>
      <c r="AT31" s="38">
        <f>SUM(AT8:AT30)</f>
        <v>742.757148</v>
      </c>
      <c r="AV31" s="38">
        <f>SUM(AV8:AV30)</f>
        <v>290007.42000000004</v>
      </c>
      <c r="AW31" s="38">
        <f>SUM(AW8:AW30)</f>
        <v>38396.5908368</v>
      </c>
      <c r="AX31" s="38">
        <f>SUM(AX8:AX30)</f>
        <v>328404.01083680004</v>
      </c>
      <c r="AY31" s="38">
        <f>SUM(AY8:AY30)</f>
        <v>8398.468044</v>
      </c>
      <c r="AZ31" s="5"/>
      <c r="BA31" s="38">
        <f>SUM(BA8:BA30)</f>
        <v>5099.055</v>
      </c>
      <c r="BB31" s="38">
        <f>SUM(BB8:BB30)</f>
        <v>675.1079972</v>
      </c>
      <c r="BC31" s="38">
        <f>SUM(BC8:BC30)</f>
        <v>5774.162997200001</v>
      </c>
      <c r="BD31" s="38">
        <f>SUM(BD8:BD30)</f>
        <v>147.66605099999998</v>
      </c>
      <c r="BE31" s="5"/>
      <c r="BF31" s="38">
        <f>SUM(BF8:BF30)</f>
        <v>1089.0149999999999</v>
      </c>
      <c r="BG31" s="38">
        <f>SUM(BG8:BG30)</f>
        <v>144.1841156</v>
      </c>
      <c r="BH31" s="38">
        <f>SUM(BH8:BH30)</f>
        <v>1233.1991156</v>
      </c>
      <c r="BI31" s="38">
        <f>SUM(BI8:BI30)</f>
        <v>31.537322999999997</v>
      </c>
      <c r="BJ31" s="34"/>
      <c r="BK31" s="38">
        <f>SUM(BK8:BK30)</f>
        <v>1041543.9</v>
      </c>
      <c r="BL31" s="38">
        <f>SUM(BL8:BL30)</f>
        <v>137899.006056</v>
      </c>
      <c r="BM31" s="38">
        <f>SUM(BM8:BM30)</f>
        <v>1179442.906056</v>
      </c>
      <c r="BN31" s="38">
        <f>SUM(BN8:BN30)</f>
        <v>30162.58398</v>
      </c>
      <c r="BO31" s="5"/>
      <c r="BP31" s="38">
        <f>SUM(BP8:BP30)</f>
        <v>2008.575</v>
      </c>
      <c r="BQ31" s="38">
        <f>SUM(BQ8:BQ30)</f>
        <v>265.932618</v>
      </c>
      <c r="BR31" s="38">
        <f>SUM(BR8:BR30)</f>
        <v>2274.5076179999996</v>
      </c>
      <c r="BS31" s="38">
        <f>SUM(BS8:BS30)</f>
        <v>58.167315</v>
      </c>
      <c r="BT31" s="5"/>
      <c r="BU31" s="38">
        <f>SUM(BU8:BU30)</f>
        <v>1193.2949999999998</v>
      </c>
      <c r="BV31" s="38">
        <f>SUM(BV8:BV30)</f>
        <v>157.9906468</v>
      </c>
      <c r="BW31" s="38">
        <f>SUM(BW8:BW30)</f>
        <v>1351.2856468</v>
      </c>
      <c r="BX31" s="38">
        <f>SUM(BX8:BX30)</f>
        <v>34.557219</v>
      </c>
      <c r="BY31" s="5"/>
      <c r="BZ31" s="38">
        <f>SUM(BZ8:BZ30)</f>
        <v>74455.92</v>
      </c>
      <c r="CA31" s="38">
        <f>SUM(CA8:CA30)</f>
        <v>9857.8632768</v>
      </c>
      <c r="CB31" s="38">
        <f>SUM(CB8:CB30)</f>
        <v>84313.78327680001</v>
      </c>
      <c r="CC31" s="38">
        <f>SUM(CC8:CC30)</f>
        <v>2156.2057440000003</v>
      </c>
      <c r="CD31" s="5"/>
      <c r="CE31" s="38">
        <f>SUM(CE8:CE30)</f>
        <v>7864.845</v>
      </c>
      <c r="CF31" s="38">
        <f>SUM(CF8:CF30)</f>
        <v>1041.2948588</v>
      </c>
      <c r="CG31" s="38">
        <f>SUM(CG8:CG30)</f>
        <v>8906.139858800001</v>
      </c>
      <c r="CH31" s="38">
        <f>SUM(CH8:CH30)</f>
        <v>227.761929</v>
      </c>
      <c r="CI31" s="5"/>
      <c r="CJ31" s="38">
        <f>SUM(CJ8:CJ30)</f>
        <v>21485.235</v>
      </c>
      <c r="CK31" s="38">
        <f>SUM(CK8:CK30)</f>
        <v>2844.6161044</v>
      </c>
      <c r="CL31" s="38">
        <f>SUM(CL8:CL30)</f>
        <v>24329.8511044</v>
      </c>
      <c r="CM31" s="38">
        <f>SUM(CM8:CM30)</f>
        <v>622.201527</v>
      </c>
      <c r="CN31" s="5"/>
      <c r="CO31" s="38">
        <f>SUM(CO8:CO30)</f>
        <v>210160.935</v>
      </c>
      <c r="CP31" s="38">
        <f>SUM(CP8:CP30)</f>
        <v>27825.0240324</v>
      </c>
      <c r="CQ31" s="38">
        <f>SUM(CQ8:CQ30)</f>
        <v>237985.95903240002</v>
      </c>
      <c r="CR31" s="38">
        <f>SUM(CR8:CR30)</f>
        <v>6086.154267000001</v>
      </c>
      <c r="CS31" s="5"/>
      <c r="CT31" s="38">
        <f>SUM(CT8:CT30)</f>
        <v>29023.019999999997</v>
      </c>
      <c r="CU31" s="38">
        <f>SUM(CU8:CU30)</f>
        <v>3842.6086607999996</v>
      </c>
      <c r="CV31" s="38">
        <f>SUM(CV8:CV30)</f>
        <v>32865.628660799994</v>
      </c>
      <c r="CW31" s="38">
        <f>SUM(CW8:CW30)</f>
        <v>840.4919639999998</v>
      </c>
      <c r="CX31" s="5"/>
      <c r="CY31" s="38">
        <f>SUM(CY8:CY30)</f>
        <v>115940.4</v>
      </c>
      <c r="CZ31" s="38">
        <f>SUM(CZ8:CZ30)</f>
        <v>15350.352416</v>
      </c>
      <c r="DA31" s="38">
        <f>SUM(DA8:DA30)</f>
        <v>131290.75241599997</v>
      </c>
      <c r="DB31" s="38">
        <f>SUM(DB8:DB30)</f>
        <v>3357.57528</v>
      </c>
      <c r="DC31" s="5"/>
      <c r="DD31" s="38">
        <f>SUM(DD8:DD30)</f>
        <v>932298.7499999999</v>
      </c>
      <c r="DE31" s="38">
        <f>SUM(DE8:DE30)</f>
        <v>123435.09569999999</v>
      </c>
      <c r="DF31" s="38">
        <f>SUM(DF8:DF30)</f>
        <v>1055733.8457</v>
      </c>
      <c r="DG31" s="38">
        <f>SUM(DG8:DG30)</f>
        <v>26998.89975</v>
      </c>
      <c r="DH31" s="5"/>
      <c r="DI31" s="38">
        <f>SUM(DI8:DI30)</f>
        <v>1392771.975</v>
      </c>
      <c r="DJ31" s="38">
        <f>SUM(DJ8:DJ30)</f>
        <v>184401.12895399999</v>
      </c>
      <c r="DK31" s="38">
        <f>SUM(DK8:DK30)</f>
        <v>1577173.103954</v>
      </c>
      <c r="DL31" s="38">
        <f>SUM(DL8:DL30)</f>
        <v>40333.971195000006</v>
      </c>
      <c r="DM31" s="5"/>
      <c r="DN31" s="38">
        <f>SUM(DN8:DN30)</f>
        <v>11608.259999999998</v>
      </c>
      <c r="DO31" s="38">
        <f>SUM(DO8:DO30)</f>
        <v>1536.9179503999999</v>
      </c>
      <c r="DP31" s="38">
        <f>SUM(DP8:DP30)</f>
        <v>13145.177950399999</v>
      </c>
      <c r="DQ31" s="38">
        <f>SUM(DQ8:DQ30)</f>
        <v>336.16933199999994</v>
      </c>
      <c r="DR31" s="5"/>
      <c r="DS31" s="38">
        <f>SUM(DS8:DS30)</f>
        <v>445113.255</v>
      </c>
      <c r="DT31" s="38">
        <f>SUM(DT8:DT30)</f>
        <v>58932.3939652</v>
      </c>
      <c r="DU31" s="38">
        <f>SUM(DU8:DU30)</f>
        <v>504045.64896519994</v>
      </c>
      <c r="DV31" s="38">
        <f>SUM(DV8:DV30)</f>
        <v>12890.254491</v>
      </c>
      <c r="DW31" s="5"/>
      <c r="DX31" s="38">
        <f>SUM(DX8:DX30)</f>
        <v>742664.385</v>
      </c>
      <c r="DY31" s="38">
        <f>SUM(DY8:DY30)</f>
        <v>98327.76182039999</v>
      </c>
      <c r="DZ31" s="38">
        <f>SUM(DZ8:DZ30)</f>
        <v>840992.1468203999</v>
      </c>
      <c r="EA31" s="38">
        <f>SUM(EA8:EA30)</f>
        <v>21507.184556999997</v>
      </c>
      <c r="EB31" s="5"/>
      <c r="EC31" s="38">
        <f>SUM(EC8:EC30)</f>
        <v>635824.7849999999</v>
      </c>
      <c r="ED31" s="38">
        <f>SUM(ED8:ED30)</f>
        <v>84182.34303640001</v>
      </c>
      <c r="EE31" s="38">
        <f>SUM(EE8:EE30)</f>
        <v>720007.1280364001</v>
      </c>
      <c r="EF31" s="38">
        <f>SUM(EF8:EF30)</f>
        <v>18413.163837</v>
      </c>
      <c r="EG31" s="5"/>
      <c r="EH31" s="38">
        <f>SUM(EH8:EH30)</f>
        <v>630478.065</v>
      </c>
      <c r="EI31" s="38">
        <f>SUM(EI8:EI30)</f>
        <v>83474.4445276</v>
      </c>
      <c r="EJ31" s="38">
        <f>SUM(EJ8:EJ30)</f>
        <v>713952.5095276</v>
      </c>
      <c r="EK31" s="38">
        <f>SUM(EK8:EK30)</f>
        <v>18258.325533</v>
      </c>
      <c r="EL31" s="5"/>
      <c r="EM31" s="38">
        <f>SUM(EM8:EM30)</f>
        <v>914163.51</v>
      </c>
      <c r="EN31" s="38">
        <f>SUM(EN8:EN30)</f>
        <v>121034.01441039999</v>
      </c>
      <c r="EO31" s="38">
        <f>SUM(EO8:EO30)</f>
        <v>1035197.5244103998</v>
      </c>
      <c r="EP31" s="38">
        <f>SUM(EP8:EP30)</f>
        <v>26473.712381999998</v>
      </c>
      <c r="EQ31" s="5"/>
      <c r="ER31" s="38">
        <f>SUM(ER8:ER30)</f>
        <v>1157936.9700000002</v>
      </c>
      <c r="ES31" s="38">
        <f>SUM(ES8:ES30)</f>
        <v>153309.2913688</v>
      </c>
      <c r="ET31" s="38">
        <f>SUM(ET8:ET30)</f>
        <v>1311246.2613688</v>
      </c>
      <c r="EU31" s="38">
        <f>SUM(EU8:EU30)</f>
        <v>33533.268354</v>
      </c>
      <c r="EV31" s="5"/>
      <c r="EW31" s="38">
        <f>SUM(EW8:EW30)</f>
        <v>5343.165</v>
      </c>
      <c r="EX31" s="38">
        <f>SUM(EX8:EX30)</f>
        <v>707.4278316000001</v>
      </c>
      <c r="EY31" s="38">
        <f>SUM(EY8:EY30)</f>
        <v>6050.592831600001</v>
      </c>
      <c r="EZ31" s="38">
        <f>SUM(EZ8:EZ30)</f>
        <v>154.735353</v>
      </c>
      <c r="FA31" s="34"/>
      <c r="FB31" s="38">
        <f>SUM(FB8:FB30)</f>
        <v>0</v>
      </c>
      <c r="FC31" s="38">
        <f>SUM(FC8:FC30)</f>
        <v>0</v>
      </c>
      <c r="FD31" s="38">
        <f>SUM(FD8:FD30)</f>
        <v>0</v>
      </c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8:199" ht="13.5" thickTop="1">
      <c r="R32" s="5"/>
      <c r="S32" s="5"/>
      <c r="T32" s="5"/>
      <c r="U32" s="5"/>
      <c r="W32" s="5"/>
      <c r="X32" s="5"/>
      <c r="Y32" s="5"/>
      <c r="Z32" s="5"/>
      <c r="AQ32" s="5"/>
      <c r="AR32" s="5"/>
      <c r="AS32" s="5"/>
      <c r="AT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3:199" ht="12.75">
      <c r="C33" s="3">
        <f>H31+M31</f>
        <v>11850000</v>
      </c>
      <c r="D33" s="3">
        <f>I31+N31</f>
        <v>1568924</v>
      </c>
      <c r="E33" s="3">
        <f>J31+O31</f>
        <v>13418924</v>
      </c>
      <c r="F33" s="3">
        <f>K31+P31</f>
        <v>343170</v>
      </c>
      <c r="N33" s="5"/>
      <c r="R33" s="5"/>
      <c r="S33" s="5"/>
      <c r="T33" s="5"/>
      <c r="U33" s="5"/>
      <c r="W33" s="5"/>
      <c r="X33" s="5"/>
      <c r="Y33" s="5"/>
      <c r="Z33" s="5"/>
      <c r="AQ33" s="5"/>
      <c r="AR33" s="5"/>
      <c r="AS33" s="5"/>
      <c r="AT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8:199" ht="12.75">
      <c r="R34" s="5"/>
      <c r="S34" s="5"/>
      <c r="T34" s="5"/>
      <c r="U34" s="5"/>
      <c r="W34" s="5"/>
      <c r="X34" s="5"/>
      <c r="Y34" s="5"/>
      <c r="Z34" s="5"/>
      <c r="AQ34" s="5"/>
      <c r="AR34" s="5"/>
      <c r="AS34" s="5"/>
      <c r="AT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8:199" ht="12.75">
      <c r="R35" s="5"/>
      <c r="S35" s="5"/>
      <c r="T35" s="5"/>
      <c r="U35" s="5"/>
      <c r="W35" s="5"/>
      <c r="X35" s="5"/>
      <c r="Y35" s="5"/>
      <c r="Z35" s="5"/>
      <c r="AQ35" s="5"/>
      <c r="AR35" s="5"/>
      <c r="AS35" s="5"/>
      <c r="AT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8:199" ht="12.75">
      <c r="R36" s="5"/>
      <c r="S36" s="5"/>
      <c r="T36" s="5"/>
      <c r="U36" s="5"/>
      <c r="W36" s="5"/>
      <c r="X36" s="5"/>
      <c r="Y36" s="5"/>
      <c r="Z36" s="5"/>
      <c r="AQ36" s="5"/>
      <c r="AR36" s="5"/>
      <c r="AS36" s="5"/>
      <c r="AT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8:199" ht="12.75">
      <c r="R37" s="5"/>
      <c r="S37" s="5"/>
      <c r="T37" s="5"/>
      <c r="U37" s="5"/>
      <c r="W37" s="5"/>
      <c r="X37" s="5"/>
      <c r="Y37" s="5"/>
      <c r="Z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8:199" ht="12.75">
      <c r="R38" s="5"/>
      <c r="S38" s="5"/>
      <c r="T38" s="5"/>
      <c r="U38" s="5"/>
      <c r="W38" s="5"/>
      <c r="X38" s="5"/>
      <c r="Y38" s="5"/>
      <c r="Z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:199" ht="12.75">
      <c r="A39"/>
      <c r="R39" s="5"/>
      <c r="S39" s="5"/>
      <c r="T39" s="5"/>
      <c r="U39" s="5"/>
      <c r="W39" s="5"/>
      <c r="X39" s="5"/>
      <c r="Y39" s="5"/>
      <c r="Z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:199" ht="12.75">
      <c r="A40"/>
      <c r="R40" s="5"/>
      <c r="S40" s="5"/>
      <c r="T40" s="5"/>
      <c r="U40" s="5"/>
      <c r="W40" s="5"/>
      <c r="X40" s="5"/>
      <c r="Y40" s="5"/>
      <c r="Z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ht="12.75">
      <c r="A41"/>
      <c r="R41" s="5"/>
      <c r="S41" s="5"/>
      <c r="T41" s="5"/>
      <c r="U41" s="5"/>
      <c r="W41" s="5"/>
      <c r="X41" s="5"/>
      <c r="Y41" s="5"/>
      <c r="Z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ht="12.75">
      <c r="A42"/>
      <c r="R42" s="5"/>
      <c r="S42" s="5"/>
      <c r="T42" s="5"/>
      <c r="U42" s="5"/>
      <c r="W42" s="5"/>
      <c r="X42" s="5"/>
      <c r="Y42" s="5"/>
      <c r="Z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ht="12.75">
      <c r="A43"/>
      <c r="R43" s="5"/>
      <c r="S43" s="5"/>
      <c r="T43" s="5"/>
      <c r="U43" s="5"/>
      <c r="W43" s="5"/>
      <c r="X43" s="5"/>
      <c r="Y43" s="5"/>
      <c r="Z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ht="12.75">
      <c r="A44"/>
      <c r="H44"/>
      <c r="I44"/>
      <c r="J44"/>
      <c r="K44"/>
      <c r="R44" s="5"/>
      <c r="S44" s="5"/>
      <c r="T44" s="5"/>
      <c r="U44" s="5"/>
      <c r="W44" s="5"/>
      <c r="X44" s="5"/>
      <c r="Y44" s="5"/>
      <c r="Z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ht="12.75">
      <c r="A45"/>
      <c r="C45"/>
      <c r="D45"/>
      <c r="E45"/>
      <c r="F45"/>
      <c r="G45"/>
      <c r="H45"/>
      <c r="I45"/>
      <c r="J45"/>
      <c r="K45"/>
      <c r="L45"/>
      <c r="Q45"/>
      <c r="R45" s="5"/>
      <c r="S45" s="5"/>
      <c r="T45" s="5"/>
      <c r="U45" s="5"/>
      <c r="V45"/>
      <c r="W45" s="5"/>
      <c r="X45" s="5"/>
      <c r="Y45" s="5"/>
      <c r="Z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ht="12.75">
      <c r="A46"/>
      <c r="C46"/>
      <c r="D46"/>
      <c r="E46"/>
      <c r="F46"/>
      <c r="G46"/>
      <c r="H46"/>
      <c r="I46"/>
      <c r="J46"/>
      <c r="K46"/>
      <c r="L46"/>
      <c r="Q46"/>
      <c r="R46" s="5"/>
      <c r="S46" s="5"/>
      <c r="T46" s="5"/>
      <c r="U46" s="5"/>
      <c r="V46"/>
      <c r="W46" s="5"/>
      <c r="X46" s="5"/>
      <c r="Y46" s="5"/>
      <c r="Z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ht="12.75">
      <c r="A47"/>
      <c r="C47"/>
      <c r="D47"/>
      <c r="E47"/>
      <c r="F47"/>
      <c r="G47"/>
      <c r="H47"/>
      <c r="I47"/>
      <c r="J47"/>
      <c r="K47"/>
      <c r="L47"/>
      <c r="Q47"/>
      <c r="R47" s="5"/>
      <c r="S47" s="5"/>
      <c r="T47" s="5"/>
      <c r="U47" s="5"/>
      <c r="V47"/>
      <c r="W47" s="5"/>
      <c r="X47" s="5"/>
      <c r="Y47" s="5"/>
      <c r="Z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ht="12.75">
      <c r="A48"/>
      <c r="C48"/>
      <c r="D48"/>
      <c r="E48"/>
      <c r="F48"/>
      <c r="G48"/>
      <c r="H48"/>
      <c r="I48"/>
      <c r="J48"/>
      <c r="K48"/>
      <c r="L48"/>
      <c r="Q48"/>
      <c r="R48" s="5"/>
      <c r="S48" s="5"/>
      <c r="T48" s="5"/>
      <c r="U48" s="5"/>
      <c r="V48"/>
      <c r="W48" s="5"/>
      <c r="X48" s="5"/>
      <c r="Y48" s="5"/>
      <c r="Z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V49"/>
      <c r="W49" s="5"/>
      <c r="X49" s="5"/>
      <c r="Y49" s="5"/>
      <c r="Z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V50"/>
      <c r="W50" s="5"/>
      <c r="X50" s="5"/>
      <c r="Y50" s="5"/>
      <c r="Z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V51"/>
      <c r="W51" s="5"/>
      <c r="X51" s="5"/>
      <c r="Y51" s="5"/>
      <c r="Z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V52"/>
      <c r="W52" s="5"/>
      <c r="X52" s="5"/>
      <c r="Y52" s="5"/>
      <c r="Z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V53"/>
      <c r="W53" s="5"/>
      <c r="X53" s="5"/>
      <c r="Y53" s="5"/>
      <c r="Z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V54"/>
      <c r="W54" s="5"/>
      <c r="X54" s="5"/>
      <c r="Y54" s="5"/>
      <c r="Z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V55"/>
      <c r="W55" s="5"/>
      <c r="X55" s="5"/>
      <c r="Y55" s="5"/>
      <c r="Z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V56"/>
      <c r="W56" s="5"/>
      <c r="X56" s="5"/>
      <c r="Y56" s="5"/>
      <c r="Z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V57"/>
      <c r="W57" s="5"/>
      <c r="X57" s="5"/>
      <c r="Y57" s="5"/>
      <c r="Z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V58"/>
      <c r="W58" s="5"/>
      <c r="X58" s="5"/>
      <c r="Y58" s="5"/>
      <c r="Z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V59"/>
      <c r="W59" s="5"/>
      <c r="X59" s="5"/>
      <c r="Y59" s="5"/>
      <c r="Z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V60"/>
      <c r="W60" s="5"/>
      <c r="X60" s="5"/>
      <c r="Y60" s="5"/>
      <c r="Z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V61"/>
      <c r="W61" s="5"/>
      <c r="X61" s="5"/>
      <c r="Y61" s="5"/>
      <c r="Z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V62"/>
      <c r="W62" s="5"/>
      <c r="X62" s="5"/>
      <c r="Y62" s="5"/>
      <c r="Z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V63"/>
      <c r="W63" s="5"/>
      <c r="X63" s="5"/>
      <c r="Y63" s="5"/>
      <c r="Z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V64"/>
      <c r="W64" s="5"/>
      <c r="X64" s="5"/>
      <c r="Y64" s="5"/>
      <c r="Z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V65"/>
      <c r="W65" s="5"/>
      <c r="X65" s="5"/>
      <c r="Y65" s="5"/>
      <c r="Z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3:199" ht="12.75"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V66"/>
      <c r="W66" s="5"/>
      <c r="X66" s="5"/>
      <c r="Y66" s="5"/>
      <c r="Z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3:199" ht="12.75"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V67"/>
      <c r="W67" s="5"/>
      <c r="X67" s="5"/>
      <c r="Y67" s="5"/>
      <c r="Z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3:199" ht="12.75"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V68"/>
      <c r="W68" s="5"/>
      <c r="X68" s="5"/>
      <c r="Y68" s="5"/>
      <c r="Z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3:199" ht="12.75"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V69"/>
      <c r="W69" s="5"/>
      <c r="X69" s="5"/>
      <c r="Y69" s="5"/>
      <c r="Z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3:199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V70"/>
      <c r="W70" s="5"/>
      <c r="X70" s="5"/>
      <c r="Y70" s="5"/>
      <c r="Z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3:199" ht="12.75">
      <c r="C71"/>
      <c r="D71"/>
      <c r="E71"/>
      <c r="F71"/>
      <c r="G71"/>
      <c r="L71"/>
      <c r="Q71"/>
      <c r="R71" s="5"/>
      <c r="S71" s="5"/>
      <c r="T71" s="5"/>
      <c r="U71" s="5"/>
      <c r="V71"/>
      <c r="W71" s="5"/>
      <c r="X71" s="5"/>
      <c r="Y71" s="5"/>
      <c r="Z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8:199" ht="12.75">
      <c r="R72" s="5"/>
      <c r="S72" s="5"/>
      <c r="T72" s="5"/>
      <c r="U72" s="5"/>
      <c r="W72" s="5"/>
      <c r="X72" s="5"/>
      <c r="Y72" s="5"/>
      <c r="Z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8:199" ht="12.75">
      <c r="R73" s="5"/>
      <c r="S73" s="5"/>
      <c r="T73" s="5"/>
      <c r="U73" s="5"/>
      <c r="W73" s="5"/>
      <c r="X73" s="5"/>
      <c r="Y73" s="5"/>
      <c r="Z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8:199" ht="12.75">
      <c r="R74" s="5"/>
      <c r="S74" s="5"/>
      <c r="T74" s="5"/>
      <c r="U74" s="5"/>
      <c r="W74" s="5"/>
      <c r="X74" s="5"/>
      <c r="Y74" s="5"/>
      <c r="Z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8:199" ht="12.75">
      <c r="R75" s="5"/>
      <c r="S75" s="5"/>
      <c r="T75" s="5"/>
      <c r="U75" s="5"/>
      <c r="W75" s="5"/>
      <c r="X75" s="5"/>
      <c r="Y75" s="5"/>
      <c r="Z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8:199" ht="12.75">
      <c r="R76" s="5"/>
      <c r="S76" s="5"/>
      <c r="T76" s="5"/>
      <c r="U76" s="5"/>
      <c r="W76" s="5"/>
      <c r="X76" s="5"/>
      <c r="Y76" s="5"/>
      <c r="Z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8:199" ht="12.75">
      <c r="R77" s="5"/>
      <c r="S77" s="5"/>
      <c r="T77" s="5"/>
      <c r="U77" s="5"/>
      <c r="W77" s="5"/>
      <c r="X77" s="5"/>
      <c r="Y77" s="5"/>
      <c r="Z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8:199" ht="12.75">
      <c r="R78" s="5"/>
      <c r="S78" s="5"/>
      <c r="T78" s="5"/>
      <c r="U78" s="5"/>
      <c r="W78" s="5"/>
      <c r="X78" s="5"/>
      <c r="Y78" s="5"/>
      <c r="Z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8:199" ht="12.75">
      <c r="R79" s="5"/>
      <c r="S79" s="5"/>
      <c r="T79" s="5"/>
      <c r="U79" s="5"/>
      <c r="W79" s="5"/>
      <c r="X79" s="5"/>
      <c r="Y79" s="5"/>
      <c r="Z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8:199" ht="12.75">
      <c r="R80" s="5"/>
      <c r="S80" s="5"/>
      <c r="T80" s="5"/>
      <c r="U80" s="5"/>
      <c r="W80" s="5"/>
      <c r="X80" s="5"/>
      <c r="Y80" s="5"/>
      <c r="Z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8:199" ht="12.75">
      <c r="R81" s="5"/>
      <c r="S81" s="5"/>
      <c r="T81" s="5"/>
      <c r="U81" s="5"/>
      <c r="W81" s="5"/>
      <c r="X81" s="5"/>
      <c r="Y81" s="5"/>
      <c r="Z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18:199" ht="12.75">
      <c r="R82" s="5"/>
      <c r="S82" s="5"/>
      <c r="T82" s="5"/>
      <c r="U82" s="5"/>
      <c r="W82" s="5"/>
      <c r="X82" s="5"/>
      <c r="Y82" s="5"/>
      <c r="Z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18:199" ht="12.75">
      <c r="R83" s="5"/>
      <c r="S83" s="5"/>
      <c r="T83" s="5"/>
      <c r="U83" s="5"/>
      <c r="W83" s="5"/>
      <c r="X83" s="5"/>
      <c r="Y83" s="5"/>
      <c r="Z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18:199" ht="12.75">
      <c r="R84" s="5"/>
      <c r="S84" s="5"/>
      <c r="T84" s="5"/>
      <c r="U84" s="5"/>
      <c r="W84" s="5"/>
      <c r="X84" s="5"/>
      <c r="Y84" s="5"/>
      <c r="Z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18:199" ht="12.75">
      <c r="R85" s="5"/>
      <c r="S85" s="5"/>
      <c r="T85" s="5"/>
      <c r="U85" s="5"/>
      <c r="W85" s="5"/>
      <c r="X85" s="5"/>
      <c r="Y85" s="5"/>
      <c r="Z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8:199" ht="12.75">
      <c r="R86" s="5"/>
      <c r="S86" s="5"/>
      <c r="T86" s="5"/>
      <c r="U86" s="5"/>
      <c r="W86" s="5"/>
      <c r="X86" s="5"/>
      <c r="Y86" s="5"/>
      <c r="Z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8:199" ht="12.75">
      <c r="R87" s="5"/>
      <c r="S87" s="5"/>
      <c r="T87" s="5"/>
      <c r="U87" s="5"/>
      <c r="W87" s="5"/>
      <c r="X87" s="5"/>
      <c r="Y87" s="5"/>
      <c r="Z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8:199" ht="12.75">
      <c r="R88" s="5"/>
      <c r="S88" s="5"/>
      <c r="T88" s="5"/>
      <c r="U88" s="5"/>
      <c r="W88" s="5"/>
      <c r="X88" s="5"/>
      <c r="Y88" s="5"/>
      <c r="Z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8:199" ht="12.75">
      <c r="R89" s="5"/>
      <c r="S89" s="5"/>
      <c r="T89" s="5"/>
      <c r="U89" s="5"/>
      <c r="W89" s="5"/>
      <c r="X89" s="5"/>
      <c r="Y89" s="5"/>
      <c r="Z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8:199" ht="12.75">
      <c r="R90" s="5"/>
      <c r="S90" s="5"/>
      <c r="T90" s="5"/>
      <c r="U90" s="5"/>
      <c r="W90" s="5"/>
      <c r="X90" s="5"/>
      <c r="Y90" s="5"/>
      <c r="Z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8:199" ht="12.75">
      <c r="R91" s="5"/>
      <c r="S91" s="5"/>
      <c r="T91" s="5"/>
      <c r="U91" s="5"/>
      <c r="W91" s="5"/>
      <c r="X91" s="5"/>
      <c r="Y91" s="5"/>
      <c r="Z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8:199" ht="12.75">
      <c r="R92" s="5"/>
      <c r="S92" s="5"/>
      <c r="T92" s="5"/>
      <c r="U92" s="5"/>
      <c r="W92" s="5"/>
      <c r="X92" s="5"/>
      <c r="Y92" s="5"/>
      <c r="Z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8:199" ht="12.75">
      <c r="R93" s="5"/>
      <c r="S93" s="5"/>
      <c r="T93" s="5"/>
      <c r="U93" s="5"/>
      <c r="W93" s="5"/>
      <c r="X93" s="5"/>
      <c r="Y93" s="5"/>
      <c r="Z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8:199" ht="12.75">
      <c r="R94" s="5"/>
      <c r="S94" s="5"/>
      <c r="T94" s="5"/>
      <c r="U94" s="5"/>
      <c r="W94" s="5"/>
      <c r="X94" s="5"/>
      <c r="Y94" s="5"/>
      <c r="Z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8:199" ht="12.75">
      <c r="R95" s="5"/>
      <c r="S95" s="5"/>
      <c r="T95" s="5"/>
      <c r="U95" s="5"/>
      <c r="W95" s="5"/>
      <c r="X95" s="5"/>
      <c r="Y95" s="5"/>
      <c r="Z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8:199" ht="12.75">
      <c r="R96" s="5"/>
      <c r="S96" s="5"/>
      <c r="T96" s="5"/>
      <c r="U96" s="5"/>
      <c r="W96" s="5"/>
      <c r="X96" s="5"/>
      <c r="Y96" s="5"/>
      <c r="Z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8:199" ht="12.75">
      <c r="R97" s="5"/>
      <c r="S97" s="5"/>
      <c r="T97" s="5"/>
      <c r="U97" s="5"/>
      <c r="W97" s="5"/>
      <c r="X97" s="5"/>
      <c r="Y97" s="5"/>
      <c r="Z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8:199" ht="12.75">
      <c r="R98" s="5"/>
      <c r="S98" s="5"/>
      <c r="T98" s="5"/>
      <c r="U98" s="5"/>
      <c r="W98" s="5"/>
      <c r="X98" s="5"/>
      <c r="Y98" s="5"/>
      <c r="Z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8:199" ht="12.75">
      <c r="R99" s="5"/>
      <c r="S99" s="5"/>
      <c r="T99" s="5"/>
      <c r="U99" s="5"/>
      <c r="W99" s="5"/>
      <c r="X99" s="5"/>
      <c r="Y99" s="5"/>
      <c r="Z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8:199" ht="12.75">
      <c r="R100" s="5"/>
      <c r="S100" s="5"/>
      <c r="T100" s="5"/>
      <c r="U100" s="5"/>
      <c r="W100" s="5"/>
      <c r="X100" s="5"/>
      <c r="Y100" s="5"/>
      <c r="Z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8:199" ht="12.75">
      <c r="R101" s="5"/>
      <c r="S101" s="5"/>
      <c r="T101" s="5"/>
      <c r="U101" s="5"/>
      <c r="W101" s="5"/>
      <c r="X101" s="5"/>
      <c r="Y101" s="5"/>
      <c r="Z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8:199" ht="12.75">
      <c r="R102" s="5"/>
      <c r="S102" s="5"/>
      <c r="T102" s="5"/>
      <c r="U102" s="5"/>
      <c r="W102" s="5"/>
      <c r="X102" s="5"/>
      <c r="Y102" s="5"/>
      <c r="Z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8:199" ht="12.75">
      <c r="R103" s="5"/>
      <c r="S103" s="5"/>
      <c r="T103" s="5"/>
      <c r="U103" s="5"/>
      <c r="W103" s="5"/>
      <c r="X103" s="5"/>
      <c r="Y103" s="5"/>
      <c r="Z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8:199" ht="12.75">
      <c r="R104" s="5"/>
      <c r="S104" s="5"/>
      <c r="T104" s="5"/>
      <c r="U104" s="5"/>
      <c r="W104" s="5"/>
      <c r="X104" s="5"/>
      <c r="Y104" s="5"/>
      <c r="Z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8:199" ht="12.75">
      <c r="R105" s="5"/>
      <c r="S105" s="5"/>
      <c r="T105" s="5"/>
      <c r="U105" s="5"/>
      <c r="W105" s="5"/>
      <c r="X105" s="5"/>
      <c r="Y105" s="5"/>
      <c r="Z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8:199" ht="12.75">
      <c r="R106" s="5"/>
      <c r="S106" s="5"/>
      <c r="T106" s="5"/>
      <c r="U106" s="5"/>
      <c r="W106" s="5"/>
      <c r="X106" s="5"/>
      <c r="Y106" s="5"/>
      <c r="Z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8:199" ht="12.75">
      <c r="R107" s="5"/>
      <c r="S107" s="5"/>
      <c r="T107" s="5"/>
      <c r="U107" s="5"/>
      <c r="W107" s="5"/>
      <c r="X107" s="5"/>
      <c r="Y107" s="5"/>
      <c r="Z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8:199" ht="12.75">
      <c r="R108" s="5"/>
      <c r="S108" s="5"/>
      <c r="T108" s="5"/>
      <c r="U108" s="5"/>
      <c r="W108" s="5"/>
      <c r="X108" s="5"/>
      <c r="Y108" s="5"/>
      <c r="Z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8:199" ht="12.75">
      <c r="R109" s="5"/>
      <c r="S109" s="5"/>
      <c r="T109" s="5"/>
      <c r="U109" s="5"/>
      <c r="W109" s="5"/>
      <c r="X109" s="5"/>
      <c r="Y109" s="5"/>
      <c r="Z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8:199" ht="12.75">
      <c r="R110" s="5"/>
      <c r="S110" s="5"/>
      <c r="T110" s="5"/>
      <c r="U110" s="5"/>
      <c r="W110" s="5"/>
      <c r="X110" s="5"/>
      <c r="Y110" s="5"/>
      <c r="Z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8:199" ht="12.75">
      <c r="R111" s="5"/>
      <c r="S111" s="5"/>
      <c r="T111" s="5"/>
      <c r="U111" s="5"/>
      <c r="W111" s="5"/>
      <c r="X111" s="5"/>
      <c r="Y111" s="5"/>
      <c r="Z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8:199" ht="12.75">
      <c r="R112" s="5"/>
      <c r="S112" s="5"/>
      <c r="T112" s="5"/>
      <c r="U112" s="5"/>
      <c r="W112" s="5"/>
      <c r="X112" s="5"/>
      <c r="Y112" s="5"/>
      <c r="Z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8:199" ht="12.75">
      <c r="R113" s="5"/>
      <c r="S113" s="5"/>
      <c r="T113" s="5"/>
      <c r="U113" s="5"/>
      <c r="W113" s="5"/>
      <c r="X113" s="5"/>
      <c r="Y113" s="5"/>
      <c r="Z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8:199" ht="12.75">
      <c r="R114" s="5"/>
      <c r="S114" s="5"/>
      <c r="T114" s="5"/>
      <c r="U114" s="5"/>
      <c r="W114" s="5"/>
      <c r="X114" s="5"/>
      <c r="Y114" s="5"/>
      <c r="Z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8:199" ht="12.75">
      <c r="R115" s="5"/>
      <c r="S115" s="5"/>
      <c r="T115" s="5"/>
      <c r="U115" s="5"/>
      <c r="W115" s="5"/>
      <c r="X115" s="5"/>
      <c r="Y115" s="5"/>
      <c r="Z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8:199" ht="12.75">
      <c r="R116" s="5"/>
      <c r="S116" s="5"/>
      <c r="T116" s="5"/>
      <c r="U116" s="5"/>
      <c r="W116" s="5"/>
      <c r="X116" s="5"/>
      <c r="Y116" s="5"/>
      <c r="Z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8:199" ht="12.75">
      <c r="R117" s="5"/>
      <c r="S117" s="5"/>
      <c r="T117" s="5"/>
      <c r="U117" s="5"/>
      <c r="W117" s="5"/>
      <c r="X117" s="5"/>
      <c r="Y117" s="5"/>
      <c r="Z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8:199" ht="12.75">
      <c r="R118" s="5"/>
      <c r="S118" s="5"/>
      <c r="T118" s="5"/>
      <c r="U118" s="5"/>
      <c r="W118" s="5"/>
      <c r="X118" s="5"/>
      <c r="Y118" s="5"/>
      <c r="Z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8:199" ht="12.75">
      <c r="R119" s="5"/>
      <c r="S119" s="5"/>
      <c r="T119" s="5"/>
      <c r="U119" s="5"/>
      <c r="W119" s="5"/>
      <c r="X119" s="5"/>
      <c r="Y119" s="5"/>
      <c r="Z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8:199" ht="12.75">
      <c r="R120" s="5"/>
      <c r="S120" s="5"/>
      <c r="T120" s="5"/>
      <c r="U120" s="5"/>
      <c r="W120" s="5"/>
      <c r="X120" s="5"/>
      <c r="Y120" s="5"/>
      <c r="Z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8:199" ht="12.75">
      <c r="R121" s="5"/>
      <c r="S121" s="5"/>
      <c r="T121" s="5"/>
      <c r="U121" s="5"/>
      <c r="W121" s="5"/>
      <c r="X121" s="5"/>
      <c r="Y121" s="5"/>
      <c r="Z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8:199" ht="12.75">
      <c r="R122" s="5"/>
      <c r="S122" s="5"/>
      <c r="T122" s="5"/>
      <c r="U122" s="5"/>
      <c r="W122" s="5"/>
      <c r="X122" s="5"/>
      <c r="Y122" s="5"/>
      <c r="Z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8:199" ht="12.75">
      <c r="R123" s="5"/>
      <c r="S123" s="5"/>
      <c r="T123" s="5"/>
      <c r="U123" s="5"/>
      <c r="W123" s="5"/>
      <c r="X123" s="5"/>
      <c r="Y123" s="5"/>
      <c r="Z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8:199" ht="12.75">
      <c r="R124" s="5"/>
      <c r="S124" s="5"/>
      <c r="T124" s="5"/>
      <c r="U124" s="5"/>
      <c r="W124" s="5"/>
      <c r="X124" s="5"/>
      <c r="Y124" s="5"/>
      <c r="Z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8:199" ht="12.75">
      <c r="R125" s="5"/>
      <c r="S125" s="5"/>
      <c r="T125" s="5"/>
      <c r="U125" s="5"/>
      <c r="W125" s="5"/>
      <c r="X125" s="5"/>
      <c r="Y125" s="5"/>
      <c r="Z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8:199" ht="12.75">
      <c r="R126" s="5"/>
      <c r="S126" s="5"/>
      <c r="T126" s="5"/>
      <c r="U126" s="5"/>
      <c r="W126" s="5"/>
      <c r="X126" s="5"/>
      <c r="Y126" s="5"/>
      <c r="Z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8:199" ht="12.75">
      <c r="R127" s="5"/>
      <c r="S127" s="5"/>
      <c r="T127" s="5"/>
      <c r="U127" s="5"/>
      <c r="W127" s="5"/>
      <c r="X127" s="5"/>
      <c r="Y127" s="5"/>
      <c r="Z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8:199" ht="12.75">
      <c r="R128" s="5"/>
      <c r="S128" s="5"/>
      <c r="T128" s="5"/>
      <c r="U128" s="5"/>
      <c r="W128" s="5"/>
      <c r="X128" s="5"/>
      <c r="Y128" s="5"/>
      <c r="Z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8:199" ht="12.75">
      <c r="R129" s="5"/>
      <c r="S129" s="5"/>
      <c r="T129" s="5"/>
      <c r="U129" s="5"/>
      <c r="W129" s="5"/>
      <c r="X129" s="5"/>
      <c r="Y129" s="5"/>
      <c r="Z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8:199" ht="12.75">
      <c r="R130" s="5"/>
      <c r="S130" s="5"/>
      <c r="T130" s="5"/>
      <c r="U130" s="5"/>
      <c r="W130" s="5"/>
      <c r="X130" s="5"/>
      <c r="Y130" s="5"/>
      <c r="Z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8:199" ht="12.75">
      <c r="R131" s="5"/>
      <c r="S131" s="5"/>
      <c r="T131" s="5"/>
      <c r="U131" s="5"/>
      <c r="W131" s="5"/>
      <c r="X131" s="5"/>
      <c r="Y131" s="5"/>
      <c r="Z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8:199" ht="12.75">
      <c r="R132" s="5"/>
      <c r="S132" s="5"/>
      <c r="T132" s="5"/>
      <c r="U132" s="5"/>
      <c r="W132" s="5"/>
      <c r="X132" s="5"/>
      <c r="Y132" s="5"/>
      <c r="Z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8:199" ht="12.75">
      <c r="R133" s="5"/>
      <c r="S133" s="5"/>
      <c r="T133" s="5"/>
      <c r="U133" s="5"/>
      <c r="W133" s="5"/>
      <c r="X133" s="5"/>
      <c r="Y133" s="5"/>
      <c r="Z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8:199" ht="12.75">
      <c r="R134" s="5"/>
      <c r="S134" s="5"/>
      <c r="T134" s="5"/>
      <c r="U134" s="5"/>
      <c r="W134" s="5"/>
      <c r="X134" s="5"/>
      <c r="Y134" s="5"/>
      <c r="Z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8:199" ht="12.75">
      <c r="R135" s="5"/>
      <c r="S135" s="5"/>
      <c r="T135" s="5"/>
      <c r="U135" s="5"/>
      <c r="W135" s="5"/>
      <c r="X135" s="5"/>
      <c r="Y135" s="5"/>
      <c r="Z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8:199" ht="12.75">
      <c r="R136" s="5"/>
      <c r="S136" s="5"/>
      <c r="T136" s="5"/>
      <c r="U136" s="5"/>
      <c r="W136" s="5"/>
      <c r="X136" s="5"/>
      <c r="Y136" s="5"/>
      <c r="Z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8:199" ht="12.75">
      <c r="R137" s="5"/>
      <c r="S137" s="5"/>
      <c r="T137" s="5"/>
      <c r="U137" s="5"/>
      <c r="W137" s="5"/>
      <c r="X137" s="5"/>
      <c r="Y137" s="5"/>
      <c r="Z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8:199" ht="12.75">
      <c r="R138" s="5"/>
      <c r="S138" s="5"/>
      <c r="T138" s="5"/>
      <c r="U138" s="5"/>
      <c r="W138" s="5"/>
      <c r="X138" s="5"/>
      <c r="Y138" s="5"/>
      <c r="Z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8:199" ht="12.75">
      <c r="R139" s="5"/>
      <c r="S139" s="5"/>
      <c r="T139" s="5"/>
      <c r="U139" s="5"/>
      <c r="W139" s="5"/>
      <c r="X139" s="5"/>
      <c r="Y139" s="5"/>
      <c r="Z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8:199" ht="12.75">
      <c r="R140" s="5"/>
      <c r="S140" s="5"/>
      <c r="T140" s="5"/>
      <c r="U140" s="5"/>
      <c r="W140" s="5"/>
      <c r="X140" s="5"/>
      <c r="Y140" s="5"/>
      <c r="Z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8:199" ht="12.75">
      <c r="R141" s="5"/>
      <c r="S141" s="5"/>
      <c r="T141" s="5"/>
      <c r="U141" s="5"/>
      <c r="W141" s="5"/>
      <c r="X141" s="5"/>
      <c r="Y141" s="5"/>
      <c r="Z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8:199" ht="12.75">
      <c r="R142" s="5"/>
      <c r="S142" s="5"/>
      <c r="T142" s="5"/>
      <c r="U142" s="5"/>
      <c r="W142" s="5"/>
      <c r="X142" s="5"/>
      <c r="Y142" s="5"/>
      <c r="Z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8:199" ht="12.75">
      <c r="R143" s="5"/>
      <c r="S143" s="5"/>
      <c r="T143" s="5"/>
      <c r="U143" s="5"/>
      <c r="W143" s="5"/>
      <c r="X143" s="5"/>
      <c r="Y143" s="5"/>
      <c r="Z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8:199" ht="12.75">
      <c r="R144" s="5"/>
      <c r="S144" s="5"/>
      <c r="T144" s="5"/>
      <c r="U144" s="5"/>
      <c r="W144" s="5"/>
      <c r="X144" s="5"/>
      <c r="Y144" s="5"/>
      <c r="Z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8:199" ht="12.75">
      <c r="R145" s="5"/>
      <c r="S145" s="5"/>
      <c r="T145" s="5"/>
      <c r="U145" s="5"/>
      <c r="W145" s="5"/>
      <c r="X145" s="5"/>
      <c r="Y145" s="5"/>
      <c r="Z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8:199" ht="12.75">
      <c r="R146" s="5"/>
      <c r="S146" s="5"/>
      <c r="T146" s="5"/>
      <c r="U146" s="5"/>
      <c r="W146" s="5"/>
      <c r="X146" s="5"/>
      <c r="Y146" s="5"/>
      <c r="Z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8:199" ht="12.75">
      <c r="R147" s="5"/>
      <c r="S147" s="5"/>
      <c r="T147" s="5"/>
      <c r="U147" s="5"/>
      <c r="W147" s="5"/>
      <c r="X147" s="5"/>
      <c r="Y147" s="5"/>
      <c r="Z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8:199" ht="12.75">
      <c r="R148" s="5"/>
      <c r="S148" s="5"/>
      <c r="T148" s="5"/>
      <c r="U148" s="5"/>
      <c r="W148" s="5"/>
      <c r="X148" s="5"/>
      <c r="Y148" s="5"/>
      <c r="Z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8:199" ht="12.75">
      <c r="R149" s="5"/>
      <c r="S149" s="5"/>
      <c r="T149" s="5"/>
      <c r="U149" s="5"/>
      <c r="W149" s="5"/>
      <c r="X149" s="5"/>
      <c r="Y149" s="5"/>
      <c r="Z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8:199" ht="12.75">
      <c r="R150" s="5"/>
      <c r="S150" s="5"/>
      <c r="T150" s="5"/>
      <c r="U150" s="5"/>
      <c r="W150" s="5"/>
      <c r="X150" s="5"/>
      <c r="Y150" s="5"/>
      <c r="Z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8:199" ht="12.75">
      <c r="R151" s="5"/>
      <c r="S151" s="5"/>
      <c r="T151" s="5"/>
      <c r="U151" s="5"/>
      <c r="W151" s="5"/>
      <c r="X151" s="5"/>
      <c r="Y151" s="5"/>
      <c r="Z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8:199" ht="12.75">
      <c r="R152" s="5"/>
      <c r="S152" s="5"/>
      <c r="T152" s="5"/>
      <c r="U152" s="5"/>
      <c r="W152" s="5"/>
      <c r="X152" s="5"/>
      <c r="Y152" s="5"/>
      <c r="Z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8:199" ht="12.75">
      <c r="R153" s="5"/>
      <c r="S153" s="5"/>
      <c r="T153" s="5"/>
      <c r="U153" s="5"/>
      <c r="W153" s="5"/>
      <c r="X153" s="5"/>
      <c r="Y153" s="5"/>
      <c r="Z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8:199" ht="12.75">
      <c r="R154" s="5"/>
      <c r="S154" s="5"/>
      <c r="T154" s="5"/>
      <c r="U154" s="5"/>
      <c r="W154" s="5"/>
      <c r="X154" s="5"/>
      <c r="Y154" s="5"/>
      <c r="Z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8:199" ht="12.75">
      <c r="R155" s="5"/>
      <c r="S155" s="5"/>
      <c r="T155" s="5"/>
      <c r="U155" s="5"/>
      <c r="W155" s="5"/>
      <c r="X155" s="5"/>
      <c r="Y155" s="5"/>
      <c r="Z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8:199" ht="12.75">
      <c r="R156" s="5"/>
      <c r="S156" s="5"/>
      <c r="T156" s="5"/>
      <c r="U156" s="5"/>
      <c r="W156" s="5"/>
      <c r="X156" s="5"/>
      <c r="Y156" s="5"/>
      <c r="Z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8:199" ht="12.75">
      <c r="R157" s="5"/>
      <c r="S157" s="5"/>
      <c r="T157" s="5"/>
      <c r="U157" s="5"/>
      <c r="W157" s="5"/>
      <c r="X157" s="5"/>
      <c r="Y157" s="5"/>
      <c r="Z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8:199" ht="12.75">
      <c r="R158" s="5"/>
      <c r="S158" s="5"/>
      <c r="T158" s="5"/>
      <c r="U158" s="5"/>
      <c r="W158" s="5"/>
      <c r="X158" s="5"/>
      <c r="Y158" s="5"/>
      <c r="Z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8:199" ht="12.75">
      <c r="R159" s="5"/>
      <c r="S159" s="5"/>
      <c r="T159" s="5"/>
      <c r="U159" s="5"/>
      <c r="W159" s="5"/>
      <c r="X159" s="5"/>
      <c r="Y159" s="5"/>
      <c r="Z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8:199" ht="12.75">
      <c r="R160" s="5"/>
      <c r="S160" s="5"/>
      <c r="T160" s="5"/>
      <c r="U160" s="5"/>
      <c r="W160" s="5"/>
      <c r="X160" s="5"/>
      <c r="Y160" s="5"/>
      <c r="Z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8:199" ht="12.75">
      <c r="R161" s="5"/>
      <c r="S161" s="5"/>
      <c r="T161" s="5"/>
      <c r="U161" s="5"/>
      <c r="W161" s="5"/>
      <c r="X161" s="5"/>
      <c r="Y161" s="5"/>
      <c r="Z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8:199" ht="12.75">
      <c r="R162" s="5"/>
      <c r="S162" s="5"/>
      <c r="T162" s="5"/>
      <c r="U162" s="5"/>
      <c r="W162" s="5"/>
      <c r="X162" s="5"/>
      <c r="Y162" s="5"/>
      <c r="Z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8:199" ht="12.75">
      <c r="R163" s="5"/>
      <c r="S163" s="5"/>
      <c r="T163" s="5"/>
      <c r="U163" s="5"/>
      <c r="W163" s="5"/>
      <c r="X163" s="5"/>
      <c r="Y163" s="5"/>
      <c r="Z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8:199" ht="12.75">
      <c r="R164" s="5"/>
      <c r="S164" s="5"/>
      <c r="T164" s="5"/>
      <c r="U164" s="5"/>
      <c r="W164" s="5"/>
      <c r="X164" s="5"/>
      <c r="Y164" s="5"/>
      <c r="Z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8:199" ht="12.75">
      <c r="R165" s="5"/>
      <c r="S165" s="5"/>
      <c r="T165" s="5"/>
      <c r="U165" s="5"/>
      <c r="W165" s="5"/>
      <c r="X165" s="5"/>
      <c r="Y165" s="5"/>
      <c r="Z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8:199" ht="12.75">
      <c r="R166" s="5"/>
      <c r="S166" s="5"/>
      <c r="T166" s="5"/>
      <c r="U166" s="5"/>
      <c r="W166" s="5"/>
      <c r="X166" s="5"/>
      <c r="Y166" s="5"/>
      <c r="Z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8:199" ht="12.75">
      <c r="R167" s="5"/>
      <c r="S167" s="5"/>
      <c r="T167" s="5"/>
      <c r="U167" s="5"/>
      <c r="W167" s="5"/>
      <c r="X167" s="5"/>
      <c r="Y167" s="5"/>
      <c r="Z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8:199" ht="12.75">
      <c r="R168" s="5"/>
      <c r="S168" s="5"/>
      <c r="T168" s="5"/>
      <c r="U168" s="5"/>
      <c r="W168" s="5"/>
      <c r="X168" s="5"/>
      <c r="Y168" s="5"/>
      <c r="Z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8:199" ht="12.75">
      <c r="R169" s="5"/>
      <c r="S169" s="5"/>
      <c r="T169" s="5"/>
      <c r="U169" s="5"/>
      <c r="W169" s="5"/>
      <c r="X169" s="5"/>
      <c r="Y169" s="5"/>
      <c r="Z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8:199" ht="12.75">
      <c r="R170" s="5"/>
      <c r="S170" s="5"/>
      <c r="T170" s="5"/>
      <c r="U170" s="5"/>
      <c r="W170" s="5"/>
      <c r="X170" s="5"/>
      <c r="Y170" s="5"/>
      <c r="Z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8:199" ht="12.75">
      <c r="R171" s="5"/>
      <c r="S171" s="5"/>
      <c r="T171" s="5"/>
      <c r="U171" s="5"/>
      <c r="W171" s="5"/>
      <c r="X171" s="5"/>
      <c r="Y171" s="5"/>
      <c r="Z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8:199" ht="12.75">
      <c r="R172" s="5"/>
      <c r="S172" s="5"/>
      <c r="T172" s="5"/>
      <c r="U172" s="5"/>
      <c r="W172" s="5"/>
      <c r="X172" s="5"/>
      <c r="Y172" s="5"/>
      <c r="Z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8:199" ht="12.75">
      <c r="R173" s="5"/>
      <c r="S173" s="5"/>
      <c r="T173" s="5"/>
      <c r="U173" s="5"/>
      <c r="W173" s="5"/>
      <c r="X173" s="5"/>
      <c r="Y173" s="5"/>
      <c r="Z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8:199" ht="12.75">
      <c r="R174" s="5"/>
      <c r="S174" s="5"/>
      <c r="T174" s="5"/>
      <c r="U174" s="5"/>
      <c r="W174" s="5"/>
      <c r="X174" s="5"/>
      <c r="Y174" s="5"/>
      <c r="Z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8:199" ht="12.75">
      <c r="R175" s="5"/>
      <c r="S175" s="5"/>
      <c r="T175" s="5"/>
      <c r="U175" s="5"/>
      <c r="W175" s="5"/>
      <c r="X175" s="5"/>
      <c r="Y175" s="5"/>
      <c r="Z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8:199" ht="12.75">
      <c r="R176" s="5"/>
      <c r="S176" s="5"/>
      <c r="T176" s="5"/>
      <c r="U176" s="5"/>
      <c r="W176" s="5"/>
      <c r="X176" s="5"/>
      <c r="Y176" s="5"/>
      <c r="Z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8:199" ht="12.75">
      <c r="R177" s="5"/>
      <c r="S177" s="5"/>
      <c r="T177" s="5"/>
      <c r="U177" s="5"/>
      <c r="W177" s="5"/>
      <c r="X177" s="5"/>
      <c r="Y177" s="5"/>
      <c r="Z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8:199" ht="12.75">
      <c r="R178" s="5"/>
      <c r="S178" s="5"/>
      <c r="T178" s="5"/>
      <c r="U178" s="5"/>
      <c r="W178" s="5"/>
      <c r="X178" s="5"/>
      <c r="Y178" s="5"/>
      <c r="Z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8:199" ht="12.75">
      <c r="R179" s="5"/>
      <c r="S179" s="5"/>
      <c r="T179" s="5"/>
      <c r="U179" s="5"/>
      <c r="W179" s="5"/>
      <c r="X179" s="5"/>
      <c r="Y179" s="5"/>
      <c r="Z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8:199" ht="12.75">
      <c r="R180" s="5"/>
      <c r="S180" s="5"/>
      <c r="T180" s="5"/>
      <c r="U180" s="5"/>
      <c r="W180" s="5"/>
      <c r="X180" s="5"/>
      <c r="Y180" s="5"/>
      <c r="Z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8:199" ht="12.75">
      <c r="R181" s="5"/>
      <c r="S181" s="5"/>
      <c r="T181" s="5"/>
      <c r="U181" s="5"/>
      <c r="W181" s="5"/>
      <c r="X181" s="5"/>
      <c r="Y181" s="5"/>
      <c r="Z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8:199" ht="12.75">
      <c r="R182" s="5"/>
      <c r="S182" s="5"/>
      <c r="T182" s="5"/>
      <c r="U182" s="5"/>
      <c r="W182" s="5"/>
      <c r="X182" s="5"/>
      <c r="Y182" s="5"/>
      <c r="Z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8:199" ht="12.75">
      <c r="R183" s="5"/>
      <c r="S183" s="5"/>
      <c r="T183" s="5"/>
      <c r="U183" s="5"/>
      <c r="W183" s="5"/>
      <c r="X183" s="5"/>
      <c r="Y183" s="5"/>
      <c r="Z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8:199" ht="12.75">
      <c r="R184" s="5"/>
      <c r="S184" s="5"/>
      <c r="T184" s="5"/>
      <c r="U184" s="5"/>
      <c r="W184" s="5"/>
      <c r="X184" s="5"/>
      <c r="Y184" s="5"/>
      <c r="Z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8:199" ht="12.75">
      <c r="R185" s="5"/>
      <c r="S185" s="5"/>
      <c r="T185" s="5"/>
      <c r="U185" s="5"/>
      <c r="W185" s="5"/>
      <c r="X185" s="5"/>
      <c r="Y185" s="5"/>
      <c r="Z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8:199" ht="12.75">
      <c r="R186" s="5"/>
      <c r="S186" s="5"/>
      <c r="T186" s="5"/>
      <c r="U186" s="5"/>
      <c r="W186" s="5"/>
      <c r="X186" s="5"/>
      <c r="Y186" s="5"/>
      <c r="Z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8:199" ht="12.75">
      <c r="R187" s="5"/>
      <c r="S187" s="5"/>
      <c r="T187" s="5"/>
      <c r="U187" s="5"/>
      <c r="W187" s="5"/>
      <c r="X187" s="5"/>
      <c r="Y187" s="5"/>
      <c r="Z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8:199" ht="12.75">
      <c r="R188" s="5"/>
      <c r="S188" s="5"/>
      <c r="T188" s="5"/>
      <c r="U188" s="5"/>
      <c r="W188" s="5"/>
      <c r="X188" s="5"/>
      <c r="Y188" s="5"/>
      <c r="Z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8:199" ht="12.75">
      <c r="R189" s="5"/>
      <c r="S189" s="5"/>
      <c r="T189" s="5"/>
      <c r="U189" s="5"/>
      <c r="W189" s="5"/>
      <c r="X189" s="5"/>
      <c r="Y189" s="5"/>
      <c r="Z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8:199" ht="12.75">
      <c r="R190" s="5"/>
      <c r="S190" s="5"/>
      <c r="T190" s="5"/>
      <c r="U190" s="5"/>
      <c r="W190" s="5"/>
      <c r="X190" s="5"/>
      <c r="Y190" s="5"/>
      <c r="Z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8:199" ht="12.75">
      <c r="R191" s="5"/>
      <c r="S191" s="5"/>
      <c r="T191" s="5"/>
      <c r="U191" s="5"/>
      <c r="W191" s="5"/>
      <c r="X191" s="5"/>
      <c r="Y191" s="5"/>
      <c r="Z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8:199" ht="12.75">
      <c r="R192" s="5"/>
      <c r="S192" s="5"/>
      <c r="T192" s="5"/>
      <c r="U192" s="5"/>
      <c r="W192" s="5"/>
      <c r="X192" s="5"/>
      <c r="Y192" s="5"/>
      <c r="Z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8:199" ht="12.75">
      <c r="R193" s="5"/>
      <c r="S193" s="5"/>
      <c r="T193" s="5"/>
      <c r="U193" s="5"/>
      <c r="W193" s="5"/>
      <c r="X193" s="5"/>
      <c r="Y193" s="5"/>
      <c r="Z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8:199" ht="12.75">
      <c r="R194" s="5"/>
      <c r="S194" s="5"/>
      <c r="T194" s="5"/>
      <c r="U194" s="5"/>
      <c r="W194" s="5"/>
      <c r="X194" s="5"/>
      <c r="Y194" s="5"/>
      <c r="Z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8:199" ht="12.75">
      <c r="R195" s="5"/>
      <c r="S195" s="5"/>
      <c r="T195" s="5"/>
      <c r="U195" s="5"/>
      <c r="W195" s="5"/>
      <c r="X195" s="5"/>
      <c r="Y195" s="5"/>
      <c r="Z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8:199" ht="12.75">
      <c r="R196" s="5"/>
      <c r="S196" s="5"/>
      <c r="T196" s="5"/>
      <c r="U196" s="5"/>
      <c r="W196" s="5"/>
      <c r="X196" s="5"/>
      <c r="Y196" s="5"/>
      <c r="Z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8:199" ht="12.75">
      <c r="R197" s="5"/>
      <c r="S197" s="5"/>
      <c r="T197" s="5"/>
      <c r="U197" s="5"/>
      <c r="W197" s="5"/>
      <c r="X197" s="5"/>
      <c r="Y197" s="5"/>
      <c r="Z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8:199" ht="12.75">
      <c r="R198" s="5"/>
      <c r="S198" s="5"/>
      <c r="T198" s="5"/>
      <c r="U198" s="5"/>
      <c r="W198" s="5"/>
      <c r="X198" s="5"/>
      <c r="Y198" s="5"/>
      <c r="Z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8:199" ht="12.75">
      <c r="R199" s="5"/>
      <c r="S199" s="5"/>
      <c r="T199" s="5"/>
      <c r="U199" s="5"/>
      <c r="W199" s="5"/>
      <c r="X199" s="5"/>
      <c r="Y199" s="5"/>
      <c r="Z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8:199" ht="12.75">
      <c r="R200" s="5"/>
      <c r="S200" s="5"/>
      <c r="T200" s="5"/>
      <c r="U200" s="5"/>
      <c r="W200" s="5"/>
      <c r="X200" s="5"/>
      <c r="Y200" s="5"/>
      <c r="Z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8:199" ht="12.75">
      <c r="R201" s="5"/>
      <c r="S201" s="5"/>
      <c r="T201" s="5"/>
      <c r="U201" s="5"/>
      <c r="W201" s="5"/>
      <c r="X201" s="5"/>
      <c r="Y201" s="5"/>
      <c r="Z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8:199" ht="12.75">
      <c r="R202" s="5"/>
      <c r="S202" s="5"/>
      <c r="T202" s="5"/>
      <c r="U202" s="5"/>
      <c r="W202" s="5"/>
      <c r="X202" s="5"/>
      <c r="Y202" s="5"/>
      <c r="Z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8:199" ht="12.75">
      <c r="R203" s="5"/>
      <c r="S203" s="5"/>
      <c r="T203" s="5"/>
      <c r="U203" s="5"/>
      <c r="W203" s="5"/>
      <c r="X203" s="5"/>
      <c r="Y203" s="5"/>
      <c r="Z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8:199" ht="12.75">
      <c r="R204" s="5"/>
      <c r="S204" s="5"/>
      <c r="T204" s="5"/>
      <c r="U204" s="5"/>
      <c r="W204" s="5"/>
      <c r="X204" s="5"/>
      <c r="Y204" s="5"/>
      <c r="Z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8:199" ht="12.75">
      <c r="R205" s="5"/>
      <c r="S205" s="5"/>
      <c r="T205" s="5"/>
      <c r="U205" s="5"/>
      <c r="W205" s="5"/>
      <c r="X205" s="5"/>
      <c r="Y205" s="5"/>
      <c r="Z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8:199" ht="12.75">
      <c r="R206" s="5"/>
      <c r="S206" s="5"/>
      <c r="T206" s="5"/>
      <c r="U206" s="5"/>
      <c r="W206" s="5"/>
      <c r="X206" s="5"/>
      <c r="Y206" s="5"/>
      <c r="Z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8:199" ht="12.75">
      <c r="R207" s="5"/>
      <c r="S207" s="5"/>
      <c r="T207" s="5"/>
      <c r="U207" s="5"/>
      <c r="W207" s="5"/>
      <c r="X207" s="5"/>
      <c r="Y207" s="5"/>
      <c r="Z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8:199" ht="12.75">
      <c r="R208" s="5"/>
      <c r="S208" s="5"/>
      <c r="T208" s="5"/>
      <c r="U208" s="5"/>
      <c r="W208" s="5"/>
      <c r="X208" s="5"/>
      <c r="Y208" s="5"/>
      <c r="Z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8:199" ht="12.75">
      <c r="R209" s="5"/>
      <c r="S209" s="5"/>
      <c r="T209" s="5"/>
      <c r="U209" s="5"/>
      <c r="W209" s="5"/>
      <c r="X209" s="5"/>
      <c r="Y209" s="5"/>
      <c r="Z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8:199" ht="12.75">
      <c r="R210" s="5"/>
      <c r="S210" s="5"/>
      <c r="T210" s="5"/>
      <c r="U210" s="5"/>
      <c r="W210" s="5"/>
      <c r="X210" s="5"/>
      <c r="Y210" s="5"/>
      <c r="Z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8:199" ht="12.75">
      <c r="R211" s="5"/>
      <c r="S211" s="5"/>
      <c r="T211" s="5"/>
      <c r="U211" s="5"/>
      <c r="W211" s="5"/>
      <c r="X211" s="5"/>
      <c r="Y211" s="5"/>
      <c r="Z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8:199" ht="12.75">
      <c r="R212" s="5"/>
      <c r="S212" s="5"/>
      <c r="T212" s="5"/>
      <c r="U212" s="5"/>
      <c r="W212" s="5"/>
      <c r="X212" s="5"/>
      <c r="Y212" s="5"/>
      <c r="Z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8:199" ht="12.75">
      <c r="R213" s="5"/>
      <c r="S213" s="5"/>
      <c r="T213" s="5"/>
      <c r="U213" s="5"/>
      <c r="W213" s="5"/>
      <c r="X213" s="5"/>
      <c r="Y213" s="5"/>
      <c r="Z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8:199" ht="12.75">
      <c r="R214" s="5"/>
      <c r="S214" s="5"/>
      <c r="T214" s="5"/>
      <c r="U214" s="5"/>
      <c r="W214" s="5"/>
      <c r="X214" s="5"/>
      <c r="Y214" s="5"/>
      <c r="Z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8:199" ht="12.75">
      <c r="R215" s="5"/>
      <c r="S215" s="5"/>
      <c r="T215" s="5"/>
      <c r="U215" s="5"/>
      <c r="W215" s="5"/>
      <c r="X215" s="5"/>
      <c r="Y215" s="5"/>
      <c r="Z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8:199" ht="12.75">
      <c r="R216" s="5"/>
      <c r="S216" s="5"/>
      <c r="T216" s="5"/>
      <c r="U216" s="5"/>
      <c r="W216" s="5"/>
      <c r="X216" s="5"/>
      <c r="Y216" s="5"/>
      <c r="Z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8:199" ht="12.75">
      <c r="R217" s="5"/>
      <c r="S217" s="5"/>
      <c r="T217" s="5"/>
      <c r="U217" s="5"/>
      <c r="W217" s="5"/>
      <c r="X217" s="5"/>
      <c r="Y217" s="5"/>
      <c r="Z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8:199" ht="12.75">
      <c r="R218" s="5"/>
      <c r="S218" s="5"/>
      <c r="T218" s="5"/>
      <c r="U218" s="5"/>
      <c r="W218" s="5"/>
      <c r="X218" s="5"/>
      <c r="Y218" s="5"/>
      <c r="Z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8:199" ht="12.75">
      <c r="R219" s="5"/>
      <c r="S219" s="5"/>
      <c r="T219" s="5"/>
      <c r="U219" s="5"/>
      <c r="W219" s="5"/>
      <c r="X219" s="5"/>
      <c r="Y219" s="5"/>
      <c r="Z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8:199" ht="12.75">
      <c r="R220" s="5"/>
      <c r="S220" s="5"/>
      <c r="T220" s="5"/>
      <c r="U220" s="5"/>
      <c r="W220" s="5"/>
      <c r="X220" s="5"/>
      <c r="Y220" s="5"/>
      <c r="Z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8:199" ht="12.75">
      <c r="R221" s="5"/>
      <c r="S221" s="5"/>
      <c r="T221" s="5"/>
      <c r="U221" s="5"/>
      <c r="W221" s="5"/>
      <c r="X221" s="5"/>
      <c r="Y221" s="5"/>
      <c r="Z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8:199" ht="12.75">
      <c r="R222" s="5"/>
      <c r="S222" s="5"/>
      <c r="T222" s="5"/>
      <c r="U222" s="5"/>
      <c r="W222" s="5"/>
      <c r="X222" s="5"/>
      <c r="Y222" s="5"/>
      <c r="Z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8:199" ht="12.75">
      <c r="R223" s="5"/>
      <c r="S223" s="5"/>
      <c r="T223" s="5"/>
      <c r="U223" s="5"/>
      <c r="W223" s="5"/>
      <c r="X223" s="5"/>
      <c r="Y223" s="5"/>
      <c r="Z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8:199" ht="12.75">
      <c r="R224" s="5"/>
      <c r="S224" s="5"/>
      <c r="T224" s="5"/>
      <c r="U224" s="5"/>
      <c r="W224" s="5"/>
      <c r="X224" s="5"/>
      <c r="Y224" s="5"/>
      <c r="Z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8:199" ht="12.75">
      <c r="R225" s="5"/>
      <c r="S225" s="5"/>
      <c r="T225" s="5"/>
      <c r="U225" s="5"/>
      <c r="W225" s="5"/>
      <c r="X225" s="5"/>
      <c r="Y225" s="5"/>
      <c r="Z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8:199" ht="12.75">
      <c r="R226" s="5"/>
      <c r="S226" s="5"/>
      <c r="T226" s="5"/>
      <c r="U226" s="5"/>
      <c r="W226" s="5"/>
      <c r="X226" s="5"/>
      <c r="Y226" s="5"/>
      <c r="Z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8:199" ht="12.75">
      <c r="R227" s="5"/>
      <c r="S227" s="5"/>
      <c r="T227" s="5"/>
      <c r="U227" s="5"/>
      <c r="W227" s="5"/>
      <c r="X227" s="5"/>
      <c r="Y227" s="5"/>
      <c r="Z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8:199" ht="12.75">
      <c r="R228" s="5"/>
      <c r="S228" s="5"/>
      <c r="T228" s="5"/>
      <c r="U228" s="5"/>
      <c r="W228" s="5"/>
      <c r="X228" s="5"/>
      <c r="Y228" s="5"/>
      <c r="Z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8:199" ht="12.75">
      <c r="R229" s="5"/>
      <c r="S229" s="5"/>
      <c r="T229" s="5"/>
      <c r="U229" s="5"/>
      <c r="W229" s="5"/>
      <c r="X229" s="5"/>
      <c r="Y229" s="5"/>
      <c r="Z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8:199" ht="12.75">
      <c r="R230" s="5"/>
      <c r="S230" s="5"/>
      <c r="T230" s="5"/>
      <c r="U230" s="5"/>
      <c r="W230" s="5"/>
      <c r="X230" s="5"/>
      <c r="Y230" s="5"/>
      <c r="Z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8:199" ht="12.75">
      <c r="R231" s="5"/>
      <c r="S231" s="5"/>
      <c r="T231" s="5"/>
      <c r="U231" s="5"/>
      <c r="W231" s="5"/>
      <c r="X231" s="5"/>
      <c r="Y231" s="5"/>
      <c r="Z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8:199" ht="12.75">
      <c r="R232" s="5"/>
      <c r="S232" s="5"/>
      <c r="T232" s="5"/>
      <c r="U232" s="5"/>
      <c r="W232" s="5"/>
      <c r="X232" s="5"/>
      <c r="Y232" s="5"/>
      <c r="Z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8:199" ht="12.75">
      <c r="R233" s="5"/>
      <c r="S233" s="5"/>
      <c r="T233" s="5"/>
      <c r="U233" s="5"/>
      <c r="W233" s="5"/>
      <c r="X233" s="5"/>
      <c r="Y233" s="5"/>
      <c r="Z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8:199" ht="12.75">
      <c r="R234" s="5"/>
      <c r="S234" s="5"/>
      <c r="T234" s="5"/>
      <c r="U234" s="5"/>
      <c r="W234" s="5"/>
      <c r="X234" s="5"/>
      <c r="Y234" s="5"/>
      <c r="Z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8:199" ht="12.75">
      <c r="R235" s="5"/>
      <c r="S235" s="5"/>
      <c r="T235" s="5"/>
      <c r="U235" s="5"/>
      <c r="W235" s="5"/>
      <c r="X235" s="5"/>
      <c r="Y235" s="5"/>
      <c r="Z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8:199" ht="12.75">
      <c r="R236" s="5"/>
      <c r="S236" s="5"/>
      <c r="T236" s="5"/>
      <c r="U236" s="5"/>
      <c r="W236" s="5"/>
      <c r="X236" s="5"/>
      <c r="Y236" s="5"/>
      <c r="Z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8:199" ht="12.75">
      <c r="R237" s="5"/>
      <c r="S237" s="5"/>
      <c r="T237" s="5"/>
      <c r="U237" s="5"/>
      <c r="W237" s="5"/>
      <c r="X237" s="5"/>
      <c r="Y237" s="5"/>
      <c r="Z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8:199" ht="12.75">
      <c r="R238" s="5"/>
      <c r="S238" s="5"/>
      <c r="T238" s="5"/>
      <c r="U238" s="5"/>
      <c r="W238" s="5"/>
      <c r="X238" s="5"/>
      <c r="Y238" s="5"/>
      <c r="Z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8:199" ht="12.75">
      <c r="R239" s="5"/>
      <c r="S239" s="5"/>
      <c r="T239" s="5"/>
      <c r="U239" s="5"/>
      <c r="W239" s="5"/>
      <c r="X239" s="5"/>
      <c r="Y239" s="5"/>
      <c r="Z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8:199" ht="12.75">
      <c r="R240" s="5"/>
      <c r="S240" s="5"/>
      <c r="T240" s="5"/>
      <c r="U240" s="5"/>
      <c r="W240" s="5"/>
      <c r="X240" s="5"/>
      <c r="Y240" s="5"/>
      <c r="Z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8:199" ht="12.75">
      <c r="R241" s="5"/>
      <c r="S241" s="5"/>
      <c r="T241" s="5"/>
      <c r="U241" s="5"/>
      <c r="W241" s="5"/>
      <c r="X241" s="5"/>
      <c r="Y241" s="5"/>
      <c r="Z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8:199" ht="12.75">
      <c r="R242" s="5"/>
      <c r="S242" s="5"/>
      <c r="T242" s="5"/>
      <c r="U242" s="5"/>
      <c r="W242" s="5"/>
      <c r="X242" s="5"/>
      <c r="Y242" s="5"/>
      <c r="Z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8:199" ht="12.75">
      <c r="R243" s="5"/>
      <c r="S243" s="5"/>
      <c r="T243" s="5"/>
      <c r="U243" s="5"/>
      <c r="W243" s="5"/>
      <c r="X243" s="5"/>
      <c r="Y243" s="5"/>
      <c r="Z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8:199" ht="12.75">
      <c r="R244" s="5"/>
      <c r="S244" s="5"/>
      <c r="T244" s="5"/>
      <c r="U244" s="5"/>
      <c r="W244" s="5"/>
      <c r="X244" s="5"/>
      <c r="Y244" s="5"/>
      <c r="Z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8:199" ht="12.75">
      <c r="R245" s="5"/>
      <c r="S245" s="5"/>
      <c r="T245" s="5"/>
      <c r="U245" s="5"/>
      <c r="W245" s="5"/>
      <c r="X245" s="5"/>
      <c r="Y245" s="5"/>
      <c r="Z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8:199" ht="12.75">
      <c r="R246" s="5"/>
      <c r="S246" s="5"/>
      <c r="T246" s="5"/>
      <c r="U246" s="5"/>
      <c r="W246" s="5"/>
      <c r="X246" s="5"/>
      <c r="Y246" s="5"/>
      <c r="Z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8:199" ht="12.75">
      <c r="R247" s="5"/>
      <c r="S247" s="5"/>
      <c r="T247" s="5"/>
      <c r="U247" s="5"/>
      <c r="W247" s="5"/>
      <c r="X247" s="5"/>
      <c r="Y247" s="5"/>
      <c r="Z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8:199" ht="12.75">
      <c r="R248" s="5"/>
      <c r="S248" s="5"/>
      <c r="T248" s="5"/>
      <c r="U248" s="5"/>
      <c r="W248" s="5"/>
      <c r="X248" s="5"/>
      <c r="Y248" s="5"/>
      <c r="Z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8:199" ht="12.75">
      <c r="R249" s="5"/>
      <c r="S249" s="5"/>
      <c r="T249" s="5"/>
      <c r="U249" s="5"/>
      <c r="W249" s="5"/>
      <c r="X249" s="5"/>
      <c r="Y249" s="5"/>
      <c r="Z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8:199" ht="12.75">
      <c r="R250" s="5"/>
      <c r="S250" s="5"/>
      <c r="T250" s="5"/>
      <c r="U250" s="5"/>
      <c r="W250" s="5"/>
      <c r="X250" s="5"/>
      <c r="Y250" s="5"/>
      <c r="Z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8:199" ht="12.75">
      <c r="R251" s="5"/>
      <c r="S251" s="5"/>
      <c r="T251" s="5"/>
      <c r="U251" s="5"/>
      <c r="W251" s="5"/>
      <c r="X251" s="5"/>
      <c r="Y251" s="5"/>
      <c r="Z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8:199" ht="12.75">
      <c r="R252" s="5"/>
      <c r="S252" s="5"/>
      <c r="T252" s="5"/>
      <c r="U252" s="5"/>
      <c r="W252" s="5"/>
      <c r="X252" s="5"/>
      <c r="Y252" s="5"/>
      <c r="Z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8:199" ht="12.75">
      <c r="R253" s="5"/>
      <c r="S253" s="5"/>
      <c r="T253" s="5"/>
      <c r="U253" s="5"/>
      <c r="W253" s="5"/>
      <c r="X253" s="5"/>
      <c r="Y253" s="5"/>
      <c r="Z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8:199" ht="12.75">
      <c r="R254" s="5"/>
      <c r="S254" s="5"/>
      <c r="T254" s="5"/>
      <c r="U254" s="5"/>
      <c r="W254" s="5"/>
      <c r="X254" s="5"/>
      <c r="Y254" s="5"/>
      <c r="Z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8:199" ht="12.75">
      <c r="R255" s="5"/>
      <c r="S255" s="5"/>
      <c r="T255" s="5"/>
      <c r="U255" s="5"/>
      <c r="W255" s="5"/>
      <c r="X255" s="5"/>
      <c r="Y255" s="5"/>
      <c r="Z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8:199" ht="12.75">
      <c r="R256" s="5"/>
      <c r="S256" s="5"/>
      <c r="T256" s="5"/>
      <c r="U256" s="5"/>
      <c r="W256" s="5"/>
      <c r="X256" s="5"/>
      <c r="Y256" s="5"/>
      <c r="Z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8:199" ht="12.75">
      <c r="R257" s="5"/>
      <c r="S257" s="5"/>
      <c r="T257" s="5"/>
      <c r="U257" s="5"/>
      <c r="W257" s="5"/>
      <c r="X257" s="5"/>
      <c r="Y257" s="5"/>
      <c r="Z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8:199" ht="12.75">
      <c r="R258" s="5"/>
      <c r="S258" s="5"/>
      <c r="T258" s="5"/>
      <c r="U258" s="5"/>
      <c r="W258" s="5"/>
      <c r="X258" s="5"/>
      <c r="Y258" s="5"/>
      <c r="Z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8:199" ht="12.75">
      <c r="R259" s="5"/>
      <c r="S259" s="5"/>
      <c r="T259" s="5"/>
      <c r="U259" s="5"/>
      <c r="W259" s="5"/>
      <c r="X259" s="5"/>
      <c r="Y259" s="5"/>
      <c r="Z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8:199" ht="12.75">
      <c r="R260" s="5"/>
      <c r="S260" s="5"/>
      <c r="T260" s="5"/>
      <c r="U260" s="5"/>
      <c r="W260" s="5"/>
      <c r="X260" s="5"/>
      <c r="Y260" s="5"/>
      <c r="Z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8:199" ht="12.75">
      <c r="R261" s="5"/>
      <c r="S261" s="5"/>
      <c r="T261" s="5"/>
      <c r="U261" s="5"/>
      <c r="W261" s="5"/>
      <c r="X261" s="5"/>
      <c r="Y261" s="5"/>
      <c r="Z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8:199" ht="12.75">
      <c r="R262" s="5"/>
      <c r="S262" s="5"/>
      <c r="T262" s="5"/>
      <c r="U262" s="5"/>
      <c r="W262" s="5"/>
      <c r="X262" s="5"/>
      <c r="Y262" s="5"/>
      <c r="Z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8:199" ht="12.75">
      <c r="R263" s="5"/>
      <c r="S263" s="5"/>
      <c r="T263" s="5"/>
      <c r="U263" s="5"/>
      <c r="W263" s="5"/>
      <c r="X263" s="5"/>
      <c r="Y263" s="5"/>
      <c r="Z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8:199" ht="12.75">
      <c r="R264" s="5"/>
      <c r="S264" s="5"/>
      <c r="T264" s="5"/>
      <c r="U264" s="5"/>
      <c r="W264" s="5"/>
      <c r="X264" s="5"/>
      <c r="Y264" s="5"/>
      <c r="Z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8:199" ht="12.75">
      <c r="R265" s="5"/>
      <c r="S265" s="5"/>
      <c r="T265" s="5"/>
      <c r="U265" s="5"/>
      <c r="W265" s="5"/>
      <c r="X265" s="5"/>
      <c r="Y265" s="5"/>
      <c r="Z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8:199" ht="12.75">
      <c r="R266" s="5"/>
      <c r="S266" s="5"/>
      <c r="T266" s="5"/>
      <c r="U266" s="5"/>
      <c r="W266" s="5"/>
      <c r="X266" s="5"/>
      <c r="Y266" s="5"/>
      <c r="Z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8:199" ht="12.75">
      <c r="R267" s="5"/>
      <c r="S267" s="5"/>
      <c r="T267" s="5"/>
      <c r="U267" s="5"/>
      <c r="W267" s="5"/>
      <c r="X267" s="5"/>
      <c r="Y267" s="5"/>
      <c r="Z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8:199" ht="12.75">
      <c r="R268" s="5"/>
      <c r="S268" s="5"/>
      <c r="T268" s="5"/>
      <c r="U268" s="5"/>
      <c r="W268" s="5"/>
      <c r="X268" s="5"/>
      <c r="Y268" s="5"/>
      <c r="Z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8:199" ht="12.75">
      <c r="R269" s="5"/>
      <c r="S269" s="5"/>
      <c r="T269" s="5"/>
      <c r="U269" s="5"/>
      <c r="W269" s="5"/>
      <c r="X269" s="5"/>
      <c r="Y269" s="5"/>
      <c r="Z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8:199" ht="12.75">
      <c r="R270" s="5"/>
      <c r="S270" s="5"/>
      <c r="T270" s="5"/>
      <c r="U270" s="5"/>
      <c r="W270" s="5"/>
      <c r="X270" s="5"/>
      <c r="Y270" s="5"/>
      <c r="Z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</row>
    <row r="271" spans="18:199" ht="12.75">
      <c r="R271" s="5"/>
      <c r="S271" s="5"/>
      <c r="T271" s="5"/>
      <c r="U271" s="5"/>
      <c r="W271" s="5"/>
      <c r="X271" s="5"/>
      <c r="Y271" s="5"/>
      <c r="Z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</row>
    <row r="272" spans="18:199" ht="12.75">
      <c r="R272" s="5"/>
      <c r="S272" s="5"/>
      <c r="T272" s="5"/>
      <c r="U272" s="5"/>
      <c r="W272" s="5"/>
      <c r="X272" s="5"/>
      <c r="Y272" s="5"/>
      <c r="Z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</row>
    <row r="273" spans="18:199" ht="12.75">
      <c r="R273" s="5"/>
      <c r="S273" s="5"/>
      <c r="T273" s="5"/>
      <c r="U273" s="5"/>
      <c r="W273" s="5"/>
      <c r="X273" s="5"/>
      <c r="Y273" s="5"/>
      <c r="Z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</row>
    <row r="274" spans="18:199" ht="12.75">
      <c r="R274" s="5"/>
      <c r="S274" s="5"/>
      <c r="T274" s="5"/>
      <c r="U274" s="5"/>
      <c r="W274" s="5"/>
      <c r="X274" s="5"/>
      <c r="Y274" s="5"/>
      <c r="Z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</row>
    <row r="275" spans="18:199" ht="12.75">
      <c r="R275" s="5"/>
      <c r="S275" s="5"/>
      <c r="T275" s="5"/>
      <c r="U275" s="5"/>
      <c r="W275" s="5"/>
      <c r="X275" s="5"/>
      <c r="Y275" s="5"/>
      <c r="Z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</row>
    <row r="276" spans="18:199" ht="12.75">
      <c r="R276" s="5"/>
      <c r="S276" s="5"/>
      <c r="T276" s="5"/>
      <c r="U276" s="5"/>
      <c r="W276" s="5"/>
      <c r="X276" s="5"/>
      <c r="Y276" s="5"/>
      <c r="Z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</row>
    <row r="277" spans="18:199" ht="12.75">
      <c r="R277" s="5"/>
      <c r="S277" s="5"/>
      <c r="T277" s="5"/>
      <c r="U277" s="5"/>
      <c r="W277" s="5"/>
      <c r="X277" s="5"/>
      <c r="Y277" s="5"/>
      <c r="Z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</row>
    <row r="278" spans="18:199" ht="12.75">
      <c r="R278" s="5"/>
      <c r="S278" s="5"/>
      <c r="T278" s="5"/>
      <c r="U278" s="5"/>
      <c r="W278" s="5"/>
      <c r="X278" s="5"/>
      <c r="Y278" s="5"/>
      <c r="Z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</row>
    <row r="279" spans="18:199" ht="12.75">
      <c r="R279" s="5"/>
      <c r="S279" s="5"/>
      <c r="T279" s="5"/>
      <c r="U279" s="5"/>
      <c r="W279" s="5"/>
      <c r="X279" s="5"/>
      <c r="Y279" s="5"/>
      <c r="Z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</row>
    <row r="280" spans="18:199" ht="12.75">
      <c r="R280" s="5"/>
      <c r="S280" s="5"/>
      <c r="T280" s="5"/>
      <c r="U280" s="5"/>
      <c r="W280" s="5"/>
      <c r="X280" s="5"/>
      <c r="Y280" s="5"/>
      <c r="Z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</row>
    <row r="281" spans="18:199" ht="12.75">
      <c r="R281" s="5"/>
      <c r="S281" s="5"/>
      <c r="T281" s="5"/>
      <c r="U281" s="5"/>
      <c r="W281" s="5"/>
      <c r="X281" s="5"/>
      <c r="Y281" s="5"/>
      <c r="Z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</row>
    <row r="282" spans="18:199" ht="12.75">
      <c r="R282" s="5"/>
      <c r="S282" s="5"/>
      <c r="T282" s="5"/>
      <c r="U282" s="5"/>
      <c r="W282" s="5"/>
      <c r="X282" s="5"/>
      <c r="Y282" s="5"/>
      <c r="Z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</row>
    <row r="283" spans="18:199" ht="12.75">
      <c r="R283" s="5"/>
      <c r="S283" s="5"/>
      <c r="T283" s="5"/>
      <c r="U283" s="5"/>
      <c r="W283" s="5"/>
      <c r="X283" s="5"/>
      <c r="Y283" s="5"/>
      <c r="Z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</row>
    <row r="284" spans="18:199" ht="12.75">
      <c r="R284" s="5"/>
      <c r="S284" s="5"/>
      <c r="T284" s="5"/>
      <c r="U284" s="5"/>
      <c r="W284" s="5"/>
      <c r="X284" s="5"/>
      <c r="Y284" s="5"/>
      <c r="Z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</row>
    <row r="285" spans="18:199" ht="12.75">
      <c r="R285" s="5"/>
      <c r="S285" s="5"/>
      <c r="T285" s="5"/>
      <c r="U285" s="5"/>
      <c r="W285" s="5"/>
      <c r="X285" s="5"/>
      <c r="Y285" s="5"/>
      <c r="Z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</row>
    <row r="286" spans="18:199" ht="12.75">
      <c r="R286" s="5"/>
      <c r="S286" s="5"/>
      <c r="T286" s="5"/>
      <c r="U286" s="5"/>
      <c r="W286" s="5"/>
      <c r="X286" s="5"/>
      <c r="Y286" s="5"/>
      <c r="Z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</row>
    <row r="287" spans="18:199" ht="12.75">
      <c r="R287" s="5"/>
      <c r="S287" s="5"/>
      <c r="T287" s="5"/>
      <c r="U287" s="5"/>
      <c r="W287" s="5"/>
      <c r="X287" s="5"/>
      <c r="Y287" s="5"/>
      <c r="Z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</row>
    <row r="288" spans="18:199" ht="12.75">
      <c r="R288" s="5"/>
      <c r="S288" s="5"/>
      <c r="T288" s="5"/>
      <c r="U288" s="5"/>
      <c r="W288" s="5"/>
      <c r="X288" s="5"/>
      <c r="Y288" s="5"/>
      <c r="Z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</row>
    <row r="289" spans="18:199" ht="12.75">
      <c r="R289" s="5"/>
      <c r="S289" s="5"/>
      <c r="T289" s="5"/>
      <c r="U289" s="5"/>
      <c r="W289" s="5"/>
      <c r="X289" s="5"/>
      <c r="Y289" s="5"/>
      <c r="Z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</row>
    <row r="290" spans="18:199" ht="12.75">
      <c r="R290" s="5"/>
      <c r="S290" s="5"/>
      <c r="T290" s="5"/>
      <c r="U290" s="5"/>
      <c r="W290" s="5"/>
      <c r="X290" s="5"/>
      <c r="Y290" s="5"/>
      <c r="Z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</row>
    <row r="291" spans="18:199" ht="12.75">
      <c r="R291" s="5"/>
      <c r="S291" s="5"/>
      <c r="T291" s="5"/>
      <c r="U291" s="5"/>
      <c r="W291" s="5"/>
      <c r="X291" s="5"/>
      <c r="Y291" s="5"/>
      <c r="Z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</row>
    <row r="292" spans="18:199" ht="12.75">
      <c r="R292" s="5"/>
      <c r="S292" s="5"/>
      <c r="T292" s="5"/>
      <c r="U292" s="5"/>
      <c r="W292" s="5"/>
      <c r="X292" s="5"/>
      <c r="Y292" s="5"/>
      <c r="Z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</row>
    <row r="293" spans="18:199" ht="12.75">
      <c r="R293" s="5"/>
      <c r="S293" s="5"/>
      <c r="T293" s="5"/>
      <c r="U293" s="5"/>
      <c r="W293" s="5"/>
      <c r="X293" s="5"/>
      <c r="Y293" s="5"/>
      <c r="Z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</row>
    <row r="294" spans="18:199" ht="12.75">
      <c r="R294" s="5"/>
      <c r="S294" s="5"/>
      <c r="T294" s="5"/>
      <c r="U294" s="5"/>
      <c r="W294" s="5"/>
      <c r="X294" s="5"/>
      <c r="Y294" s="5"/>
      <c r="Z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</row>
    <row r="295" spans="18:199" ht="12.75">
      <c r="R295" s="5"/>
      <c r="S295" s="5"/>
      <c r="T295" s="5"/>
      <c r="U295" s="5"/>
      <c r="W295" s="5"/>
      <c r="X295" s="5"/>
      <c r="Y295" s="5"/>
      <c r="Z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</row>
    <row r="296" spans="18:199" ht="12.75">
      <c r="R296" s="5"/>
      <c r="S296" s="5"/>
      <c r="T296" s="5"/>
      <c r="U296" s="5"/>
      <c r="W296" s="5"/>
      <c r="X296" s="5"/>
      <c r="Y296" s="5"/>
      <c r="Z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</row>
    <row r="297" spans="18:199" ht="12.75">
      <c r="R297" s="5"/>
      <c r="S297" s="5"/>
      <c r="T297" s="5"/>
      <c r="U297" s="5"/>
      <c r="W297" s="5"/>
      <c r="X297" s="5"/>
      <c r="Y297" s="5"/>
      <c r="Z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</row>
    <row r="298" spans="18:199" ht="12.75">
      <c r="R298" s="5"/>
      <c r="S298" s="5"/>
      <c r="T298" s="5"/>
      <c r="U298" s="5"/>
      <c r="W298" s="5"/>
      <c r="X298" s="5"/>
      <c r="Y298" s="5"/>
      <c r="Z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</row>
    <row r="299" spans="18:199" ht="12.75">
      <c r="R299" s="5"/>
      <c r="S299" s="5"/>
      <c r="T299" s="5"/>
      <c r="U299" s="5"/>
      <c r="W299" s="5"/>
      <c r="X299" s="5"/>
      <c r="Y299" s="5"/>
      <c r="Z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</row>
    <row r="300" spans="18:199" ht="12.75">
      <c r="R300" s="5"/>
      <c r="S300" s="5"/>
      <c r="T300" s="5"/>
      <c r="U300" s="5"/>
      <c r="W300" s="5"/>
      <c r="X300" s="5"/>
      <c r="Y300" s="5"/>
      <c r="Z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</row>
    <row r="301" spans="18:199" ht="12.75">
      <c r="R301" s="5"/>
      <c r="S301" s="5"/>
      <c r="T301" s="5"/>
      <c r="U301" s="5"/>
      <c r="W301" s="5"/>
      <c r="X301" s="5"/>
      <c r="Y301" s="5"/>
      <c r="Z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</row>
    <row r="302" spans="18:199" ht="12.75">
      <c r="R302" s="5"/>
      <c r="S302" s="5"/>
      <c r="T302" s="5"/>
      <c r="U302" s="5"/>
      <c r="W302" s="5"/>
      <c r="X302" s="5"/>
      <c r="Y302" s="5"/>
      <c r="Z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</row>
    <row r="303" spans="18:199" ht="12.75">
      <c r="R303" s="5"/>
      <c r="S303" s="5"/>
      <c r="T303" s="5"/>
      <c r="U303" s="5"/>
      <c r="W303" s="5"/>
      <c r="X303" s="5"/>
      <c r="Y303" s="5"/>
      <c r="Z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</row>
    <row r="304" spans="18:199" ht="12.75">
      <c r="R304" s="5"/>
      <c r="S304" s="5"/>
      <c r="T304" s="5"/>
      <c r="U304" s="5"/>
      <c r="W304" s="5"/>
      <c r="X304" s="5"/>
      <c r="Y304" s="5"/>
      <c r="Z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</row>
    <row r="305" spans="18:199" ht="12.75">
      <c r="R305" s="5"/>
      <c r="S305" s="5"/>
      <c r="T305" s="5"/>
      <c r="U305" s="5"/>
      <c r="W305" s="5"/>
      <c r="X305" s="5"/>
      <c r="Y305" s="5"/>
      <c r="Z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</row>
    <row r="306" spans="18:199" ht="12.75">
      <c r="R306" s="5"/>
      <c r="S306" s="5"/>
      <c r="T306" s="5"/>
      <c r="U306" s="5"/>
      <c r="W306" s="5"/>
      <c r="X306" s="5"/>
      <c r="Y306" s="5"/>
      <c r="Z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</row>
    <row r="307" spans="18:199" ht="12.75">
      <c r="R307" s="5"/>
      <c r="S307" s="5"/>
      <c r="T307" s="5"/>
      <c r="U307" s="5"/>
      <c r="W307" s="5"/>
      <c r="X307" s="5"/>
      <c r="Y307" s="5"/>
      <c r="Z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</row>
    <row r="308" spans="18:199" ht="12.75">
      <c r="R308" s="5"/>
      <c r="S308" s="5"/>
      <c r="T308" s="5"/>
      <c r="U308" s="5"/>
      <c r="W308" s="5"/>
      <c r="X308" s="5"/>
      <c r="Y308" s="5"/>
      <c r="Z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</row>
    <row r="309" spans="18:199" ht="12.75">
      <c r="R309" s="5"/>
      <c r="S309" s="5"/>
      <c r="T309" s="5"/>
      <c r="U309" s="5"/>
      <c r="W309" s="5"/>
      <c r="X309" s="5"/>
      <c r="Y309" s="5"/>
      <c r="Z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</row>
    <row r="310" spans="18:199" ht="12.75">
      <c r="R310" s="5"/>
      <c r="S310" s="5"/>
      <c r="T310" s="5"/>
      <c r="U310" s="5"/>
      <c r="W310" s="5"/>
      <c r="X310" s="5"/>
      <c r="Y310" s="5"/>
      <c r="Z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</row>
    <row r="311" spans="18:199" ht="12.75">
      <c r="R311" s="5"/>
      <c r="S311" s="5"/>
      <c r="T311" s="5"/>
      <c r="U311" s="5"/>
      <c r="W311" s="5"/>
      <c r="X311" s="5"/>
      <c r="Y311" s="5"/>
      <c r="Z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</row>
    <row r="312" spans="18:199" ht="12.75">
      <c r="R312" s="5"/>
      <c r="S312" s="5"/>
      <c r="T312" s="5"/>
      <c r="U312" s="5"/>
      <c r="W312" s="5"/>
      <c r="X312" s="5"/>
      <c r="Y312" s="5"/>
      <c r="Z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</row>
    <row r="313" spans="18:199" ht="12.75">
      <c r="R313" s="5"/>
      <c r="S313" s="5"/>
      <c r="T313" s="5"/>
      <c r="U313" s="5"/>
      <c r="W313" s="5"/>
      <c r="X313" s="5"/>
      <c r="Y313" s="5"/>
      <c r="Z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</row>
    <row r="314" spans="18:199" ht="12.75">
      <c r="R314" s="5"/>
      <c r="S314" s="5"/>
      <c r="T314" s="5"/>
      <c r="U314" s="5"/>
      <c r="W314" s="5"/>
      <c r="X314" s="5"/>
      <c r="Y314" s="5"/>
      <c r="Z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</row>
    <row r="315" spans="18:199" ht="12.75">
      <c r="R315" s="5"/>
      <c r="S315" s="5"/>
      <c r="T315" s="5"/>
      <c r="U315" s="5"/>
      <c r="W315" s="5"/>
      <c r="X315" s="5"/>
      <c r="Y315" s="5"/>
      <c r="Z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</row>
    <row r="316" spans="18:199" ht="12.75">
      <c r="R316" s="5"/>
      <c r="S316" s="5"/>
      <c r="T316" s="5"/>
      <c r="U316" s="5"/>
      <c r="W316" s="5"/>
      <c r="X316" s="5"/>
      <c r="Y316" s="5"/>
      <c r="Z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</row>
    <row r="317" spans="18:199" ht="12.75">
      <c r="R317" s="5"/>
      <c r="S317" s="5"/>
      <c r="T317" s="5"/>
      <c r="U317" s="5"/>
      <c r="W317" s="5"/>
      <c r="X317" s="5"/>
      <c r="Y317" s="5"/>
      <c r="Z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</row>
    <row r="318" spans="18:199" ht="12.75">
      <c r="R318" s="5"/>
      <c r="S318" s="5"/>
      <c r="T318" s="5"/>
      <c r="U318" s="5"/>
      <c r="W318" s="5"/>
      <c r="X318" s="5"/>
      <c r="Y318" s="5"/>
      <c r="Z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</row>
    <row r="319" spans="18:199" ht="12.75">
      <c r="R319" s="5"/>
      <c r="S319" s="5"/>
      <c r="T319" s="5"/>
      <c r="U319" s="5"/>
      <c r="W319" s="5"/>
      <c r="X319" s="5"/>
      <c r="Y319" s="5"/>
      <c r="Z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</row>
    <row r="320" spans="18:199" ht="12.75">
      <c r="R320" s="5"/>
      <c r="S320" s="5"/>
      <c r="T320" s="5"/>
      <c r="U320" s="5"/>
      <c r="W320" s="5"/>
      <c r="X320" s="5"/>
      <c r="Y320" s="5"/>
      <c r="Z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</row>
    <row r="321" spans="18:199" ht="12.75">
      <c r="R321" s="5"/>
      <c r="S321" s="5"/>
      <c r="T321" s="5"/>
      <c r="U321" s="5"/>
      <c r="W321" s="5"/>
      <c r="X321" s="5"/>
      <c r="Y321" s="5"/>
      <c r="Z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</row>
    <row r="322" spans="18:199" ht="12.75">
      <c r="R322" s="5"/>
      <c r="S322" s="5"/>
      <c r="T322" s="5"/>
      <c r="U322" s="5"/>
      <c r="W322" s="5"/>
      <c r="X322" s="5"/>
      <c r="Y322" s="5"/>
      <c r="Z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</row>
    <row r="323" spans="18:199" ht="12.75">
      <c r="R323" s="5"/>
      <c r="S323" s="5"/>
      <c r="T323" s="5"/>
      <c r="U323" s="5"/>
      <c r="W323" s="5"/>
      <c r="X323" s="5"/>
      <c r="Y323" s="5"/>
      <c r="Z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</row>
    <row r="324" spans="18:199" ht="12.75">
      <c r="R324" s="5"/>
      <c r="S324" s="5"/>
      <c r="T324" s="5"/>
      <c r="U324" s="5"/>
      <c r="W324" s="5"/>
      <c r="X324" s="5"/>
      <c r="Y324" s="5"/>
      <c r="Z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</row>
    <row r="325" spans="18:199" ht="12.75">
      <c r="R325" s="5"/>
      <c r="S325" s="5"/>
      <c r="T325" s="5"/>
      <c r="U325" s="5"/>
      <c r="W325" s="5"/>
      <c r="X325" s="5"/>
      <c r="Y325" s="5"/>
      <c r="Z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</row>
    <row r="326" spans="18:199" ht="12.75">
      <c r="R326" s="5"/>
      <c r="S326" s="5"/>
      <c r="T326" s="5"/>
      <c r="U326" s="5"/>
      <c r="W326" s="5"/>
      <c r="X326" s="5"/>
      <c r="Y326" s="5"/>
      <c r="Z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</row>
    <row r="327" spans="18:199" ht="12.75">
      <c r="R327" s="5"/>
      <c r="S327" s="5"/>
      <c r="T327" s="5"/>
      <c r="U327" s="5"/>
      <c r="W327" s="5"/>
      <c r="X327" s="5"/>
      <c r="Y327" s="5"/>
      <c r="Z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</row>
    <row r="328" spans="18:199" ht="12.75">
      <c r="R328" s="5"/>
      <c r="S328" s="5"/>
      <c r="T328" s="5"/>
      <c r="U328" s="5"/>
      <c r="W328" s="5"/>
      <c r="X328" s="5"/>
      <c r="Y328" s="5"/>
      <c r="Z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</row>
    <row r="329" spans="18:199" ht="12.75">
      <c r="R329" s="5"/>
      <c r="S329" s="5"/>
      <c r="T329" s="5"/>
      <c r="U329" s="5"/>
      <c r="W329" s="5"/>
      <c r="X329" s="5"/>
      <c r="Y329" s="5"/>
      <c r="Z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</row>
    <row r="330" spans="18:199" ht="12.75">
      <c r="R330" s="5"/>
      <c r="S330" s="5"/>
      <c r="T330" s="5"/>
      <c r="U330" s="5"/>
      <c r="W330" s="5"/>
      <c r="X330" s="5"/>
      <c r="Y330" s="5"/>
      <c r="Z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</row>
    <row r="331" spans="18:199" ht="12.75">
      <c r="R331" s="5"/>
      <c r="S331" s="5"/>
      <c r="T331" s="5"/>
      <c r="U331" s="5"/>
      <c r="W331" s="5"/>
      <c r="X331" s="5"/>
      <c r="Y331" s="5"/>
      <c r="Z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</row>
    <row r="332" spans="18:199" ht="12.75">
      <c r="R332" s="5"/>
      <c r="S332" s="5"/>
      <c r="T332" s="5"/>
      <c r="U332" s="5"/>
      <c r="W332" s="5"/>
      <c r="X332" s="5"/>
      <c r="Y332" s="5"/>
      <c r="Z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</row>
    <row r="333" spans="18:199" ht="12.75">
      <c r="R333" s="5"/>
      <c r="S333" s="5"/>
      <c r="T333" s="5"/>
      <c r="U333" s="5"/>
      <c r="W333" s="5"/>
      <c r="X333" s="5"/>
      <c r="Y333" s="5"/>
      <c r="Z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</row>
    <row r="334" spans="18:199" ht="12.75">
      <c r="R334" s="5"/>
      <c r="S334" s="5"/>
      <c r="T334" s="5"/>
      <c r="U334" s="5"/>
      <c r="W334" s="5"/>
      <c r="X334" s="5"/>
      <c r="Y334" s="5"/>
      <c r="Z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</row>
    <row r="335" spans="18:199" ht="12.75">
      <c r="R335" s="5"/>
      <c r="S335" s="5"/>
      <c r="T335" s="5"/>
      <c r="U335" s="5"/>
      <c r="W335" s="5"/>
      <c r="X335" s="5"/>
      <c r="Y335" s="5"/>
      <c r="Z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</row>
    <row r="336" spans="18:199" ht="12.75">
      <c r="R336" s="5"/>
      <c r="S336" s="5"/>
      <c r="T336" s="5"/>
      <c r="U336" s="5"/>
      <c r="W336" s="5"/>
      <c r="X336" s="5"/>
      <c r="Y336" s="5"/>
      <c r="Z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</row>
    <row r="337" spans="18:199" ht="12.75">
      <c r="R337" s="5"/>
      <c r="S337" s="5"/>
      <c r="T337" s="5"/>
      <c r="U337" s="5"/>
      <c r="W337" s="5"/>
      <c r="X337" s="5"/>
      <c r="Y337" s="5"/>
      <c r="Z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</row>
    <row r="338" spans="18:199" ht="12.75">
      <c r="R338" s="5"/>
      <c r="S338" s="5"/>
      <c r="T338" s="5"/>
      <c r="U338" s="5"/>
      <c r="W338" s="5"/>
      <c r="X338" s="5"/>
      <c r="Y338" s="5"/>
      <c r="Z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</row>
    <row r="339" spans="18:199" ht="12.75">
      <c r="R339" s="5"/>
      <c r="S339" s="5"/>
      <c r="T339" s="5"/>
      <c r="U339" s="5"/>
      <c r="W339" s="5"/>
      <c r="X339" s="5"/>
      <c r="Y339" s="5"/>
      <c r="Z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</row>
    <row r="340" spans="18:199" ht="12.75">
      <c r="R340" s="5"/>
      <c r="S340" s="5"/>
      <c r="T340" s="5"/>
      <c r="U340" s="5"/>
      <c r="W340" s="5"/>
      <c r="X340" s="5"/>
      <c r="Y340" s="5"/>
      <c r="Z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</row>
    <row r="341" spans="18:199" ht="12.75">
      <c r="R341" s="5"/>
      <c r="S341" s="5"/>
      <c r="T341" s="5"/>
      <c r="U341" s="5"/>
      <c r="W341" s="5"/>
      <c r="X341" s="5"/>
      <c r="Y341" s="5"/>
      <c r="Z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</row>
    <row r="342" spans="18:199" ht="12.75">
      <c r="R342" s="5"/>
      <c r="S342" s="5"/>
      <c r="T342" s="5"/>
      <c r="U342" s="5"/>
      <c r="W342" s="5"/>
      <c r="X342" s="5"/>
      <c r="Y342" s="5"/>
      <c r="Z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</row>
    <row r="343" spans="18:199" ht="12.75">
      <c r="R343" s="5"/>
      <c r="S343" s="5"/>
      <c r="T343" s="5"/>
      <c r="U343" s="5"/>
      <c r="W343" s="5"/>
      <c r="X343" s="5"/>
      <c r="Y343" s="5"/>
      <c r="Z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</row>
    <row r="344" spans="18:199" ht="12.75">
      <c r="R344" s="5"/>
      <c r="S344" s="5"/>
      <c r="T344" s="5"/>
      <c r="U344" s="5"/>
      <c r="W344" s="5"/>
      <c r="X344" s="5"/>
      <c r="Y344" s="5"/>
      <c r="Z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</row>
    <row r="345" spans="18:199" ht="12.75">
      <c r="R345" s="5"/>
      <c r="S345" s="5"/>
      <c r="T345" s="5"/>
      <c r="U345" s="5"/>
      <c r="W345" s="5"/>
      <c r="X345" s="5"/>
      <c r="Y345" s="5"/>
      <c r="Z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</row>
    <row r="346" spans="18:199" ht="12.75">
      <c r="R346" s="5"/>
      <c r="S346" s="5"/>
      <c r="T346" s="5"/>
      <c r="U346" s="5"/>
      <c r="W346" s="5"/>
      <c r="X346" s="5"/>
      <c r="Y346" s="5"/>
      <c r="Z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</row>
    <row r="347" spans="18:199" ht="12.75">
      <c r="R347" s="5"/>
      <c r="S347" s="5"/>
      <c r="T347" s="5"/>
      <c r="U347" s="5"/>
      <c r="W347" s="5"/>
      <c r="X347" s="5"/>
      <c r="Y347" s="5"/>
      <c r="Z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</row>
    <row r="348" spans="18:199" ht="12.75">
      <c r="R348" s="5"/>
      <c r="S348" s="5"/>
      <c r="T348" s="5"/>
      <c r="U348" s="5"/>
      <c r="W348" s="5"/>
      <c r="X348" s="5"/>
      <c r="Y348" s="5"/>
      <c r="Z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</row>
    <row r="349" spans="18:199" ht="12.75">
      <c r="R349" s="5"/>
      <c r="S349" s="5"/>
      <c r="T349" s="5"/>
      <c r="U349" s="5"/>
      <c r="W349" s="5"/>
      <c r="X349" s="5"/>
      <c r="Y349" s="5"/>
      <c r="Z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</row>
    <row r="350" spans="18:199" ht="12.75">
      <c r="R350" s="5"/>
      <c r="S350" s="5"/>
      <c r="T350" s="5"/>
      <c r="U350" s="5"/>
      <c r="W350" s="5"/>
      <c r="X350" s="5"/>
      <c r="Y350" s="5"/>
      <c r="Z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</row>
    <row r="351" spans="18:199" ht="12.75">
      <c r="R351" s="5"/>
      <c r="S351" s="5"/>
      <c r="T351" s="5"/>
      <c r="U351" s="5"/>
      <c r="W351" s="5"/>
      <c r="X351" s="5"/>
      <c r="Y351" s="5"/>
      <c r="Z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</row>
    <row r="352" spans="18:199" ht="12.75">
      <c r="R352" s="5"/>
      <c r="S352" s="5"/>
      <c r="T352" s="5"/>
      <c r="U352" s="5"/>
      <c r="W352" s="5"/>
      <c r="X352" s="5"/>
      <c r="Y352" s="5"/>
      <c r="Z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</row>
    <row r="353" spans="18:199" ht="12.75">
      <c r="R353" s="5"/>
      <c r="S353" s="5"/>
      <c r="T353" s="5"/>
      <c r="U353" s="5"/>
      <c r="W353" s="5"/>
      <c r="X353" s="5"/>
      <c r="Y353" s="5"/>
      <c r="Z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</row>
    <row r="354" spans="18:199" ht="12.75">
      <c r="R354" s="5"/>
      <c r="S354" s="5"/>
      <c r="T354" s="5"/>
      <c r="U354" s="5"/>
      <c r="W354" s="5"/>
      <c r="X354" s="5"/>
      <c r="Y354" s="5"/>
      <c r="Z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</row>
    <row r="355" spans="18:199" ht="12.75">
      <c r="R355" s="5"/>
      <c r="S355" s="5"/>
      <c r="T355" s="5"/>
      <c r="U355" s="5"/>
      <c r="W355" s="5"/>
      <c r="X355" s="5"/>
      <c r="Y355" s="5"/>
      <c r="Z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</row>
    <row r="356" spans="18:199" ht="12.75">
      <c r="R356" s="5"/>
      <c r="S356" s="5"/>
      <c r="T356" s="5"/>
      <c r="U356" s="5"/>
      <c r="W356" s="5"/>
      <c r="X356" s="5"/>
      <c r="Y356" s="5"/>
      <c r="Z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</row>
    <row r="357" spans="18:199" ht="12.75">
      <c r="R357" s="5"/>
      <c r="S357" s="5"/>
      <c r="T357" s="5"/>
      <c r="U357" s="5"/>
      <c r="W357" s="5"/>
      <c r="X357" s="5"/>
      <c r="Y357" s="5"/>
      <c r="Z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</row>
    <row r="358" spans="18:199" ht="12.75">
      <c r="R358" s="5"/>
      <c r="S358" s="5"/>
      <c r="T358" s="5"/>
      <c r="U358" s="5"/>
      <c r="W358" s="5"/>
      <c r="X358" s="5"/>
      <c r="Y358" s="5"/>
      <c r="Z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</row>
    <row r="359" spans="18:199" ht="12.75">
      <c r="R359" s="5"/>
      <c r="S359" s="5"/>
      <c r="T359" s="5"/>
      <c r="U359" s="5"/>
      <c r="W359" s="5"/>
      <c r="X359" s="5"/>
      <c r="Y359" s="5"/>
      <c r="Z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</row>
    <row r="360" spans="18:199" ht="12.75">
      <c r="R360" s="5"/>
      <c r="S360" s="5"/>
      <c r="T360" s="5"/>
      <c r="U360" s="5"/>
      <c r="W360" s="5"/>
      <c r="X360" s="5"/>
      <c r="Y360" s="5"/>
      <c r="Z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</row>
    <row r="361" spans="18:199" ht="12.75">
      <c r="R361" s="5"/>
      <c r="S361" s="5"/>
      <c r="T361" s="5"/>
      <c r="U361" s="5"/>
      <c r="W361" s="5"/>
      <c r="X361" s="5"/>
      <c r="Y361" s="5"/>
      <c r="Z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</row>
    <row r="362" spans="18:199" ht="12.75">
      <c r="R362" s="5"/>
      <c r="S362" s="5"/>
      <c r="T362" s="5"/>
      <c r="U362" s="5"/>
      <c r="W362" s="5"/>
      <c r="X362" s="5"/>
      <c r="Y362" s="5"/>
      <c r="Z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</row>
    <row r="363" spans="18:199" ht="12.75">
      <c r="R363" s="5"/>
      <c r="S363" s="5"/>
      <c r="T363" s="5"/>
      <c r="U363" s="5"/>
      <c r="W363" s="5"/>
      <c r="X363" s="5"/>
      <c r="Y363" s="5"/>
      <c r="Z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</row>
    <row r="364" spans="18:199" ht="12.75">
      <c r="R364" s="5"/>
      <c r="S364" s="5"/>
      <c r="T364" s="5"/>
      <c r="U364" s="5"/>
      <c r="W364" s="5"/>
      <c r="X364" s="5"/>
      <c r="Y364" s="5"/>
      <c r="Z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</row>
    <row r="365" spans="18:199" ht="12.75">
      <c r="R365" s="5"/>
      <c r="S365" s="5"/>
      <c r="T365" s="5"/>
      <c r="U365" s="5"/>
      <c r="W365" s="5"/>
      <c r="X365" s="5"/>
      <c r="Y365" s="5"/>
      <c r="Z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</row>
    <row r="366" spans="18:199" ht="12.75">
      <c r="R366" s="5"/>
      <c r="S366" s="5"/>
      <c r="T366" s="5"/>
      <c r="U366" s="5"/>
      <c r="W366" s="5"/>
      <c r="X366" s="5"/>
      <c r="Y366" s="5"/>
      <c r="Z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</row>
    <row r="367" spans="18:199" ht="12.75">
      <c r="R367" s="5"/>
      <c r="S367" s="5"/>
      <c r="T367" s="5"/>
      <c r="U367" s="5"/>
      <c r="W367" s="5"/>
      <c r="X367" s="5"/>
      <c r="Y367" s="5"/>
      <c r="Z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</row>
    <row r="368" spans="18:199" ht="12.75">
      <c r="R368" s="5"/>
      <c r="S368" s="5"/>
      <c r="T368" s="5"/>
      <c r="U368" s="5"/>
      <c r="W368" s="5"/>
      <c r="X368" s="5"/>
      <c r="Y368" s="5"/>
      <c r="Z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</row>
    <row r="369" spans="18:199" ht="12.75">
      <c r="R369" s="5"/>
      <c r="S369" s="5"/>
      <c r="T369" s="5"/>
      <c r="U369" s="5"/>
      <c r="W369" s="5"/>
      <c r="X369" s="5"/>
      <c r="Y369" s="5"/>
      <c r="Z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</row>
    <row r="370" spans="18:199" ht="12.75">
      <c r="R370" s="5"/>
      <c r="S370" s="5"/>
      <c r="T370" s="5"/>
      <c r="U370" s="5"/>
      <c r="W370" s="5"/>
      <c r="X370" s="5"/>
      <c r="Y370" s="5"/>
      <c r="Z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</row>
    <row r="371" spans="18:199" ht="12.75">
      <c r="R371" s="5"/>
      <c r="S371" s="5"/>
      <c r="T371" s="5"/>
      <c r="U371" s="5"/>
      <c r="W371" s="5"/>
      <c r="X371" s="5"/>
      <c r="Y371" s="5"/>
      <c r="Z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</row>
    <row r="372" spans="18:199" ht="12.75">
      <c r="R372" s="5"/>
      <c r="S372" s="5"/>
      <c r="T372" s="5"/>
      <c r="U372" s="5"/>
      <c r="W372" s="5"/>
      <c r="X372" s="5"/>
      <c r="Y372" s="5"/>
      <c r="Z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</row>
    <row r="373" spans="18:199" ht="12.75">
      <c r="R373" s="5"/>
      <c r="S373" s="5"/>
      <c r="T373" s="5"/>
      <c r="U373" s="5"/>
      <c r="W373" s="5"/>
      <c r="X373" s="5"/>
      <c r="Y373" s="5"/>
      <c r="Z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</row>
    <row r="374" spans="18:199" ht="12.75">
      <c r="R374" s="5"/>
      <c r="S374" s="5"/>
      <c r="T374" s="5"/>
      <c r="U374" s="5"/>
      <c r="W374" s="5"/>
      <c r="X374" s="5"/>
      <c r="Y374" s="5"/>
      <c r="Z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</row>
    <row r="375" spans="18:199" ht="12.75">
      <c r="R375" s="5"/>
      <c r="S375" s="5"/>
      <c r="T375" s="5"/>
      <c r="U375" s="5"/>
      <c r="W375" s="5"/>
      <c r="X375" s="5"/>
      <c r="Y375" s="5"/>
      <c r="Z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</row>
    <row r="376" spans="18:199" ht="12.75">
      <c r="R376" s="5"/>
      <c r="S376" s="5"/>
      <c r="T376" s="5"/>
      <c r="U376" s="5"/>
      <c r="W376" s="5"/>
      <c r="X376" s="5"/>
      <c r="Y376" s="5"/>
      <c r="Z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</row>
    <row r="377" spans="18:199" ht="12.75">
      <c r="R377" s="5"/>
      <c r="S377" s="5"/>
      <c r="T377" s="5"/>
      <c r="U377" s="5"/>
      <c r="W377" s="5"/>
      <c r="X377" s="5"/>
      <c r="Y377" s="5"/>
      <c r="Z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</row>
    <row r="378" spans="18:199" ht="12.75">
      <c r="R378" s="5"/>
      <c r="S378" s="5"/>
      <c r="T378" s="5"/>
      <c r="U378" s="5"/>
      <c r="W378" s="5"/>
      <c r="X378" s="5"/>
      <c r="Y378" s="5"/>
      <c r="Z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</row>
    <row r="379" spans="18:199" ht="12.75">
      <c r="R379" s="5"/>
      <c r="S379" s="5"/>
      <c r="T379" s="5"/>
      <c r="U379" s="5"/>
      <c r="W379" s="5"/>
      <c r="X379" s="5"/>
      <c r="Y379" s="5"/>
      <c r="Z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</row>
    <row r="380" spans="18:199" ht="12.75">
      <c r="R380" s="5"/>
      <c r="S380" s="5"/>
      <c r="T380" s="5"/>
      <c r="U380" s="5"/>
      <c r="W380" s="5"/>
      <c r="X380" s="5"/>
      <c r="Y380" s="5"/>
      <c r="Z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</row>
    <row r="381" spans="18:199" ht="12.75">
      <c r="R381" s="5"/>
      <c r="S381" s="5"/>
      <c r="T381" s="5"/>
      <c r="U381" s="5"/>
      <c r="W381" s="5"/>
      <c r="X381" s="5"/>
      <c r="Y381" s="5"/>
      <c r="Z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</row>
    <row r="382" spans="18:199" ht="12.75">
      <c r="R382" s="5"/>
      <c r="S382" s="5"/>
      <c r="T382" s="5"/>
      <c r="U382" s="5"/>
      <c r="W382" s="5"/>
      <c r="X382" s="5"/>
      <c r="Y382" s="5"/>
      <c r="Z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</row>
    <row r="383" spans="18:199" ht="12.75">
      <c r="R383" s="5"/>
      <c r="S383" s="5"/>
      <c r="T383" s="5"/>
      <c r="U383" s="5"/>
      <c r="W383" s="5"/>
      <c r="X383" s="5"/>
      <c r="Y383" s="5"/>
      <c r="Z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</row>
    <row r="384" spans="18:199" ht="12.75">
      <c r="R384" s="5"/>
      <c r="S384" s="5"/>
      <c r="T384" s="5"/>
      <c r="U384" s="5"/>
      <c r="W384" s="5"/>
      <c r="X384" s="5"/>
      <c r="Y384" s="5"/>
      <c r="Z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</row>
    <row r="385" spans="18:199" ht="12.75">
      <c r="R385" s="5"/>
      <c r="S385" s="5"/>
      <c r="T385" s="5"/>
      <c r="U385" s="5"/>
      <c r="W385" s="5"/>
      <c r="X385" s="5"/>
      <c r="Y385" s="5"/>
      <c r="Z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</row>
    <row r="386" spans="18:199" ht="12.75">
      <c r="R386" s="5"/>
      <c r="S386" s="5"/>
      <c r="T386" s="5"/>
      <c r="U386" s="5"/>
      <c r="W386" s="5"/>
      <c r="X386" s="5"/>
      <c r="Y386" s="5"/>
      <c r="Z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</row>
    <row r="387" spans="18:199" ht="12.75">
      <c r="R387" s="5"/>
      <c r="S387" s="5"/>
      <c r="T387" s="5"/>
      <c r="U387" s="5"/>
      <c r="W387" s="5"/>
      <c r="X387" s="5"/>
      <c r="Y387" s="5"/>
      <c r="Z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</row>
    <row r="388" spans="18:199" ht="12.75">
      <c r="R388" s="5"/>
      <c r="S388" s="5"/>
      <c r="T388" s="5"/>
      <c r="U388" s="5"/>
      <c r="W388" s="5"/>
      <c r="X388" s="5"/>
      <c r="Y388" s="5"/>
      <c r="Z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</row>
    <row r="389" spans="18:199" ht="12.75">
      <c r="R389" s="5"/>
      <c r="S389" s="5"/>
      <c r="T389" s="5"/>
      <c r="U389" s="5"/>
      <c r="W389" s="5"/>
      <c r="X389" s="5"/>
      <c r="Y389" s="5"/>
      <c r="Z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</row>
    <row r="390" spans="18:199" ht="12.75">
      <c r="R390" s="5"/>
      <c r="S390" s="5"/>
      <c r="T390" s="5"/>
      <c r="U390" s="5"/>
      <c r="W390" s="5"/>
      <c r="X390" s="5"/>
      <c r="Y390" s="5"/>
      <c r="Z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</row>
    <row r="391" spans="18:199" ht="12.75">
      <c r="R391" s="5"/>
      <c r="S391" s="5"/>
      <c r="T391" s="5"/>
      <c r="U391" s="5"/>
      <c r="W391" s="5"/>
      <c r="X391" s="5"/>
      <c r="Y391" s="5"/>
      <c r="Z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</row>
    <row r="392" spans="18:199" ht="12.75">
      <c r="R392" s="5"/>
      <c r="S392" s="5"/>
      <c r="T392" s="5"/>
      <c r="U392" s="5"/>
      <c r="W392" s="5"/>
      <c r="X392" s="5"/>
      <c r="Y392" s="5"/>
      <c r="Z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</row>
    <row r="393" spans="18:199" ht="12.75">
      <c r="R393" s="5"/>
      <c r="S393" s="5"/>
      <c r="T393" s="5"/>
      <c r="U393" s="5"/>
      <c r="W393" s="5"/>
      <c r="X393" s="5"/>
      <c r="Y393" s="5"/>
      <c r="Z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</row>
    <row r="394" spans="18:199" ht="12.75">
      <c r="R394" s="5"/>
      <c r="S394" s="5"/>
      <c r="T394" s="5"/>
      <c r="U394" s="5"/>
      <c r="W394" s="5"/>
      <c r="X394" s="5"/>
      <c r="Y394" s="5"/>
      <c r="Z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</row>
    <row r="395" spans="18:199" ht="12.75">
      <c r="R395" s="5"/>
      <c r="S395" s="5"/>
      <c r="T395" s="5"/>
      <c r="U395" s="5"/>
      <c r="W395" s="5"/>
      <c r="X395" s="5"/>
      <c r="Y395" s="5"/>
      <c r="Z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</row>
    <row r="396" spans="18:199" ht="12.75">
      <c r="R396" s="5"/>
      <c r="S396" s="5"/>
      <c r="T396" s="5"/>
      <c r="U396" s="5"/>
      <c r="W396" s="5"/>
      <c r="X396" s="5"/>
      <c r="Y396" s="5"/>
      <c r="Z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</row>
    <row r="397" spans="18:199" ht="12.75">
      <c r="R397" s="5"/>
      <c r="S397" s="5"/>
      <c r="T397" s="5"/>
      <c r="U397" s="5"/>
      <c r="W397" s="5"/>
      <c r="X397" s="5"/>
      <c r="Y397" s="5"/>
      <c r="Z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</row>
    <row r="398" spans="18:199" ht="12.75">
      <c r="R398" s="5"/>
      <c r="S398" s="5"/>
      <c r="T398" s="5"/>
      <c r="U398" s="5"/>
      <c r="W398" s="5"/>
      <c r="X398" s="5"/>
      <c r="Y398" s="5"/>
      <c r="Z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</row>
    <row r="399" spans="18:199" ht="12.75">
      <c r="R399" s="5"/>
      <c r="S399" s="5"/>
      <c r="T399" s="5"/>
      <c r="U399" s="5"/>
      <c r="W399" s="5"/>
      <c r="X399" s="5"/>
      <c r="Y399" s="5"/>
      <c r="Z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</row>
    <row r="400" spans="18:199" ht="12.75">
      <c r="R400" s="5"/>
      <c r="S400" s="5"/>
      <c r="T400" s="5"/>
      <c r="U400" s="5"/>
      <c r="W400" s="5"/>
      <c r="X400" s="5"/>
      <c r="Y400" s="5"/>
      <c r="Z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</row>
    <row r="401" spans="18:199" ht="12.75">
      <c r="R401" s="5"/>
      <c r="S401" s="5"/>
      <c r="T401" s="5"/>
      <c r="U401" s="5"/>
      <c r="W401" s="5"/>
      <c r="X401" s="5"/>
      <c r="Y401" s="5"/>
      <c r="Z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</row>
    <row r="402" spans="18:199" ht="12.75">
      <c r="R402" s="5"/>
      <c r="S402" s="5"/>
      <c r="T402" s="5"/>
      <c r="U402" s="5"/>
      <c r="W402" s="5"/>
      <c r="X402" s="5"/>
      <c r="Y402" s="5"/>
      <c r="Z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</row>
    <row r="403" spans="18:199" ht="12.75">
      <c r="R403" s="5"/>
      <c r="S403" s="5"/>
      <c r="T403" s="5"/>
      <c r="U403" s="5"/>
      <c r="W403" s="5"/>
      <c r="X403" s="5"/>
      <c r="Y403" s="5"/>
      <c r="Z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</row>
    <row r="404" spans="18:199" ht="12.75">
      <c r="R404" s="5"/>
      <c r="S404" s="5"/>
      <c r="T404" s="5"/>
      <c r="U404" s="5"/>
      <c r="W404" s="5"/>
      <c r="X404" s="5"/>
      <c r="Y404" s="5"/>
      <c r="Z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</row>
    <row r="405" spans="18:199" ht="12.75">
      <c r="R405" s="5"/>
      <c r="S405" s="5"/>
      <c r="T405" s="5"/>
      <c r="U405" s="5"/>
      <c r="W405" s="5"/>
      <c r="X405" s="5"/>
      <c r="Y405" s="5"/>
      <c r="Z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</row>
    <row r="406" spans="18:199" ht="12.75">
      <c r="R406" s="5"/>
      <c r="S406" s="5"/>
      <c r="T406" s="5"/>
      <c r="U406" s="5"/>
      <c r="W406" s="5"/>
      <c r="X406" s="5"/>
      <c r="Y406" s="5"/>
      <c r="Z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</row>
    <row r="407" spans="18:199" ht="12.75">
      <c r="R407" s="5"/>
      <c r="S407" s="5"/>
      <c r="T407" s="5"/>
      <c r="U407" s="5"/>
      <c r="W407" s="5"/>
      <c r="X407" s="5"/>
      <c r="Y407" s="5"/>
      <c r="Z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</row>
    <row r="408" spans="18:199" ht="12.75">
      <c r="R408" s="5"/>
      <c r="S408" s="5"/>
      <c r="T408" s="5"/>
      <c r="U408" s="5"/>
      <c r="W408" s="5"/>
      <c r="X408" s="5"/>
      <c r="Y408" s="5"/>
      <c r="Z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</row>
    <row r="409" spans="18:199" ht="12.75">
      <c r="R409" s="5"/>
      <c r="S409" s="5"/>
      <c r="T409" s="5"/>
      <c r="U409" s="5"/>
      <c r="W409" s="5"/>
      <c r="X409" s="5"/>
      <c r="Y409" s="5"/>
      <c r="Z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</row>
    <row r="410" spans="18:199" ht="12.75">
      <c r="R410" s="5"/>
      <c r="S410" s="5"/>
      <c r="T410" s="5"/>
      <c r="U410" s="5"/>
      <c r="W410" s="5"/>
      <c r="X410" s="5"/>
      <c r="Y410" s="5"/>
      <c r="Z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</row>
    <row r="411" spans="18:199" ht="12.75">
      <c r="R411" s="5"/>
      <c r="S411" s="5"/>
      <c r="T411" s="5"/>
      <c r="U411" s="5"/>
      <c r="W411" s="5"/>
      <c r="X411" s="5"/>
      <c r="Y411" s="5"/>
      <c r="Z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</row>
    <row r="412" spans="18:199" ht="12.75">
      <c r="R412" s="5"/>
      <c r="S412" s="5"/>
      <c r="T412" s="5"/>
      <c r="U412" s="5"/>
      <c r="W412" s="5"/>
      <c r="X412" s="5"/>
      <c r="Y412" s="5"/>
      <c r="Z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</row>
    <row r="413" spans="18:199" ht="12.75">
      <c r="R413" s="5"/>
      <c r="S413" s="5"/>
      <c r="T413" s="5"/>
      <c r="U413" s="5"/>
      <c r="W413" s="5"/>
      <c r="X413" s="5"/>
      <c r="Y413" s="5"/>
      <c r="Z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</row>
    <row r="414" spans="18:199" ht="12.75">
      <c r="R414" s="5"/>
      <c r="S414" s="5"/>
      <c r="T414" s="5"/>
      <c r="U414" s="5"/>
      <c r="W414" s="5"/>
      <c r="X414" s="5"/>
      <c r="Y414" s="5"/>
      <c r="Z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</row>
    <row r="415" spans="18:199" ht="12.75">
      <c r="R415" s="5"/>
      <c r="S415" s="5"/>
      <c r="T415" s="5"/>
      <c r="U415" s="5"/>
      <c r="W415" s="5"/>
      <c r="X415" s="5"/>
      <c r="Y415" s="5"/>
      <c r="Z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</row>
    <row r="416" spans="18:199" ht="12.75">
      <c r="R416" s="5"/>
      <c r="S416" s="5"/>
      <c r="T416" s="5"/>
      <c r="U416" s="5"/>
      <c r="W416" s="5"/>
      <c r="X416" s="5"/>
      <c r="Y416" s="5"/>
      <c r="Z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</row>
    <row r="417" spans="18:199" ht="12.75">
      <c r="R417" s="5"/>
      <c r="S417" s="5"/>
      <c r="T417" s="5"/>
      <c r="U417" s="5"/>
      <c r="W417" s="5"/>
      <c r="X417" s="5"/>
      <c r="Y417" s="5"/>
      <c r="Z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</row>
    <row r="418" spans="18:199" ht="12.75">
      <c r="R418" s="5"/>
      <c r="S418" s="5"/>
      <c r="T418" s="5"/>
      <c r="U418" s="5"/>
      <c r="W418" s="5"/>
      <c r="X418" s="5"/>
      <c r="Y418" s="5"/>
      <c r="Z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</row>
    <row r="419" spans="18:199" ht="12.75">
      <c r="R419" s="5"/>
      <c r="S419" s="5"/>
      <c r="T419" s="5"/>
      <c r="U419" s="5"/>
      <c r="W419" s="5"/>
      <c r="X419" s="5"/>
      <c r="Y419" s="5"/>
      <c r="Z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</row>
    <row r="420" spans="18:199" ht="12.75">
      <c r="R420" s="5"/>
      <c r="S420" s="5"/>
      <c r="T420" s="5"/>
      <c r="U420" s="5"/>
      <c r="W420" s="5"/>
      <c r="X420" s="5"/>
      <c r="Y420" s="5"/>
      <c r="Z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</row>
    <row r="421" spans="18:199" ht="12.75">
      <c r="R421" s="5"/>
      <c r="S421" s="5"/>
      <c r="T421" s="5"/>
      <c r="U421" s="5"/>
      <c r="W421" s="5"/>
      <c r="X421" s="5"/>
      <c r="Y421" s="5"/>
      <c r="Z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</row>
    <row r="422" spans="18:199" ht="12.75">
      <c r="R422" s="5"/>
      <c r="S422" s="5"/>
      <c r="T422" s="5"/>
      <c r="U422" s="5"/>
      <c r="W422" s="5"/>
      <c r="X422" s="5"/>
      <c r="Y422" s="5"/>
      <c r="Z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</row>
    <row r="423" spans="18:199" ht="12.75">
      <c r="R423" s="5"/>
      <c r="S423" s="5"/>
      <c r="T423" s="5"/>
      <c r="U423" s="5"/>
      <c r="W423" s="5"/>
      <c r="X423" s="5"/>
      <c r="Y423" s="5"/>
      <c r="Z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</row>
    <row r="424" spans="18:199" ht="12.75">
      <c r="R424" s="5"/>
      <c r="S424" s="5"/>
      <c r="T424" s="5"/>
      <c r="U424" s="5"/>
      <c r="W424" s="5"/>
      <c r="X424" s="5"/>
      <c r="Y424" s="5"/>
      <c r="Z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</row>
    <row r="425" spans="18:199" ht="12.75">
      <c r="R425" s="5"/>
      <c r="S425" s="5"/>
      <c r="T425" s="5"/>
      <c r="U425" s="5"/>
      <c r="W425" s="5"/>
      <c r="X425" s="5"/>
      <c r="Y425" s="5"/>
      <c r="Z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</row>
    <row r="426" spans="18:199" ht="12.75">
      <c r="R426" s="5"/>
      <c r="S426" s="5"/>
      <c r="T426" s="5"/>
      <c r="U426" s="5"/>
      <c r="W426" s="5"/>
      <c r="X426" s="5"/>
      <c r="Y426" s="5"/>
      <c r="Z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</row>
    <row r="427" spans="18:199" ht="12.75">
      <c r="R427" s="5"/>
      <c r="S427" s="5"/>
      <c r="T427" s="5"/>
      <c r="U427" s="5"/>
      <c r="W427" s="5"/>
      <c r="X427" s="5"/>
      <c r="Y427" s="5"/>
      <c r="Z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</row>
    <row r="428" spans="18:199" ht="12.75">
      <c r="R428" s="5"/>
      <c r="S428" s="5"/>
      <c r="T428" s="5"/>
      <c r="U428" s="5"/>
      <c r="W428" s="5"/>
      <c r="X428" s="5"/>
      <c r="Y428" s="5"/>
      <c r="Z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</row>
    <row r="429" spans="18:199" ht="12.75">
      <c r="R429" s="5"/>
      <c r="S429" s="5"/>
      <c r="T429" s="5"/>
      <c r="U429" s="5"/>
      <c r="W429" s="5"/>
      <c r="X429" s="5"/>
      <c r="Y429" s="5"/>
      <c r="Z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</row>
    <row r="430" spans="18:199" ht="12.75">
      <c r="R430" s="5"/>
      <c r="S430" s="5"/>
      <c r="T430" s="5"/>
      <c r="U430" s="5"/>
      <c r="W430" s="5"/>
      <c r="X430" s="5"/>
      <c r="Y430" s="5"/>
      <c r="Z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</row>
    <row r="431" spans="18:199" ht="12.75">
      <c r="R431" s="5"/>
      <c r="S431" s="5"/>
      <c r="T431" s="5"/>
      <c r="U431" s="5"/>
      <c r="W431" s="5"/>
      <c r="X431" s="5"/>
      <c r="Y431" s="5"/>
      <c r="Z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</row>
    <row r="432" spans="18:199" ht="12.75">
      <c r="R432" s="5"/>
      <c r="S432" s="5"/>
      <c r="T432" s="5"/>
      <c r="U432" s="5"/>
      <c r="W432" s="5"/>
      <c r="X432" s="5"/>
      <c r="Y432" s="5"/>
      <c r="Z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</row>
    <row r="433" spans="18:199" ht="12.75">
      <c r="R433" s="5"/>
      <c r="S433" s="5"/>
      <c r="T433" s="5"/>
      <c r="U433" s="5"/>
      <c r="W433" s="5"/>
      <c r="X433" s="5"/>
      <c r="Y433" s="5"/>
      <c r="Z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</row>
    <row r="434" spans="18:199" ht="12.75">
      <c r="R434" s="5"/>
      <c r="S434" s="5"/>
      <c r="T434" s="5"/>
      <c r="U434" s="5"/>
      <c r="W434" s="5"/>
      <c r="X434" s="5"/>
      <c r="Y434" s="5"/>
      <c r="Z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</row>
    <row r="435" spans="18:199" ht="12.75">
      <c r="R435" s="5"/>
      <c r="S435" s="5"/>
      <c r="T435" s="5"/>
      <c r="U435" s="5"/>
      <c r="W435" s="5"/>
      <c r="X435" s="5"/>
      <c r="Y435" s="5"/>
      <c r="Z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</row>
    <row r="436" spans="18:199" ht="12.75">
      <c r="R436" s="5"/>
      <c r="S436" s="5"/>
      <c r="T436" s="5"/>
      <c r="U436" s="5"/>
      <c r="W436" s="5"/>
      <c r="X436" s="5"/>
      <c r="Y436" s="5"/>
      <c r="Z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</row>
    <row r="437" spans="18:199" ht="12.75">
      <c r="R437" s="5"/>
      <c r="S437" s="5"/>
      <c r="T437" s="5"/>
      <c r="U437" s="5"/>
      <c r="W437" s="5"/>
      <c r="X437" s="5"/>
      <c r="Y437" s="5"/>
      <c r="Z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</row>
    <row r="438" spans="18:199" ht="12.75">
      <c r="R438" s="5"/>
      <c r="S438" s="5"/>
      <c r="T438" s="5"/>
      <c r="U438" s="5"/>
      <c r="W438" s="5"/>
      <c r="X438" s="5"/>
      <c r="Y438" s="5"/>
      <c r="Z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</row>
    <row r="439" spans="18:199" ht="12.75">
      <c r="R439" s="5"/>
      <c r="S439" s="5"/>
      <c r="T439" s="5"/>
      <c r="U439" s="5"/>
      <c r="W439" s="5"/>
      <c r="X439" s="5"/>
      <c r="Y439" s="5"/>
      <c r="Z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</row>
    <row r="440" spans="18:199" ht="12.75">
      <c r="R440" s="5"/>
      <c r="S440" s="5"/>
      <c r="T440" s="5"/>
      <c r="U440" s="5"/>
      <c r="W440" s="5"/>
      <c r="X440" s="5"/>
      <c r="Y440" s="5"/>
      <c r="Z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</row>
    <row r="441" spans="18:199" ht="12.75">
      <c r="R441" s="5"/>
      <c r="S441" s="5"/>
      <c r="T441" s="5"/>
      <c r="U441" s="5"/>
      <c r="W441" s="5"/>
      <c r="X441" s="5"/>
      <c r="Y441" s="5"/>
      <c r="Z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</row>
    <row r="442" spans="18:199" ht="12.75">
      <c r="R442" s="5"/>
      <c r="S442" s="5"/>
      <c r="T442" s="5"/>
      <c r="U442" s="5"/>
      <c r="W442" s="5"/>
      <c r="X442" s="5"/>
      <c r="Y442" s="5"/>
      <c r="Z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</row>
    <row r="443" spans="18:199" ht="12.75">
      <c r="R443" s="5"/>
      <c r="S443" s="5"/>
      <c r="T443" s="5"/>
      <c r="U443" s="5"/>
      <c r="W443" s="5"/>
      <c r="X443" s="5"/>
      <c r="Y443" s="5"/>
      <c r="Z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</row>
    <row r="444" spans="18:199" ht="12.75">
      <c r="R444" s="5"/>
      <c r="S444" s="5"/>
      <c r="T444" s="5"/>
      <c r="U444" s="5"/>
      <c r="W444" s="5"/>
      <c r="X444" s="5"/>
      <c r="Y444" s="5"/>
      <c r="Z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</row>
    <row r="445" spans="18:199" ht="12.75">
      <c r="R445" s="5"/>
      <c r="S445" s="5"/>
      <c r="T445" s="5"/>
      <c r="U445" s="5"/>
      <c r="W445" s="5"/>
      <c r="X445" s="5"/>
      <c r="Y445" s="5"/>
      <c r="Z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</row>
    <row r="446" spans="18:199" ht="12.75">
      <c r="R446" s="5"/>
      <c r="S446" s="5"/>
      <c r="T446" s="5"/>
      <c r="U446" s="5"/>
      <c r="W446" s="5"/>
      <c r="X446" s="5"/>
      <c r="Y446" s="5"/>
      <c r="Z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</row>
    <row r="447" spans="18:199" ht="12.75">
      <c r="R447" s="5"/>
      <c r="S447" s="5"/>
      <c r="T447" s="5"/>
      <c r="U447" s="5"/>
      <c r="W447" s="5"/>
      <c r="X447" s="5"/>
      <c r="Y447" s="5"/>
      <c r="Z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</row>
    <row r="448" spans="18:199" ht="12.75">
      <c r="R448" s="5"/>
      <c r="S448" s="5"/>
      <c r="T448" s="5"/>
      <c r="U448" s="5"/>
      <c r="W448" s="5"/>
      <c r="X448" s="5"/>
      <c r="Y448" s="5"/>
      <c r="Z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</row>
    <row r="449" spans="18:199" ht="12.75">
      <c r="R449" s="5"/>
      <c r="S449" s="5"/>
      <c r="T449" s="5"/>
      <c r="U449" s="5"/>
      <c r="W449" s="5"/>
      <c r="X449" s="5"/>
      <c r="Y449" s="5"/>
      <c r="Z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</row>
    <row r="450" spans="18:199" ht="12.75">
      <c r="R450" s="5"/>
      <c r="S450" s="5"/>
      <c r="T450" s="5"/>
      <c r="U450" s="5"/>
      <c r="W450" s="5"/>
      <c r="X450" s="5"/>
      <c r="Y450" s="5"/>
      <c r="Z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</row>
    <row r="451" spans="18:199" ht="12.75">
      <c r="R451" s="5"/>
      <c r="S451" s="5"/>
      <c r="T451" s="5"/>
      <c r="U451" s="5"/>
      <c r="W451" s="5"/>
      <c r="X451" s="5"/>
      <c r="Y451" s="5"/>
      <c r="Z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</row>
    <row r="452" spans="18:199" ht="12.75">
      <c r="R452" s="5"/>
      <c r="S452" s="5"/>
      <c r="T452" s="5"/>
      <c r="U452" s="5"/>
      <c r="W452" s="5"/>
      <c r="X452" s="5"/>
      <c r="Y452" s="5"/>
      <c r="Z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</row>
    <row r="453" spans="18:199" ht="12.75">
      <c r="R453" s="5"/>
      <c r="S453" s="5"/>
      <c r="T453" s="5"/>
      <c r="U453" s="5"/>
      <c r="W453" s="5"/>
      <c r="X453" s="5"/>
      <c r="Y453" s="5"/>
      <c r="Z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</row>
    <row r="454" spans="18:199" ht="12.75">
      <c r="R454" s="5"/>
      <c r="S454" s="5"/>
      <c r="T454" s="5"/>
      <c r="U454" s="5"/>
      <c r="W454" s="5"/>
      <c r="X454" s="5"/>
      <c r="Y454" s="5"/>
      <c r="Z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</row>
    <row r="455" spans="18:199" ht="12.75">
      <c r="R455" s="5"/>
      <c r="S455" s="5"/>
      <c r="T455" s="5"/>
      <c r="U455" s="5"/>
      <c r="W455" s="5"/>
      <c r="X455" s="5"/>
      <c r="Y455" s="5"/>
      <c r="Z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</row>
    <row r="456" spans="18:199" ht="12.75">
      <c r="R456" s="5"/>
      <c r="S456" s="5"/>
      <c r="T456" s="5"/>
      <c r="U456" s="5"/>
      <c r="W456" s="5"/>
      <c r="X456" s="5"/>
      <c r="Y456" s="5"/>
      <c r="Z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</row>
    <row r="457" spans="18:199" ht="12.75">
      <c r="R457" s="5"/>
      <c r="S457" s="5"/>
      <c r="T457" s="5"/>
      <c r="U457" s="5"/>
      <c r="W457" s="5"/>
      <c r="X457" s="5"/>
      <c r="Y457" s="5"/>
      <c r="Z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</row>
    <row r="458" spans="18:199" ht="12.75">
      <c r="R458" s="5"/>
      <c r="S458" s="5"/>
      <c r="T458" s="5"/>
      <c r="U458" s="5"/>
      <c r="W458" s="5"/>
      <c r="X458" s="5"/>
      <c r="Y458" s="5"/>
      <c r="Z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</row>
    <row r="459" spans="18:199" ht="12.75">
      <c r="R459" s="5"/>
      <c r="S459" s="5"/>
      <c r="T459" s="5"/>
      <c r="U459" s="5"/>
      <c r="W459" s="5"/>
      <c r="X459" s="5"/>
      <c r="Y459" s="5"/>
      <c r="Z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</row>
    <row r="460" spans="18:199" ht="12.75">
      <c r="R460" s="5"/>
      <c r="S460" s="5"/>
      <c r="T460" s="5"/>
      <c r="U460" s="5"/>
      <c r="W460" s="5"/>
      <c r="X460" s="5"/>
      <c r="Y460" s="5"/>
      <c r="Z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</row>
    <row r="461" spans="18:199" ht="12.75">
      <c r="R461" s="5"/>
      <c r="S461" s="5"/>
      <c r="T461" s="5"/>
      <c r="U461" s="5"/>
      <c r="W461" s="5"/>
      <c r="X461" s="5"/>
      <c r="Y461" s="5"/>
      <c r="Z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</row>
    <row r="462" spans="18:199" ht="12.75">
      <c r="R462" s="5"/>
      <c r="S462" s="5"/>
      <c r="T462" s="5"/>
      <c r="U462" s="5"/>
      <c r="W462" s="5"/>
      <c r="X462" s="5"/>
      <c r="Y462" s="5"/>
      <c r="Z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</row>
    <row r="463" spans="18:199" ht="12.75">
      <c r="R463" s="5"/>
      <c r="S463" s="5"/>
      <c r="T463" s="5"/>
      <c r="U463" s="5"/>
      <c r="W463" s="5"/>
      <c r="X463" s="5"/>
      <c r="Y463" s="5"/>
      <c r="Z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</row>
    <row r="464" spans="18:199" ht="12.75">
      <c r="R464" s="5"/>
      <c r="S464" s="5"/>
      <c r="T464" s="5"/>
      <c r="U464" s="5"/>
      <c r="W464" s="5"/>
      <c r="X464" s="5"/>
      <c r="Y464" s="5"/>
      <c r="Z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</row>
    <row r="465" spans="18:199" ht="12.75">
      <c r="R465" s="5"/>
      <c r="S465" s="5"/>
      <c r="T465" s="5"/>
      <c r="U465" s="5"/>
      <c r="W465" s="5"/>
      <c r="X465" s="5"/>
      <c r="Y465" s="5"/>
      <c r="Z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</row>
    <row r="466" spans="18:199" ht="12.75">
      <c r="R466" s="5"/>
      <c r="S466" s="5"/>
      <c r="T466" s="5"/>
      <c r="U466" s="5"/>
      <c r="W466" s="5"/>
      <c r="X466" s="5"/>
      <c r="Y466" s="5"/>
      <c r="Z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</row>
    <row r="467" spans="18:199" ht="12.75">
      <c r="R467" s="5"/>
      <c r="S467" s="5"/>
      <c r="T467" s="5"/>
      <c r="U467" s="5"/>
      <c r="W467" s="5"/>
      <c r="X467" s="5"/>
      <c r="Y467" s="5"/>
      <c r="Z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</row>
    <row r="468" spans="18:199" ht="12.75">
      <c r="R468" s="5"/>
      <c r="S468" s="5"/>
      <c r="T468" s="5"/>
      <c r="U468" s="5"/>
      <c r="W468" s="5"/>
      <c r="X468" s="5"/>
      <c r="Y468" s="5"/>
      <c r="Z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</row>
    <row r="469" spans="18:199" ht="12.75">
      <c r="R469" s="5"/>
      <c r="S469" s="5"/>
      <c r="T469" s="5"/>
      <c r="U469" s="5"/>
      <c r="W469" s="5"/>
      <c r="X469" s="5"/>
      <c r="Y469" s="5"/>
      <c r="Z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</row>
    <row r="470" spans="18:199" ht="12.75">
      <c r="R470" s="5"/>
      <c r="S470" s="5"/>
      <c r="T470" s="5"/>
      <c r="U470" s="5"/>
      <c r="W470" s="5"/>
      <c r="X470" s="5"/>
      <c r="Y470" s="5"/>
      <c r="Z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</row>
    <row r="471" spans="18:199" ht="12.75">
      <c r="R471" s="5"/>
      <c r="S471" s="5"/>
      <c r="T471" s="5"/>
      <c r="U471" s="5"/>
      <c r="W471" s="5"/>
      <c r="X471" s="5"/>
      <c r="Y471" s="5"/>
      <c r="Z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</row>
    <row r="472" spans="18:199" ht="12.75">
      <c r="R472" s="5"/>
      <c r="S472" s="5"/>
      <c r="T472" s="5"/>
      <c r="U472" s="5"/>
      <c r="W472" s="5"/>
      <c r="X472" s="5"/>
      <c r="Y472" s="5"/>
      <c r="Z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</row>
    <row r="473" spans="18:199" ht="12.75">
      <c r="R473" s="5"/>
      <c r="S473" s="5"/>
      <c r="T473" s="5"/>
      <c r="U473" s="5"/>
      <c r="W473" s="5"/>
      <c r="X473" s="5"/>
      <c r="Y473" s="5"/>
      <c r="Z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</row>
    <row r="474" spans="18:199" ht="12.75">
      <c r="R474" s="5"/>
      <c r="S474" s="5"/>
      <c r="T474" s="5"/>
      <c r="U474" s="5"/>
      <c r="W474" s="5"/>
      <c r="X474" s="5"/>
      <c r="Y474" s="5"/>
      <c r="Z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</row>
    <row r="475" spans="18:199" ht="12.75">
      <c r="R475" s="5"/>
      <c r="S475" s="5"/>
      <c r="T475" s="5"/>
      <c r="U475" s="5"/>
      <c r="W475" s="5"/>
      <c r="X475" s="5"/>
      <c r="Y475" s="5"/>
      <c r="Z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</row>
    <row r="476" spans="18:199" ht="12.75">
      <c r="R476" s="5"/>
      <c r="S476" s="5"/>
      <c r="T476" s="5"/>
      <c r="U476" s="5"/>
      <c r="W476" s="5"/>
      <c r="X476" s="5"/>
      <c r="Y476" s="5"/>
      <c r="Z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</row>
    <row r="477" spans="18:199" ht="12.75">
      <c r="R477" s="5"/>
      <c r="S477" s="5"/>
      <c r="T477" s="5"/>
      <c r="U477" s="5"/>
      <c r="W477" s="5"/>
      <c r="X477" s="5"/>
      <c r="Y477" s="5"/>
      <c r="Z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</row>
    <row r="478" spans="18:199" ht="12.75">
      <c r="R478" s="5"/>
      <c r="S478" s="5"/>
      <c r="T478" s="5"/>
      <c r="U478" s="5"/>
      <c r="W478" s="5"/>
      <c r="X478" s="5"/>
      <c r="Y478" s="5"/>
      <c r="Z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</row>
    <row r="479" spans="18:199" ht="12.75">
      <c r="R479" s="5"/>
      <c r="S479" s="5"/>
      <c r="T479" s="5"/>
      <c r="U479" s="5"/>
      <c r="W479" s="5"/>
      <c r="X479" s="5"/>
      <c r="Y479" s="5"/>
      <c r="Z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</row>
    <row r="480" spans="18:199" ht="12.75">
      <c r="R480" s="5"/>
      <c r="S480" s="5"/>
      <c r="T480" s="5"/>
      <c r="U480" s="5"/>
      <c r="W480" s="5"/>
      <c r="X480" s="5"/>
      <c r="Y480" s="5"/>
      <c r="Z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</row>
    <row r="481" spans="18:199" ht="12.75">
      <c r="R481" s="5"/>
      <c r="S481" s="5"/>
      <c r="T481" s="5"/>
      <c r="U481" s="5"/>
      <c r="W481" s="5"/>
      <c r="X481" s="5"/>
      <c r="Y481" s="5"/>
      <c r="Z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</row>
    <row r="482" spans="18:199" ht="12.75">
      <c r="R482" s="5"/>
      <c r="S482" s="5"/>
      <c r="T482" s="5"/>
      <c r="U482" s="5"/>
      <c r="W482" s="5"/>
      <c r="X482" s="5"/>
      <c r="Y482" s="5"/>
      <c r="Z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</row>
    <row r="483" spans="18:199" ht="12.75">
      <c r="R483" s="5"/>
      <c r="S483" s="5"/>
      <c r="T483" s="5"/>
      <c r="U483" s="5"/>
      <c r="W483" s="5"/>
      <c r="X483" s="5"/>
      <c r="Y483" s="5"/>
      <c r="Z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</row>
    <row r="484" spans="18:199" ht="12.75">
      <c r="R484" s="5"/>
      <c r="S484" s="5"/>
      <c r="T484" s="5"/>
      <c r="U484" s="5"/>
      <c r="W484" s="5"/>
      <c r="X484" s="5"/>
      <c r="Y484" s="5"/>
      <c r="Z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</row>
    <row r="485" spans="18:199" ht="12.75">
      <c r="R485" s="5"/>
      <c r="S485" s="5"/>
      <c r="T485" s="5"/>
      <c r="U485" s="5"/>
      <c r="W485" s="5"/>
      <c r="X485" s="5"/>
      <c r="Y485" s="5"/>
      <c r="Z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</row>
    <row r="486" spans="18:199" ht="12.75">
      <c r="R486" s="5"/>
      <c r="S486" s="5"/>
      <c r="T486" s="5"/>
      <c r="U486" s="5"/>
      <c r="W486" s="5"/>
      <c r="X486" s="5"/>
      <c r="Y486" s="5"/>
      <c r="Z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</row>
    <row r="487" spans="18:199" ht="12.75">
      <c r="R487" s="5"/>
      <c r="S487" s="5"/>
      <c r="T487" s="5"/>
      <c r="U487" s="5"/>
      <c r="W487" s="5"/>
      <c r="X487" s="5"/>
      <c r="Y487" s="5"/>
      <c r="Z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</row>
    <row r="488" spans="18:199" ht="12.75">
      <c r="R488" s="5"/>
      <c r="S488" s="5"/>
      <c r="T488" s="5"/>
      <c r="U488" s="5"/>
      <c r="W488" s="5"/>
      <c r="X488" s="5"/>
      <c r="Y488" s="5"/>
      <c r="Z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</row>
    <row r="489" spans="18:199" ht="12.75">
      <c r="R489" s="5"/>
      <c r="S489" s="5"/>
      <c r="T489" s="5"/>
      <c r="U489" s="5"/>
      <c r="W489" s="5"/>
      <c r="X489" s="5"/>
      <c r="Y489" s="5"/>
      <c r="Z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</row>
    <row r="490" spans="18:199" ht="12.75">
      <c r="R490" s="5"/>
      <c r="S490" s="5"/>
      <c r="T490" s="5"/>
      <c r="U490" s="5"/>
      <c r="W490" s="5"/>
      <c r="X490" s="5"/>
      <c r="Y490" s="5"/>
      <c r="Z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</row>
    <row r="491" spans="18:199" ht="12.75">
      <c r="R491" s="5"/>
      <c r="S491" s="5"/>
      <c r="T491" s="5"/>
      <c r="U491" s="5"/>
      <c r="W491" s="5"/>
      <c r="X491" s="5"/>
      <c r="Y491" s="5"/>
      <c r="Z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</row>
    <row r="492" spans="18:199" ht="12.75">
      <c r="R492" s="5"/>
      <c r="S492" s="5"/>
      <c r="T492" s="5"/>
      <c r="U492" s="5"/>
      <c r="W492" s="5"/>
      <c r="X492" s="5"/>
      <c r="Y492" s="5"/>
      <c r="Z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</row>
    <row r="493" spans="18:199" ht="12.75">
      <c r="R493" s="5"/>
      <c r="S493" s="5"/>
      <c r="T493" s="5"/>
      <c r="U493" s="5"/>
      <c r="W493" s="5"/>
      <c r="X493" s="5"/>
      <c r="Y493" s="5"/>
      <c r="Z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</row>
    <row r="494" spans="18:199" ht="12.75">
      <c r="R494" s="5"/>
      <c r="S494" s="5"/>
      <c r="T494" s="5"/>
      <c r="U494" s="5"/>
      <c r="W494" s="5"/>
      <c r="X494" s="5"/>
      <c r="Y494" s="5"/>
      <c r="Z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</row>
    <row r="495" spans="18:199" ht="12.75">
      <c r="R495" s="5"/>
      <c r="S495" s="5"/>
      <c r="T495" s="5"/>
      <c r="U495" s="5"/>
      <c r="W495" s="5"/>
      <c r="X495" s="5"/>
      <c r="Y495" s="5"/>
      <c r="Z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</row>
    <row r="496" spans="18:199" ht="12.75">
      <c r="R496" s="5"/>
      <c r="S496" s="5"/>
      <c r="T496" s="5"/>
      <c r="U496" s="5"/>
      <c r="W496" s="5"/>
      <c r="X496" s="5"/>
      <c r="Y496" s="5"/>
      <c r="Z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</row>
    <row r="497" spans="18:199" ht="12.75">
      <c r="R497" s="5"/>
      <c r="S497" s="5"/>
      <c r="T497" s="5"/>
      <c r="U497" s="5"/>
      <c r="W497" s="5"/>
      <c r="X497" s="5"/>
      <c r="Y497" s="5"/>
      <c r="Z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</row>
    <row r="498" spans="18:199" ht="12.75">
      <c r="R498" s="5"/>
      <c r="S498" s="5"/>
      <c r="T498" s="5"/>
      <c r="U498" s="5"/>
      <c r="W498" s="5"/>
      <c r="X498" s="5"/>
      <c r="Y498" s="5"/>
      <c r="Z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</row>
    <row r="499" spans="18:199" ht="12.75">
      <c r="R499" s="5"/>
      <c r="S499" s="5"/>
      <c r="T499" s="5"/>
      <c r="U499" s="5"/>
      <c r="W499" s="5"/>
      <c r="X499" s="5"/>
      <c r="Y499" s="5"/>
      <c r="Z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</row>
    <row r="500" spans="18:199" ht="12.75">
      <c r="R500" s="5"/>
      <c r="S500" s="5"/>
      <c r="T500" s="5"/>
      <c r="U500" s="5"/>
      <c r="W500" s="5"/>
      <c r="X500" s="5"/>
      <c r="Y500" s="5"/>
      <c r="Z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</row>
    <row r="501" spans="18:199" ht="12.75">
      <c r="R501" s="5"/>
      <c r="S501" s="5"/>
      <c r="T501" s="5"/>
      <c r="U501" s="5"/>
      <c r="W501" s="5"/>
      <c r="X501" s="5"/>
      <c r="Y501" s="5"/>
      <c r="Z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</row>
    <row r="502" spans="18:199" ht="12.75">
      <c r="R502" s="5"/>
      <c r="S502" s="5"/>
      <c r="T502" s="5"/>
      <c r="U502" s="5"/>
      <c r="W502" s="5"/>
      <c r="X502" s="5"/>
      <c r="Y502" s="5"/>
      <c r="Z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</row>
    <row r="503" spans="18:199" ht="12.75">
      <c r="R503" s="5"/>
      <c r="S503" s="5"/>
      <c r="T503" s="5"/>
      <c r="U503" s="5"/>
      <c r="W503" s="5"/>
      <c r="X503" s="5"/>
      <c r="Y503" s="5"/>
      <c r="Z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</row>
    <row r="504" spans="18:199" ht="12.75">
      <c r="R504" s="5"/>
      <c r="S504" s="5"/>
      <c r="T504" s="5"/>
      <c r="U504" s="5"/>
      <c r="W504" s="5"/>
      <c r="X504" s="5"/>
      <c r="Y504" s="5"/>
      <c r="Z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</row>
    <row r="505" spans="18:199" ht="12.75">
      <c r="R505" s="5"/>
      <c r="S505" s="5"/>
      <c r="T505" s="5"/>
      <c r="U505" s="5"/>
      <c r="W505" s="5"/>
      <c r="X505" s="5"/>
      <c r="Y505" s="5"/>
      <c r="Z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</row>
    <row r="506" spans="18:199" ht="12.75">
      <c r="R506" s="5"/>
      <c r="S506" s="5"/>
      <c r="T506" s="5"/>
      <c r="U506" s="5"/>
      <c r="W506" s="5"/>
      <c r="X506" s="5"/>
      <c r="Y506" s="5"/>
      <c r="Z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</row>
    <row r="507" spans="18:199" ht="12.75">
      <c r="R507" s="5"/>
      <c r="S507" s="5"/>
      <c r="T507" s="5"/>
      <c r="U507" s="5"/>
      <c r="W507" s="5"/>
      <c r="X507" s="5"/>
      <c r="Y507" s="5"/>
      <c r="Z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</row>
    <row r="508" spans="18:199" ht="12.75">
      <c r="R508" s="5"/>
      <c r="S508" s="5"/>
      <c r="T508" s="5"/>
      <c r="U508" s="5"/>
      <c r="W508" s="5"/>
      <c r="X508" s="5"/>
      <c r="Y508" s="5"/>
      <c r="Z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</row>
    <row r="509" spans="18:199" ht="12.75">
      <c r="R509" s="5"/>
      <c r="S509" s="5"/>
      <c r="T509" s="5"/>
      <c r="U509" s="5"/>
      <c r="W509" s="5"/>
      <c r="X509" s="5"/>
      <c r="Y509" s="5"/>
      <c r="Z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</row>
    <row r="510" spans="18:199" ht="12.75">
      <c r="R510" s="5"/>
      <c r="S510" s="5"/>
      <c r="T510" s="5"/>
      <c r="U510" s="5"/>
      <c r="W510" s="5"/>
      <c r="X510" s="5"/>
      <c r="Y510" s="5"/>
      <c r="Z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</row>
    <row r="511" spans="18:199" ht="12.75">
      <c r="R511" s="5"/>
      <c r="S511" s="5"/>
      <c r="T511" s="5"/>
      <c r="U511" s="5"/>
      <c r="W511" s="5"/>
      <c r="X511" s="5"/>
      <c r="Y511" s="5"/>
      <c r="Z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</row>
    <row r="512" spans="18:199" ht="12.75">
      <c r="R512" s="5"/>
      <c r="S512" s="5"/>
      <c r="T512" s="5"/>
      <c r="U512" s="5"/>
      <c r="W512" s="5"/>
      <c r="X512" s="5"/>
      <c r="Y512" s="5"/>
      <c r="Z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</row>
    <row r="513" spans="18:199" ht="12.75">
      <c r="R513" s="5"/>
      <c r="S513" s="5"/>
      <c r="T513" s="5"/>
      <c r="U513" s="5"/>
      <c r="W513" s="5"/>
      <c r="X513" s="5"/>
      <c r="Y513" s="5"/>
      <c r="Z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</row>
    <row r="514" spans="18:199" ht="12.75">
      <c r="R514" s="5"/>
      <c r="S514" s="5"/>
      <c r="T514" s="5"/>
      <c r="U514" s="5"/>
      <c r="W514" s="5"/>
      <c r="X514" s="5"/>
      <c r="Y514" s="5"/>
      <c r="Z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</row>
    <row r="515" spans="18:199" ht="12.75">
      <c r="R515" s="5"/>
      <c r="S515" s="5"/>
      <c r="T515" s="5"/>
      <c r="U515" s="5"/>
      <c r="W515" s="5"/>
      <c r="X515" s="5"/>
      <c r="Y515" s="5"/>
      <c r="Z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</row>
    <row r="516" spans="18:199" ht="12.75">
      <c r="R516" s="5"/>
      <c r="S516" s="5"/>
      <c r="T516" s="5"/>
      <c r="U516" s="5"/>
      <c r="W516" s="5"/>
      <c r="X516" s="5"/>
      <c r="Y516" s="5"/>
      <c r="Z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</row>
    <row r="517" spans="18:199" ht="12.75">
      <c r="R517" s="5"/>
      <c r="S517" s="5"/>
      <c r="T517" s="5"/>
      <c r="U517" s="5"/>
      <c r="W517" s="5"/>
      <c r="X517" s="5"/>
      <c r="Y517" s="5"/>
      <c r="Z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</row>
    <row r="518" spans="18:199" ht="12.75">
      <c r="R518" s="5"/>
      <c r="S518" s="5"/>
      <c r="T518" s="5"/>
      <c r="U518" s="5"/>
      <c r="W518" s="5"/>
      <c r="X518" s="5"/>
      <c r="Y518" s="5"/>
      <c r="Z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</row>
    <row r="519" spans="18:199" ht="12.75">
      <c r="R519" s="5"/>
      <c r="S519" s="5"/>
      <c r="T519" s="5"/>
      <c r="U519" s="5"/>
      <c r="W519" s="5"/>
      <c r="X519" s="5"/>
      <c r="Y519" s="5"/>
      <c r="Z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</row>
    <row r="520" spans="18:199" ht="12.75">
      <c r="R520" s="5"/>
      <c r="S520" s="5"/>
      <c r="T520" s="5"/>
      <c r="U520" s="5"/>
      <c r="W520" s="5"/>
      <c r="X520" s="5"/>
      <c r="Y520" s="5"/>
      <c r="Z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</row>
    <row r="521" spans="18:199" ht="12.75">
      <c r="R521" s="5"/>
      <c r="S521" s="5"/>
      <c r="T521" s="5"/>
      <c r="U521" s="5"/>
      <c r="W521" s="5"/>
      <c r="X521" s="5"/>
      <c r="Y521" s="5"/>
      <c r="Z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</row>
    <row r="522" spans="18:199" ht="12.75">
      <c r="R522" s="5"/>
      <c r="S522" s="5"/>
      <c r="T522" s="5"/>
      <c r="U522" s="5"/>
      <c r="W522" s="5"/>
      <c r="X522" s="5"/>
      <c r="Y522" s="5"/>
      <c r="Z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</row>
    <row r="523" spans="18:199" ht="12.75">
      <c r="R523" s="5"/>
      <c r="S523" s="5"/>
      <c r="T523" s="5"/>
      <c r="U523" s="5"/>
      <c r="W523" s="5"/>
      <c r="X523" s="5"/>
      <c r="Y523" s="5"/>
      <c r="Z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</row>
    <row r="524" spans="18:199" ht="12.75">
      <c r="R524" s="5"/>
      <c r="S524" s="5"/>
      <c r="T524" s="5"/>
      <c r="U524" s="5"/>
      <c r="W524" s="5"/>
      <c r="X524" s="5"/>
      <c r="Y524" s="5"/>
      <c r="Z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</row>
    <row r="525" spans="18:199" ht="12.75">
      <c r="R525" s="5"/>
      <c r="S525" s="5"/>
      <c r="T525" s="5"/>
      <c r="U525" s="5"/>
      <c r="W525" s="5"/>
      <c r="X525" s="5"/>
      <c r="Y525" s="5"/>
      <c r="Z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</row>
    <row r="526" spans="18:199" ht="12.75">
      <c r="R526" s="5"/>
      <c r="S526" s="5"/>
      <c r="T526" s="5"/>
      <c r="U526" s="5"/>
      <c r="W526" s="5"/>
      <c r="X526" s="5"/>
      <c r="Y526" s="5"/>
      <c r="Z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</row>
    <row r="527" spans="18:199" ht="12.75">
      <c r="R527" s="5"/>
      <c r="S527" s="5"/>
      <c r="T527" s="5"/>
      <c r="U527" s="5"/>
      <c r="W527" s="5"/>
      <c r="X527" s="5"/>
      <c r="Y527" s="5"/>
      <c r="Z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</row>
    <row r="528" spans="18:199" ht="12.75">
      <c r="R528" s="5"/>
      <c r="S528" s="5"/>
      <c r="T528" s="5"/>
      <c r="U528" s="5"/>
      <c r="W528" s="5"/>
      <c r="X528" s="5"/>
      <c r="Y528" s="5"/>
      <c r="Z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</row>
    <row r="529" spans="18:199" ht="12.75">
      <c r="R529" s="5"/>
      <c r="S529" s="5"/>
      <c r="T529" s="5"/>
      <c r="U529" s="5"/>
      <c r="W529" s="5"/>
      <c r="X529" s="5"/>
      <c r="Y529" s="5"/>
      <c r="Z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</row>
    <row r="530" spans="18:199" ht="12.75">
      <c r="R530" s="5"/>
      <c r="S530" s="5"/>
      <c r="T530" s="5"/>
      <c r="U530" s="5"/>
      <c r="W530" s="5"/>
      <c r="X530" s="5"/>
      <c r="Y530" s="5"/>
      <c r="Z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</row>
    <row r="531" spans="18:199" ht="12.75">
      <c r="R531" s="5"/>
      <c r="S531" s="5"/>
      <c r="T531" s="5"/>
      <c r="U531" s="5"/>
      <c r="W531" s="5"/>
      <c r="X531" s="5"/>
      <c r="Y531" s="5"/>
      <c r="Z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</row>
    <row r="532" spans="18:199" ht="12.75">
      <c r="R532" s="5"/>
      <c r="S532" s="5"/>
      <c r="T532" s="5"/>
      <c r="U532" s="5"/>
      <c r="W532" s="5"/>
      <c r="X532" s="5"/>
      <c r="Y532" s="5"/>
      <c r="Z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</row>
    <row r="533" spans="18:199" ht="12.75">
      <c r="R533" s="5"/>
      <c r="S533" s="5"/>
      <c r="T533" s="5"/>
      <c r="U533" s="5"/>
      <c r="W533" s="5"/>
      <c r="X533" s="5"/>
      <c r="Y533" s="5"/>
      <c r="Z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</row>
    <row r="534" spans="18:199" ht="12.75">
      <c r="R534" s="5"/>
      <c r="S534" s="5"/>
      <c r="T534" s="5"/>
      <c r="U534" s="5"/>
      <c r="W534" s="5"/>
      <c r="X534" s="5"/>
      <c r="Y534" s="5"/>
      <c r="Z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</row>
    <row r="535" spans="18:199" ht="12.75">
      <c r="R535" s="5"/>
      <c r="S535" s="5"/>
      <c r="T535" s="5"/>
      <c r="U535" s="5"/>
      <c r="W535" s="5"/>
      <c r="X535" s="5"/>
      <c r="Y535" s="5"/>
      <c r="Z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</row>
    <row r="536" spans="18:199" ht="12.75">
      <c r="R536" s="5"/>
      <c r="S536" s="5"/>
      <c r="T536" s="5"/>
      <c r="U536" s="5"/>
      <c r="W536" s="5"/>
      <c r="X536" s="5"/>
      <c r="Y536" s="5"/>
      <c r="Z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</row>
    <row r="537" spans="18:199" ht="12.75">
      <c r="R537" s="5"/>
      <c r="S537" s="5"/>
      <c r="T537" s="5"/>
      <c r="U537" s="5"/>
      <c r="W537" s="5"/>
      <c r="X537" s="5"/>
      <c r="Y537" s="5"/>
      <c r="Z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</row>
    <row r="538" spans="18:199" ht="12.75">
      <c r="R538" s="5"/>
      <c r="S538" s="5"/>
      <c r="T538" s="5"/>
      <c r="U538" s="5"/>
      <c r="W538" s="5"/>
      <c r="X538" s="5"/>
      <c r="Y538" s="5"/>
      <c r="Z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</row>
    <row r="539" spans="18:199" ht="12.75">
      <c r="R539" s="5"/>
      <c r="S539" s="5"/>
      <c r="T539" s="5"/>
      <c r="U539" s="5"/>
      <c r="W539" s="5"/>
      <c r="X539" s="5"/>
      <c r="Y539" s="5"/>
      <c r="Z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</row>
    <row r="540" spans="18:199" ht="12.75">
      <c r="R540" s="5"/>
      <c r="S540" s="5"/>
      <c r="T540" s="5"/>
      <c r="U540" s="5"/>
      <c r="W540" s="5"/>
      <c r="X540" s="5"/>
      <c r="Y540" s="5"/>
      <c r="Z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</row>
    <row r="541" spans="18:199" ht="12.75">
      <c r="R541" s="5"/>
      <c r="S541" s="5"/>
      <c r="T541" s="5"/>
      <c r="U541" s="5"/>
      <c r="W541" s="5"/>
      <c r="X541" s="5"/>
      <c r="Y541" s="5"/>
      <c r="Z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</row>
    <row r="542" spans="18:199" ht="12.75">
      <c r="R542" s="5"/>
      <c r="S542" s="5"/>
      <c r="T542" s="5"/>
      <c r="U542" s="5"/>
      <c r="W542" s="5"/>
      <c r="X542" s="5"/>
      <c r="Y542" s="5"/>
      <c r="Z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</row>
    <row r="543" spans="18:199" ht="12.75">
      <c r="R543" s="5"/>
      <c r="S543" s="5"/>
      <c r="T543" s="5"/>
      <c r="U543" s="5"/>
      <c r="W543" s="5"/>
      <c r="X543" s="5"/>
      <c r="Y543" s="5"/>
      <c r="Z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</row>
    <row r="544" spans="18:199" ht="12.75">
      <c r="R544" s="5"/>
      <c r="S544" s="5"/>
      <c r="T544" s="5"/>
      <c r="U544" s="5"/>
      <c r="W544" s="5"/>
      <c r="X544" s="5"/>
      <c r="Y544" s="5"/>
      <c r="Z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</row>
    <row r="545" spans="18:199" ht="12.75">
      <c r="R545" s="5"/>
      <c r="S545" s="5"/>
      <c r="T545" s="5"/>
      <c r="U545" s="5"/>
      <c r="W545" s="5"/>
      <c r="X545" s="5"/>
      <c r="Y545" s="5"/>
      <c r="Z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</row>
    <row r="546" spans="18:199" ht="12.75">
      <c r="R546" s="5"/>
      <c r="S546" s="5"/>
      <c r="T546" s="5"/>
      <c r="U546" s="5"/>
      <c r="W546" s="5"/>
      <c r="X546" s="5"/>
      <c r="Y546" s="5"/>
      <c r="Z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</row>
    <row r="547" spans="18:199" ht="12.75">
      <c r="R547" s="5"/>
      <c r="S547" s="5"/>
      <c r="T547" s="5"/>
      <c r="U547" s="5"/>
      <c r="W547" s="5"/>
      <c r="X547" s="5"/>
      <c r="Y547" s="5"/>
      <c r="Z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</row>
    <row r="548" spans="18:199" ht="12.75">
      <c r="R548" s="5"/>
      <c r="S548" s="5"/>
      <c r="T548" s="5"/>
      <c r="U548" s="5"/>
      <c r="W548" s="5"/>
      <c r="X548" s="5"/>
      <c r="Y548" s="5"/>
      <c r="Z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</row>
    <row r="549" spans="18:199" ht="12.75">
      <c r="R549" s="5"/>
      <c r="S549" s="5"/>
      <c r="T549" s="5"/>
      <c r="U549" s="5"/>
      <c r="W549" s="5"/>
      <c r="X549" s="5"/>
      <c r="Y549" s="5"/>
      <c r="Z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</row>
    <row r="550" spans="18:199" ht="12.75">
      <c r="R550" s="5"/>
      <c r="S550" s="5"/>
      <c r="T550" s="5"/>
      <c r="U550" s="5"/>
      <c r="W550" s="5"/>
      <c r="X550" s="5"/>
      <c r="Y550" s="5"/>
      <c r="Z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</row>
    <row r="551" spans="18:199" ht="12.75">
      <c r="R551" s="5"/>
      <c r="S551" s="5"/>
      <c r="T551" s="5"/>
      <c r="U551" s="5"/>
      <c r="W551" s="5"/>
      <c r="X551" s="5"/>
      <c r="Y551" s="5"/>
      <c r="Z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</row>
    <row r="552" spans="18:199" ht="12.75">
      <c r="R552" s="5"/>
      <c r="S552" s="5"/>
      <c r="T552" s="5"/>
      <c r="U552" s="5"/>
      <c r="W552" s="5"/>
      <c r="X552" s="5"/>
      <c r="Y552" s="5"/>
      <c r="Z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</row>
    <row r="553" spans="18:199" ht="12.75">
      <c r="R553" s="5"/>
      <c r="S553" s="5"/>
      <c r="T553" s="5"/>
      <c r="U553" s="5"/>
      <c r="W553" s="5"/>
      <c r="X553" s="5"/>
      <c r="Y553" s="5"/>
      <c r="Z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</row>
    <row r="554" spans="18:199" ht="12.75">
      <c r="R554" s="5"/>
      <c r="S554" s="5"/>
      <c r="T554" s="5"/>
      <c r="U554" s="5"/>
      <c r="W554" s="5"/>
      <c r="X554" s="5"/>
      <c r="Y554" s="5"/>
      <c r="Z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</row>
    <row r="555" spans="18:199" ht="12.75">
      <c r="R555" s="5"/>
      <c r="S555" s="5"/>
      <c r="T555" s="5"/>
      <c r="U555" s="5"/>
      <c r="W555" s="5"/>
      <c r="X555" s="5"/>
      <c r="Y555" s="5"/>
      <c r="Z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</row>
    <row r="556" spans="18:199" ht="12.75">
      <c r="R556" s="5"/>
      <c r="S556" s="5"/>
      <c r="T556" s="5"/>
      <c r="U556" s="5"/>
      <c r="W556" s="5"/>
      <c r="X556" s="5"/>
      <c r="Y556" s="5"/>
      <c r="Z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</row>
    <row r="557" spans="18:199" ht="12.75">
      <c r="R557" s="5"/>
      <c r="S557" s="5"/>
      <c r="T557" s="5"/>
      <c r="U557" s="5"/>
      <c r="W557" s="5"/>
      <c r="X557" s="5"/>
      <c r="Y557" s="5"/>
      <c r="Z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</row>
    <row r="558" spans="18:199" ht="12.75">
      <c r="R558" s="5"/>
      <c r="S558" s="5"/>
      <c r="T558" s="5"/>
      <c r="U558" s="5"/>
      <c r="W558" s="5"/>
      <c r="X558" s="5"/>
      <c r="Y558" s="5"/>
      <c r="Z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</row>
    <row r="559" spans="18:199" ht="12.75">
      <c r="R559" s="5"/>
      <c r="S559" s="5"/>
      <c r="T559" s="5"/>
      <c r="U559" s="5"/>
      <c r="W559" s="5"/>
      <c r="X559" s="5"/>
      <c r="Y559" s="5"/>
      <c r="Z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</row>
    <row r="560" spans="18:199" ht="12.75">
      <c r="R560" s="5"/>
      <c r="S560" s="5"/>
      <c r="T560" s="5"/>
      <c r="U560" s="5"/>
      <c r="W560" s="5"/>
      <c r="X560" s="5"/>
      <c r="Y560" s="5"/>
      <c r="Z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</row>
    <row r="561" spans="18:199" ht="12.75">
      <c r="R561" s="5"/>
      <c r="S561" s="5"/>
      <c r="T561" s="5"/>
      <c r="U561" s="5"/>
      <c r="W561" s="5"/>
      <c r="X561" s="5"/>
      <c r="Y561" s="5"/>
      <c r="Z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</row>
  </sheetData>
  <sheetProtection/>
  <printOptions/>
  <pageMargins left="0.5" right="0" top="0.25" bottom="0.5" header="0.5" footer="0.25"/>
  <pageSetup horizontalDpi="600" verticalDpi="600" orientation="landscape" scale="90" r:id="rId1"/>
  <headerFooter alignWithMargins="0">
    <oddFooter>&amp;CPage &amp;P of &amp;N&amp;R&amp;D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R71"/>
  <sheetViews>
    <sheetView zoomScale="150" zoomScaleNormal="15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6" sqref="M26"/>
    </sheetView>
  </sheetViews>
  <sheetFormatPr defaultColWidth="8.7109375" defaultRowHeight="12.75"/>
  <cols>
    <col min="1" max="1" width="9.7109375" style="36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hidden="1" customWidth="1"/>
    <col min="13" max="16" width="12.7109375" style="5" customWidth="1"/>
    <col min="17" max="17" width="3.7109375" style="5" customWidth="1"/>
    <col min="18" max="21" width="13.7109375" style="5" customWidth="1"/>
    <col min="22" max="22" width="3.4218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2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5" customWidth="1"/>
    <col min="147" max="147" width="3.7109375" style="0" customWidth="1"/>
  </cols>
  <sheetData>
    <row r="1" spans="1:148" ht="12.75">
      <c r="A1" s="1"/>
      <c r="B1" s="2"/>
      <c r="D1" s="4"/>
      <c r="M1" s="4" t="s">
        <v>92</v>
      </c>
      <c r="R1" s="4"/>
      <c r="AG1" s="4" t="s">
        <v>92</v>
      </c>
      <c r="AQ1" s="4" t="s">
        <v>92</v>
      </c>
      <c r="BF1" s="4" t="s">
        <v>92</v>
      </c>
      <c r="BU1" s="4" t="s">
        <v>92</v>
      </c>
      <c r="CJ1" s="4" t="s">
        <v>92</v>
      </c>
      <c r="CY1" s="4" t="s">
        <v>92</v>
      </c>
      <c r="DN1" s="4" t="s">
        <v>92</v>
      </c>
      <c r="EC1" s="4" t="s">
        <v>92</v>
      </c>
      <c r="ER1" s="4" t="s">
        <v>92</v>
      </c>
    </row>
    <row r="2" spans="1:148" ht="12.75">
      <c r="A2" s="1"/>
      <c r="B2" s="2"/>
      <c r="D2" s="4"/>
      <c r="M2" s="4" t="s">
        <v>91</v>
      </c>
      <c r="R2" s="4"/>
      <c r="AG2" s="4" t="s">
        <v>91</v>
      </c>
      <c r="AQ2" s="4" t="s">
        <v>91</v>
      </c>
      <c r="BF2" s="4" t="s">
        <v>91</v>
      </c>
      <c r="BU2" s="4" t="s">
        <v>91</v>
      </c>
      <c r="CJ2" s="4" t="s">
        <v>91</v>
      </c>
      <c r="CY2" s="4" t="s">
        <v>91</v>
      </c>
      <c r="DN2" s="4" t="s">
        <v>91</v>
      </c>
      <c r="EC2" s="4" t="s">
        <v>91</v>
      </c>
      <c r="ER2" s="4" t="s">
        <v>91</v>
      </c>
    </row>
    <row r="3" spans="1:148" ht="12.75">
      <c r="A3" s="1"/>
      <c r="B3" s="2"/>
      <c r="D3" s="7"/>
      <c r="M3" s="4" t="str">
        <f>'2010(D&amp;E)'!C3</f>
        <v>2010 Series D &amp; 2010 Series E Bond Funded Projects After 2019C</v>
      </c>
      <c r="R3" s="4"/>
      <c r="AG3" s="4" t="s">
        <v>115</v>
      </c>
      <c r="AQ3" s="4" t="s">
        <v>115</v>
      </c>
      <c r="BF3" s="4" t="s">
        <v>115</v>
      </c>
      <c r="BU3" s="4" t="s">
        <v>115</v>
      </c>
      <c r="CJ3" s="4" t="s">
        <v>115</v>
      </c>
      <c r="CY3" s="4" t="s">
        <v>115</v>
      </c>
      <c r="DN3" s="4" t="s">
        <v>115</v>
      </c>
      <c r="EC3" s="4" t="s">
        <v>115</v>
      </c>
      <c r="ER3" s="4" t="s">
        <v>115</v>
      </c>
    </row>
    <row r="4" spans="1:4" ht="12.75">
      <c r="A4" s="1"/>
      <c r="B4" s="2"/>
      <c r="C4" s="4"/>
      <c r="D4" s="4"/>
    </row>
    <row r="5" spans="1:146" ht="12.75">
      <c r="A5" s="9" t="s">
        <v>0</v>
      </c>
      <c r="C5" s="78" t="s">
        <v>173</v>
      </c>
      <c r="D5" s="78"/>
      <c r="E5" s="79"/>
      <c r="F5" s="10"/>
      <c r="H5" s="11" t="s">
        <v>171</v>
      </c>
      <c r="I5" s="14"/>
      <c r="J5" s="13"/>
      <c r="K5" s="81"/>
      <c r="M5" s="39" t="s">
        <v>19</v>
      </c>
      <c r="N5" s="12"/>
      <c r="O5" s="13"/>
      <c r="P5" s="81"/>
      <c r="R5" s="39" t="s">
        <v>131</v>
      </c>
      <c r="S5" s="12"/>
      <c r="T5" s="13"/>
      <c r="U5" s="81"/>
      <c r="V5" s="82"/>
      <c r="W5" s="39" t="s">
        <v>176</v>
      </c>
      <c r="X5" s="12"/>
      <c r="Y5" s="13"/>
      <c r="Z5" s="81"/>
      <c r="AB5" s="39" t="s">
        <v>132</v>
      </c>
      <c r="AC5" s="12"/>
      <c r="AD5" s="13"/>
      <c r="AE5" s="81"/>
      <c r="AG5" s="39" t="s">
        <v>133</v>
      </c>
      <c r="AH5" s="12"/>
      <c r="AI5" s="13"/>
      <c r="AJ5" s="81"/>
      <c r="AL5" s="39" t="s">
        <v>20</v>
      </c>
      <c r="AM5" s="12"/>
      <c r="AN5" s="13"/>
      <c r="AO5" s="81"/>
      <c r="AQ5" s="39" t="s">
        <v>21</v>
      </c>
      <c r="AR5" s="12"/>
      <c r="AS5" s="13"/>
      <c r="AT5" s="81"/>
      <c r="AV5" s="39" t="s">
        <v>93</v>
      </c>
      <c r="AW5" s="12"/>
      <c r="AX5" s="13"/>
      <c r="AY5" s="81"/>
      <c r="BA5" s="39" t="s">
        <v>134</v>
      </c>
      <c r="BB5" s="12"/>
      <c r="BC5" s="13"/>
      <c r="BD5" s="81"/>
      <c r="BF5" s="39" t="s">
        <v>167</v>
      </c>
      <c r="BG5" s="12"/>
      <c r="BH5" s="13"/>
      <c r="BI5" s="81"/>
      <c r="BK5" s="11" t="s">
        <v>22</v>
      </c>
      <c r="BL5" s="12"/>
      <c r="BM5" s="13"/>
      <c r="BN5" s="81"/>
      <c r="BP5" s="11" t="s">
        <v>168</v>
      </c>
      <c r="BQ5" s="12"/>
      <c r="BR5" s="13"/>
      <c r="BS5" s="81"/>
      <c r="BU5" s="11" t="s">
        <v>135</v>
      </c>
      <c r="BV5" s="12"/>
      <c r="BW5" s="13"/>
      <c r="BX5" s="81"/>
      <c r="BZ5" s="39" t="s">
        <v>23</v>
      </c>
      <c r="CA5" s="12"/>
      <c r="CB5" s="13"/>
      <c r="CC5" s="81"/>
      <c r="CE5" s="11" t="s">
        <v>24</v>
      </c>
      <c r="CF5" s="12"/>
      <c r="CG5" s="13"/>
      <c r="CH5" s="81"/>
      <c r="CJ5" s="39" t="s">
        <v>25</v>
      </c>
      <c r="CK5" s="12"/>
      <c r="CL5" s="13"/>
      <c r="CM5" s="81"/>
      <c r="CO5" s="39" t="s">
        <v>26</v>
      </c>
      <c r="CP5" s="14"/>
      <c r="CQ5" s="13"/>
      <c r="CR5" s="81"/>
      <c r="CT5" s="39" t="s">
        <v>27</v>
      </c>
      <c r="CU5" s="14"/>
      <c r="CV5" s="13"/>
      <c r="CW5" s="81"/>
      <c r="CY5" s="39" t="s">
        <v>28</v>
      </c>
      <c r="CZ5" s="14"/>
      <c r="DA5" s="13"/>
      <c r="DB5" s="81"/>
      <c r="DD5" s="39" t="s">
        <v>94</v>
      </c>
      <c r="DE5" s="14"/>
      <c r="DF5" s="13"/>
      <c r="DG5" s="81"/>
      <c r="DI5" s="39" t="s">
        <v>29</v>
      </c>
      <c r="DJ5" s="14"/>
      <c r="DK5" s="13"/>
      <c r="DL5" s="81"/>
      <c r="DM5" s="42"/>
      <c r="DN5" s="11" t="s">
        <v>30</v>
      </c>
      <c r="DO5" s="14"/>
      <c r="DP5" s="13"/>
      <c r="DQ5" s="81"/>
      <c r="DR5" s="43"/>
      <c r="DS5" s="11" t="s">
        <v>31</v>
      </c>
      <c r="DT5" s="14"/>
      <c r="DU5" s="13"/>
      <c r="DV5" s="81"/>
      <c r="DW5" s="43"/>
      <c r="DX5" s="11" t="s">
        <v>95</v>
      </c>
      <c r="DY5" s="14"/>
      <c r="DZ5" s="13"/>
      <c r="EA5" s="81"/>
      <c r="EB5" s="43"/>
      <c r="EC5" s="39" t="s">
        <v>136</v>
      </c>
      <c r="ED5" s="14"/>
      <c r="EE5" s="13"/>
      <c r="EF5" s="81"/>
      <c r="EG5" s="43"/>
      <c r="EH5" s="11" t="s">
        <v>96</v>
      </c>
      <c r="EI5" s="14"/>
      <c r="EJ5" s="13"/>
      <c r="EK5" s="81"/>
      <c r="EL5" s="43"/>
      <c r="EM5" s="11" t="s">
        <v>169</v>
      </c>
      <c r="EN5" s="14"/>
      <c r="EO5" s="13"/>
      <c r="EP5" s="81"/>
    </row>
    <row r="6" spans="1:146" ht="12.75">
      <c r="A6" s="20" t="s">
        <v>15</v>
      </c>
      <c r="B6" s="8"/>
      <c r="C6" s="40"/>
      <c r="D6" s="41" t="str">
        <f>'2010(D&amp;E)'!D6</f>
        <v>After 2019 C</v>
      </c>
      <c r="E6" s="13"/>
      <c r="F6" s="80" t="s">
        <v>174</v>
      </c>
      <c r="H6" s="21">
        <f>M6+R6+AB6+AG6+AL6+W6+AQ6+AV6+BA6+BK6+BU6+BZ6+CE6+CJ6+CO6+CT6+CY6+DD6+DI6+DN6+DS6+DX6+EC6+EH6</f>
        <v>0.14227249999999997</v>
      </c>
      <c r="I6" s="22">
        <v>0.223231</v>
      </c>
      <c r="J6" s="23"/>
      <c r="K6" s="80" t="s">
        <v>174</v>
      </c>
      <c r="M6" s="44">
        <v>0.0232253</v>
      </c>
      <c r="N6" s="8">
        <v>0.0468017</v>
      </c>
      <c r="O6" s="23"/>
      <c r="P6" s="80" t="s">
        <v>174</v>
      </c>
      <c r="R6" s="44">
        <v>0.0062124</v>
      </c>
      <c r="S6" s="8">
        <v>0.0065137</v>
      </c>
      <c r="T6" s="23"/>
      <c r="U6" s="80" t="s">
        <v>174</v>
      </c>
      <c r="V6" s="83"/>
      <c r="W6" s="44">
        <v>0.0009275</v>
      </c>
      <c r="X6" s="8">
        <v>0.000936</v>
      </c>
      <c r="Y6" s="23"/>
      <c r="Z6" s="80" t="s">
        <v>174</v>
      </c>
      <c r="AB6" s="44">
        <v>0.0028654</v>
      </c>
      <c r="AC6" s="8">
        <v>0.0055081</v>
      </c>
      <c r="AD6" s="23"/>
      <c r="AE6" s="80" t="s">
        <v>174</v>
      </c>
      <c r="AG6" s="44">
        <v>0.0024251</v>
      </c>
      <c r="AH6" s="8">
        <v>0.0024473</v>
      </c>
      <c r="AI6" s="23"/>
      <c r="AJ6" s="80" t="s">
        <v>174</v>
      </c>
      <c r="AL6" s="44">
        <v>0.0007691</v>
      </c>
      <c r="AM6" s="8">
        <v>0.0015559</v>
      </c>
      <c r="AN6" s="23"/>
      <c r="AO6" s="80" t="s">
        <v>174</v>
      </c>
      <c r="AQ6" s="44">
        <v>0.0037867</v>
      </c>
      <c r="AR6" s="8">
        <v>0.0041985</v>
      </c>
      <c r="AS6" s="23"/>
      <c r="AT6" s="80" t="s">
        <v>174</v>
      </c>
      <c r="AV6" s="44">
        <v>8E-07</v>
      </c>
      <c r="AW6" s="8">
        <v>8E-07</v>
      </c>
      <c r="AX6" s="23"/>
      <c r="AY6" s="80" t="s">
        <v>174</v>
      </c>
      <c r="BA6" s="44">
        <v>0.0025737</v>
      </c>
      <c r="BB6" s="8">
        <v>0.0025973</v>
      </c>
      <c r="BC6" s="23"/>
      <c r="BD6" s="80" t="s">
        <v>174</v>
      </c>
      <c r="BF6" s="44">
        <v>0</v>
      </c>
      <c r="BG6" s="8">
        <v>0.0047809</v>
      </c>
      <c r="BH6" s="23"/>
      <c r="BI6" s="80" t="s">
        <v>174</v>
      </c>
      <c r="BK6" s="44">
        <v>0.0078164</v>
      </c>
      <c r="BL6" s="8">
        <v>0.0124444</v>
      </c>
      <c r="BM6" s="23"/>
      <c r="BN6" s="80" t="s">
        <v>174</v>
      </c>
      <c r="BP6" s="44">
        <v>0</v>
      </c>
      <c r="BQ6" s="8">
        <v>0.0012659</v>
      </c>
      <c r="BR6" s="23"/>
      <c r="BS6" s="80" t="s">
        <v>174</v>
      </c>
      <c r="BU6" s="44">
        <v>0.0001568</v>
      </c>
      <c r="BV6" s="8">
        <v>0.0001582</v>
      </c>
      <c r="BW6" s="23"/>
      <c r="BX6" s="80" t="s">
        <v>174</v>
      </c>
      <c r="BZ6" s="44">
        <v>0.0001416</v>
      </c>
      <c r="CA6" s="8">
        <v>0.0001429</v>
      </c>
      <c r="CB6" s="23"/>
      <c r="CC6" s="80" t="s">
        <v>174</v>
      </c>
      <c r="CE6" s="44">
        <v>0.0021433</v>
      </c>
      <c r="CF6" s="8">
        <v>0.0035531</v>
      </c>
      <c r="CG6" s="23"/>
      <c r="CH6" s="80" t="s">
        <v>174</v>
      </c>
      <c r="CJ6" s="44">
        <v>0.0001105</v>
      </c>
      <c r="CK6" s="8">
        <v>0.0002758</v>
      </c>
      <c r="CL6" s="23"/>
      <c r="CM6" s="80" t="s">
        <v>174</v>
      </c>
      <c r="CO6" s="44">
        <v>0.0019505</v>
      </c>
      <c r="CP6" s="22">
        <v>0.0021815</v>
      </c>
      <c r="CQ6" s="23"/>
      <c r="CR6" s="80" t="s">
        <v>174</v>
      </c>
      <c r="CT6" s="44">
        <v>0.0110992</v>
      </c>
      <c r="CU6" s="22">
        <v>0.0112641</v>
      </c>
      <c r="CV6" s="23"/>
      <c r="CW6" s="80" t="s">
        <v>174</v>
      </c>
      <c r="CY6" s="44">
        <v>0.0008856</v>
      </c>
      <c r="CZ6" s="22">
        <v>0.0008937</v>
      </c>
      <c r="DA6" s="23"/>
      <c r="DB6" s="80" t="s">
        <v>174</v>
      </c>
      <c r="DD6" s="44">
        <v>0.0003003</v>
      </c>
      <c r="DE6" s="22">
        <v>0.0024264</v>
      </c>
      <c r="DF6" s="23"/>
      <c r="DG6" s="80" t="s">
        <v>174</v>
      </c>
      <c r="DI6" s="44">
        <v>0.0022678</v>
      </c>
      <c r="DJ6" s="22">
        <v>0.0027208</v>
      </c>
      <c r="DK6" s="23"/>
      <c r="DL6" s="80" t="s">
        <v>174</v>
      </c>
      <c r="DM6" s="42"/>
      <c r="DN6" s="44">
        <v>0.0063511</v>
      </c>
      <c r="DO6" s="22">
        <v>0.0068555</v>
      </c>
      <c r="DP6" s="23"/>
      <c r="DQ6" s="80" t="s">
        <v>174</v>
      </c>
      <c r="DR6" s="43"/>
      <c r="DS6" s="44">
        <v>0.0079036</v>
      </c>
      <c r="DT6" s="22">
        <v>0.0105327</v>
      </c>
      <c r="DU6" s="23"/>
      <c r="DV6" s="80" t="s">
        <v>174</v>
      </c>
      <c r="DW6" s="43"/>
      <c r="DX6" s="44">
        <v>0.0432289</v>
      </c>
      <c r="DY6" s="22">
        <v>0.0499299</v>
      </c>
      <c r="DZ6" s="23"/>
      <c r="EA6" s="80" t="s">
        <v>174</v>
      </c>
      <c r="EB6" s="43"/>
      <c r="EC6" s="44">
        <v>0.0150947</v>
      </c>
      <c r="ED6" s="22">
        <v>0.0422346</v>
      </c>
      <c r="EE6" s="23"/>
      <c r="EF6" s="80" t="s">
        <v>174</v>
      </c>
      <c r="EG6" s="43"/>
      <c r="EH6" s="44">
        <v>3.62E-05</v>
      </c>
      <c r="EI6" s="22">
        <v>0.000265</v>
      </c>
      <c r="EJ6" s="23"/>
      <c r="EK6" s="80" t="s">
        <v>174</v>
      </c>
      <c r="EL6" s="34"/>
      <c r="EM6" s="44">
        <v>0</v>
      </c>
      <c r="EN6" s="22">
        <v>0.0007463</v>
      </c>
      <c r="EO6" s="23"/>
      <c r="EP6" s="80" t="s">
        <v>174</v>
      </c>
    </row>
    <row r="7" spans="1:146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H7" s="30" t="s">
        <v>16</v>
      </c>
      <c r="I7" s="30" t="s">
        <v>17</v>
      </c>
      <c r="J7" s="30" t="s">
        <v>18</v>
      </c>
      <c r="K7" s="30" t="s">
        <v>175</v>
      </c>
      <c r="M7" s="30" t="s">
        <v>16</v>
      </c>
      <c r="N7" s="30" t="s">
        <v>17</v>
      </c>
      <c r="O7" s="30" t="s">
        <v>18</v>
      </c>
      <c r="P7" s="30" t="s">
        <v>175</v>
      </c>
      <c r="R7" s="30" t="s">
        <v>16</v>
      </c>
      <c r="S7" s="30" t="s">
        <v>17</v>
      </c>
      <c r="T7" s="30" t="s">
        <v>18</v>
      </c>
      <c r="U7" s="30" t="s">
        <v>175</v>
      </c>
      <c r="V7" s="83"/>
      <c r="W7" s="30" t="s">
        <v>16</v>
      </c>
      <c r="X7" s="30" t="s">
        <v>17</v>
      </c>
      <c r="Y7" s="30" t="s">
        <v>18</v>
      </c>
      <c r="Z7" s="30" t="s">
        <v>175</v>
      </c>
      <c r="AB7" s="30" t="s">
        <v>16</v>
      </c>
      <c r="AC7" s="30" t="s">
        <v>17</v>
      </c>
      <c r="AD7" s="30" t="s">
        <v>18</v>
      </c>
      <c r="AE7" s="30" t="s">
        <v>175</v>
      </c>
      <c r="AG7" s="30" t="s">
        <v>16</v>
      </c>
      <c r="AH7" s="30" t="s">
        <v>17</v>
      </c>
      <c r="AI7" s="30" t="s">
        <v>18</v>
      </c>
      <c r="AJ7" s="30" t="s">
        <v>175</v>
      </c>
      <c r="AL7" s="30" t="s">
        <v>16</v>
      </c>
      <c r="AM7" s="30" t="s">
        <v>17</v>
      </c>
      <c r="AN7" s="30" t="s">
        <v>18</v>
      </c>
      <c r="AO7" s="30" t="s">
        <v>175</v>
      </c>
      <c r="AQ7" s="30" t="s">
        <v>16</v>
      </c>
      <c r="AR7" s="30" t="s">
        <v>17</v>
      </c>
      <c r="AS7" s="30" t="s">
        <v>18</v>
      </c>
      <c r="AT7" s="30" t="s">
        <v>175</v>
      </c>
      <c r="AV7" s="30" t="s">
        <v>16</v>
      </c>
      <c r="AW7" s="30" t="s">
        <v>17</v>
      </c>
      <c r="AX7" s="30" t="s">
        <v>18</v>
      </c>
      <c r="AY7" s="30" t="s">
        <v>175</v>
      </c>
      <c r="BA7" s="30" t="s">
        <v>16</v>
      </c>
      <c r="BB7" s="30" t="s">
        <v>17</v>
      </c>
      <c r="BC7" s="30" t="s">
        <v>18</v>
      </c>
      <c r="BD7" s="30" t="s">
        <v>175</v>
      </c>
      <c r="BF7" s="30" t="s">
        <v>16</v>
      </c>
      <c r="BG7" s="30" t="s">
        <v>17</v>
      </c>
      <c r="BH7" s="30" t="s">
        <v>18</v>
      </c>
      <c r="BI7" s="30" t="s">
        <v>175</v>
      </c>
      <c r="BK7" s="30" t="s">
        <v>16</v>
      </c>
      <c r="BL7" s="30" t="s">
        <v>17</v>
      </c>
      <c r="BM7" s="30" t="s">
        <v>18</v>
      </c>
      <c r="BN7" s="30" t="s">
        <v>175</v>
      </c>
      <c r="BP7" s="30" t="s">
        <v>16</v>
      </c>
      <c r="BQ7" s="30" t="s">
        <v>17</v>
      </c>
      <c r="BR7" s="30" t="s">
        <v>18</v>
      </c>
      <c r="BS7" s="30" t="s">
        <v>175</v>
      </c>
      <c r="BU7" s="30" t="s">
        <v>16</v>
      </c>
      <c r="BV7" s="30" t="s">
        <v>17</v>
      </c>
      <c r="BW7" s="30" t="s">
        <v>18</v>
      </c>
      <c r="BX7" s="30" t="s">
        <v>175</v>
      </c>
      <c r="BZ7" s="30" t="s">
        <v>16</v>
      </c>
      <c r="CA7" s="30" t="s">
        <v>17</v>
      </c>
      <c r="CB7" s="30" t="s">
        <v>18</v>
      </c>
      <c r="CC7" s="30" t="s">
        <v>175</v>
      </c>
      <c r="CE7" s="30" t="s">
        <v>16</v>
      </c>
      <c r="CF7" s="30" t="s">
        <v>17</v>
      </c>
      <c r="CG7" s="30" t="s">
        <v>18</v>
      </c>
      <c r="CH7" s="30" t="s">
        <v>175</v>
      </c>
      <c r="CJ7" s="30" t="s">
        <v>16</v>
      </c>
      <c r="CK7" s="30" t="s">
        <v>17</v>
      </c>
      <c r="CL7" s="30" t="s">
        <v>18</v>
      </c>
      <c r="CM7" s="30" t="s">
        <v>175</v>
      </c>
      <c r="CO7" s="30" t="s">
        <v>16</v>
      </c>
      <c r="CP7" s="30" t="s">
        <v>17</v>
      </c>
      <c r="CQ7" s="30" t="s">
        <v>18</v>
      </c>
      <c r="CR7" s="30" t="s">
        <v>175</v>
      </c>
      <c r="CT7" s="30" t="s">
        <v>16</v>
      </c>
      <c r="CU7" s="30" t="s">
        <v>17</v>
      </c>
      <c r="CV7" s="30" t="s">
        <v>18</v>
      </c>
      <c r="CW7" s="30" t="s">
        <v>175</v>
      </c>
      <c r="CY7" s="30" t="s">
        <v>16</v>
      </c>
      <c r="CZ7" s="30" t="s">
        <v>17</v>
      </c>
      <c r="DA7" s="30" t="s">
        <v>18</v>
      </c>
      <c r="DB7" s="30" t="s">
        <v>175</v>
      </c>
      <c r="DD7" s="30" t="s">
        <v>16</v>
      </c>
      <c r="DE7" s="30" t="s">
        <v>17</v>
      </c>
      <c r="DF7" s="30" t="s">
        <v>18</v>
      </c>
      <c r="DG7" s="30" t="s">
        <v>175</v>
      </c>
      <c r="DI7" s="30" t="s">
        <v>16</v>
      </c>
      <c r="DJ7" s="30" t="s">
        <v>17</v>
      </c>
      <c r="DK7" s="30" t="s">
        <v>18</v>
      </c>
      <c r="DL7" s="30" t="s">
        <v>175</v>
      </c>
      <c r="DM7" s="45"/>
      <c r="DN7" s="30" t="s">
        <v>16</v>
      </c>
      <c r="DO7" s="30" t="s">
        <v>17</v>
      </c>
      <c r="DP7" s="30" t="s">
        <v>18</v>
      </c>
      <c r="DQ7" s="30" t="s">
        <v>175</v>
      </c>
      <c r="DR7" s="45"/>
      <c r="DS7" s="30" t="s">
        <v>16</v>
      </c>
      <c r="DT7" s="30" t="s">
        <v>17</v>
      </c>
      <c r="DU7" s="30" t="s">
        <v>18</v>
      </c>
      <c r="DV7" s="30" t="s">
        <v>175</v>
      </c>
      <c r="DW7" s="45"/>
      <c r="DX7" s="30" t="s">
        <v>16</v>
      </c>
      <c r="DY7" s="30" t="s">
        <v>17</v>
      </c>
      <c r="DZ7" s="30" t="s">
        <v>18</v>
      </c>
      <c r="EA7" s="30" t="s">
        <v>175</v>
      </c>
      <c r="EB7" s="45"/>
      <c r="EC7" s="30" t="s">
        <v>16</v>
      </c>
      <c r="ED7" s="30" t="s">
        <v>17</v>
      </c>
      <c r="EE7" s="30" t="s">
        <v>18</v>
      </c>
      <c r="EF7" s="30" t="s">
        <v>175</v>
      </c>
      <c r="EG7" s="45"/>
      <c r="EH7" s="30" t="s">
        <v>16</v>
      </c>
      <c r="EI7" s="30" t="s">
        <v>17</v>
      </c>
      <c r="EJ7" s="30" t="s">
        <v>18</v>
      </c>
      <c r="EK7" s="30" t="s">
        <v>175</v>
      </c>
      <c r="EL7" s="73"/>
      <c r="EM7" s="30" t="s">
        <v>16</v>
      </c>
      <c r="EN7" s="30" t="s">
        <v>17</v>
      </c>
      <c r="EO7" s="30" t="s">
        <v>18</v>
      </c>
      <c r="EP7" s="30" t="s">
        <v>175</v>
      </c>
    </row>
    <row r="8" spans="1:146" ht="12.75">
      <c r="A8" s="36">
        <v>43739</v>
      </c>
      <c r="C8" s="77">
        <f>'2010(D&amp;E)'!C8</f>
        <v>0</v>
      </c>
      <c r="D8" s="77">
        <f>'2010(D&amp;E)'!D8</f>
        <v>1247174</v>
      </c>
      <c r="E8" s="34">
        <f>C8+D8</f>
        <v>1247174</v>
      </c>
      <c r="F8" s="77">
        <f>'2010(D&amp;E)'!F8</f>
        <v>79572</v>
      </c>
      <c r="H8" s="46"/>
      <c r="I8" s="35">
        <f aca="true" t="shared" si="0" ref="I8:I29">N8+S8+AC8+AH8+AM8+X8+AR8+AW8+BB8+BG8+BL8+BQ8+BV8+CA8+CF8+CK8+CP8+CU8+CZ8+DE8+DJ8+DO8+DT8+DY8+ED8+EI8+EN8</f>
        <v>278407.899194</v>
      </c>
      <c r="J8" s="35">
        <f aca="true" t="shared" si="1" ref="J8:J29">H8+I8</f>
        <v>278407.899194</v>
      </c>
      <c r="K8" s="35">
        <f aca="true" t="shared" si="2" ref="K8:K29">P8+U8+AE8+AJ8+AO8+Z8+AT8+AY8+BD8+BN8+BX8+CC8+CH8+CM8+CR8+CW8+DB8+DG8+DL8+DQ8+DV8+EA8+EF8+EK8+BI8+BS8+EP8</f>
        <v>17762.937132</v>
      </c>
      <c r="N8" s="5">
        <f aca="true" t="shared" si="3" ref="N8:N29">$D8*N$6</f>
        <v>58369.8633958</v>
      </c>
      <c r="O8" s="5">
        <f aca="true" t="shared" si="4" ref="O8:O29">M8+N8</f>
        <v>58369.8633958</v>
      </c>
      <c r="P8" s="35">
        <f aca="true" t="shared" si="5" ref="P8:P29">$F8*N$6</f>
        <v>3724.1048724</v>
      </c>
      <c r="S8" s="5">
        <f aca="true" t="shared" si="6" ref="S8:S29">$D8*S$6</f>
        <v>8123.7172838</v>
      </c>
      <c r="T8" s="35">
        <f aca="true" t="shared" si="7" ref="T8:T29">R8+S8</f>
        <v>8123.7172838</v>
      </c>
      <c r="U8" s="35">
        <f aca="true" t="shared" si="8" ref="U8:U29">$F8*S$6</f>
        <v>518.3081364</v>
      </c>
      <c r="V8" s="35"/>
      <c r="X8" s="5">
        <f aca="true" t="shared" si="9" ref="X8:X29">$D8*X$6</f>
        <v>1167.354864</v>
      </c>
      <c r="Y8" s="5">
        <f aca="true" t="shared" si="10" ref="Y8:Y29">W8+X8</f>
        <v>1167.354864</v>
      </c>
      <c r="Z8" s="35">
        <f aca="true" t="shared" si="11" ref="Z8:Z29">$F8*X$6</f>
        <v>74.479392</v>
      </c>
      <c r="AC8" s="5">
        <f aca="true" t="shared" si="12" ref="AC8:AC29">$D8*AC$6</f>
        <v>6869.5591094</v>
      </c>
      <c r="AD8" s="5">
        <f aca="true" t="shared" si="13" ref="AD8:AD29">AB8+AC8</f>
        <v>6869.5591094</v>
      </c>
      <c r="AE8" s="35">
        <f aca="true" t="shared" si="14" ref="AE8:AE29">$F8*AC$6</f>
        <v>438.2905332</v>
      </c>
      <c r="AH8" s="5">
        <f aca="true" t="shared" si="15" ref="AH8:AH29">$D8*AH$6</f>
        <v>3052.2089302</v>
      </c>
      <c r="AI8" s="5">
        <f aca="true" t="shared" si="16" ref="AI8:AI29">AG8+AH8</f>
        <v>3052.2089302</v>
      </c>
      <c r="AJ8" s="35">
        <f aca="true" t="shared" si="17" ref="AJ8:AJ29">$F8*AH$6</f>
        <v>194.7365556</v>
      </c>
      <c r="AM8" s="5">
        <f aca="true" t="shared" si="18" ref="AM8:AM29">$D8*AM$6</f>
        <v>1940.4780266</v>
      </c>
      <c r="AN8" s="5">
        <f aca="true" t="shared" si="19" ref="AN8:AN29">AL8+AM8</f>
        <v>1940.4780266</v>
      </c>
      <c r="AO8" s="35">
        <f aca="true" t="shared" si="20" ref="AO8:AO29">$F8*AM$6</f>
        <v>123.8060748</v>
      </c>
      <c r="AR8" s="5">
        <f aca="true" t="shared" si="21" ref="AR8:AR29">$D8*AR$6</f>
        <v>5236.260039</v>
      </c>
      <c r="AS8" s="5">
        <f aca="true" t="shared" si="22" ref="AS8:AS29">AQ8+AR8</f>
        <v>5236.260039</v>
      </c>
      <c r="AT8" s="35">
        <f aca="true" t="shared" si="23" ref="AT8:AT29">$F8*AR$6</f>
        <v>334.083042</v>
      </c>
      <c r="AW8" s="5">
        <f aca="true" t="shared" si="24" ref="AW8:AW29">$D8*AW$6</f>
        <v>0.9977391999999999</v>
      </c>
      <c r="AX8" s="5">
        <f aca="true" t="shared" si="25" ref="AX8:AX29">AV8+AW8</f>
        <v>0.9977391999999999</v>
      </c>
      <c r="AY8" s="35">
        <f aca="true" t="shared" si="26" ref="AY8:AY29">$F8*AW$6</f>
        <v>0.0636576</v>
      </c>
      <c r="BB8" s="5">
        <f aca="true" t="shared" si="27" ref="BB8:BB29">$D8*BB$6</f>
        <v>3239.2850301999997</v>
      </c>
      <c r="BC8" s="35">
        <f aca="true" t="shared" si="28" ref="BC8:BC29">BA8+BB8</f>
        <v>3239.2850301999997</v>
      </c>
      <c r="BD8" s="35">
        <f aca="true" t="shared" si="29" ref="BD8:BD29">$F8*BB$6</f>
        <v>206.6723556</v>
      </c>
      <c r="BG8" s="5">
        <f aca="true" t="shared" si="30" ref="BG8:BG29">$D8*BG$6</f>
        <v>5962.6141766</v>
      </c>
      <c r="BH8" s="5">
        <f aca="true" t="shared" si="31" ref="BH8:BH29">BF8+BG8</f>
        <v>5962.6141766</v>
      </c>
      <c r="BI8" s="35">
        <f aca="true" t="shared" si="32" ref="BI8:BI29">$F8*BG$6</f>
        <v>380.4257748</v>
      </c>
      <c r="BL8" s="5">
        <f aca="true" t="shared" si="33" ref="BL8:BL29">$D8*BL$6</f>
        <v>15520.3321256</v>
      </c>
      <c r="BM8" s="5">
        <f aca="true" t="shared" si="34" ref="BM8:BM29">BK8+BL8</f>
        <v>15520.3321256</v>
      </c>
      <c r="BN8" s="35">
        <f aca="true" t="shared" si="35" ref="BN8:BN29">$F8*BL$6</f>
        <v>990.2257968</v>
      </c>
      <c r="BQ8" s="5">
        <f aca="true" t="shared" si="36" ref="BQ8:BQ29">$D8*BQ$6</f>
        <v>1578.7975666</v>
      </c>
      <c r="BR8" s="5">
        <f aca="true" t="shared" si="37" ref="BR8:BR29">BP8+BQ8</f>
        <v>1578.7975666</v>
      </c>
      <c r="BS8" s="35">
        <f aca="true" t="shared" si="38" ref="BS8:BS29">$F8*BQ$6</f>
        <v>100.73019479999999</v>
      </c>
      <c r="BV8" s="5">
        <f aca="true" t="shared" si="39" ref="BV8:BV29">$D8*BV$6</f>
        <v>197.3029268</v>
      </c>
      <c r="BW8" s="5">
        <f aca="true" t="shared" si="40" ref="BW8:BW29">BU8+BV8</f>
        <v>197.3029268</v>
      </c>
      <c r="BX8" s="35">
        <f aca="true" t="shared" si="41" ref="BX8:BX29">$F8*BV$6</f>
        <v>12.5882904</v>
      </c>
      <c r="CA8" s="5">
        <f aca="true" t="shared" si="42" ref="CA8:CA29">$D8*CA$6</f>
        <v>178.2211646</v>
      </c>
      <c r="CB8" s="5">
        <f aca="true" t="shared" si="43" ref="CB8:CB29">BZ8+CA8</f>
        <v>178.2211646</v>
      </c>
      <c r="CC8" s="35">
        <f aca="true" t="shared" si="44" ref="CC8:CC29">$F8*CA$6</f>
        <v>11.3708388</v>
      </c>
      <c r="CF8" s="5">
        <f aca="true" t="shared" si="45" ref="CF8:CF29">$D8*CF$6</f>
        <v>4431.3339394</v>
      </c>
      <c r="CG8" s="5">
        <f aca="true" t="shared" si="46" ref="CG8:CG29">CE8+CF8</f>
        <v>4431.3339394</v>
      </c>
      <c r="CH8" s="35">
        <f aca="true" t="shared" si="47" ref="CH8:CH29">$F8*CF$6</f>
        <v>282.7272732</v>
      </c>
      <c r="CK8" s="5">
        <f aca="true" t="shared" si="48" ref="CK8:CK29">$D8*CK$6</f>
        <v>343.97058919999995</v>
      </c>
      <c r="CL8" s="5">
        <f aca="true" t="shared" si="49" ref="CL8:CL29">CJ8+CK8</f>
        <v>343.97058919999995</v>
      </c>
      <c r="CM8" s="35">
        <f aca="true" t="shared" si="50" ref="CM8:CM29">$F8*CK$6</f>
        <v>21.9459576</v>
      </c>
      <c r="CP8" s="5">
        <f aca="true" t="shared" si="51" ref="CP8:CP29">$D8*CP$6</f>
        <v>2720.7100809999997</v>
      </c>
      <c r="CQ8" s="35">
        <f aca="true" t="shared" si="52" ref="CQ8:CQ29">CO8+CP8</f>
        <v>2720.7100809999997</v>
      </c>
      <c r="CR8" s="35">
        <f aca="true" t="shared" si="53" ref="CR8:CR29">$F8*CP$6</f>
        <v>173.58631799999998</v>
      </c>
      <c r="CU8" s="5">
        <f aca="true" t="shared" si="54" ref="CU8:CU29">$D8*CU$6</f>
        <v>14048.292653400002</v>
      </c>
      <c r="CV8" s="5">
        <f aca="true" t="shared" si="55" ref="CV8:CV29">CT8+CU8</f>
        <v>14048.292653400002</v>
      </c>
      <c r="CW8" s="35">
        <f aca="true" t="shared" si="56" ref="CW8:CW29">$F8*CU$6</f>
        <v>896.3069652</v>
      </c>
      <c r="CZ8" s="5">
        <f aca="true" t="shared" si="57" ref="CZ8:CZ29">$D8*CZ$6</f>
        <v>1114.5994038</v>
      </c>
      <c r="DA8" s="5">
        <f aca="true" t="shared" si="58" ref="DA8:DA29">CY8+CZ8</f>
        <v>1114.5994038</v>
      </c>
      <c r="DB8" s="35">
        <f aca="true" t="shared" si="59" ref="DB8:DB29">$F8*CZ$6</f>
        <v>71.1134964</v>
      </c>
      <c r="DE8" s="5">
        <f aca="true" t="shared" si="60" ref="DE8:DE29">$D8*DE$6</f>
        <v>3026.1429936</v>
      </c>
      <c r="DF8" s="5">
        <f aca="true" t="shared" si="61" ref="DF8:DF29">DD8+DE8</f>
        <v>3026.1429936</v>
      </c>
      <c r="DG8" s="35">
        <f aca="true" t="shared" si="62" ref="DG8:DG29">$F8*DE$6</f>
        <v>193.0735008</v>
      </c>
      <c r="DJ8" s="5">
        <f aca="true" t="shared" si="63" ref="DJ8:DJ29">$D8*DJ$6</f>
        <v>3393.3110192000004</v>
      </c>
      <c r="DK8" s="35">
        <f aca="true" t="shared" si="64" ref="DK8:DK29">DI8+DJ8</f>
        <v>3393.3110192000004</v>
      </c>
      <c r="DL8" s="35">
        <f aca="true" t="shared" si="65" ref="DL8:DL29">$F8*DJ$6</f>
        <v>216.4994976</v>
      </c>
      <c r="DO8" s="5">
        <f aca="true" t="shared" si="66" ref="DO8:DO29">$D8*DO$6</f>
        <v>8550.001357</v>
      </c>
      <c r="DP8" s="35">
        <f aca="true" t="shared" si="67" ref="DP8:DP29">DN8+DO8</f>
        <v>8550.001357</v>
      </c>
      <c r="DQ8" s="35">
        <f aca="true" t="shared" si="68" ref="DQ8:DQ29">$F8*DO$6</f>
        <v>545.505846</v>
      </c>
      <c r="DT8" s="5">
        <f aca="true" t="shared" si="69" ref="DT8:DT29">$D8*DT$6</f>
        <v>13136.1095898</v>
      </c>
      <c r="DU8" s="35">
        <f aca="true" t="shared" si="70" ref="DU8:DU29">DS8+DT8</f>
        <v>13136.1095898</v>
      </c>
      <c r="DV8" s="35">
        <f aca="true" t="shared" si="71" ref="DV8:DV29">$F8*DT$6</f>
        <v>838.1080044</v>
      </c>
      <c r="DY8" s="5">
        <f aca="true" t="shared" si="72" ref="DY8:DY29">$D8*DY$6</f>
        <v>62271.2731026</v>
      </c>
      <c r="DZ8" s="5">
        <f aca="true" t="shared" si="73" ref="DZ8:DZ29">DX8+DY8</f>
        <v>62271.2731026</v>
      </c>
      <c r="EA8" s="35">
        <f aca="true" t="shared" si="74" ref="EA8:EA29">$F8*DY$6</f>
        <v>3973.0220028</v>
      </c>
      <c r="ED8" s="5">
        <f aca="true" t="shared" si="75" ref="ED8:ED29">$D8*ED$6</f>
        <v>52673.8950204</v>
      </c>
      <c r="EE8" s="5">
        <f aca="true" t="shared" si="76" ref="EE8:EE29">EC8+ED8</f>
        <v>52673.8950204</v>
      </c>
      <c r="EF8" s="35">
        <f aca="true" t="shared" si="77" ref="EF8:EF29">$F8*ED$6</f>
        <v>3360.6915912</v>
      </c>
      <c r="EI8" s="5">
        <f aca="true" t="shared" si="78" ref="EI8:EI29">$D8*EI$6</f>
        <v>330.50111</v>
      </c>
      <c r="EJ8" s="5">
        <f aca="true" t="shared" si="79" ref="EJ8:EJ29">EH8+EI8</f>
        <v>330.50111</v>
      </c>
      <c r="EK8" s="35">
        <f aca="true" t="shared" si="80" ref="EK8:EK29">$F8*EI$6</f>
        <v>21.086579999999998</v>
      </c>
      <c r="EN8" s="5">
        <f aca="true" t="shared" si="81" ref="EN8:EN29">$D8*EN$6</f>
        <v>930.7659562</v>
      </c>
      <c r="EO8" s="5">
        <f aca="true" t="shared" si="82" ref="EO8:EO29">EM8+EN8</f>
        <v>930.7659562</v>
      </c>
      <c r="EP8" s="35">
        <f aca="true" t="shared" si="83" ref="EP8:EP29">$F8*EN$6</f>
        <v>59.3845836</v>
      </c>
    </row>
    <row r="9" spans="1:146" ht="12.75">
      <c r="A9" s="36">
        <v>43922</v>
      </c>
      <c r="C9" s="77">
        <f>'2010(D&amp;E)'!C9</f>
        <v>5850000</v>
      </c>
      <c r="D9" s="77">
        <f>'2010(D&amp;E)'!D9</f>
        <v>157950</v>
      </c>
      <c r="E9" s="34">
        <f aca="true" t="shared" si="84" ref="E9:E29">C9+D9</f>
        <v>6007950</v>
      </c>
      <c r="F9" s="77">
        <f>'2010(D&amp;E)'!F9</f>
        <v>87866</v>
      </c>
      <c r="H9" s="46">
        <f>M9+R9+AB9+AG9+AL9+W9+AQ9+AV9+BA9+BF9+BK9+BP9+BU9+BZ9+CE9+CJ9+CO9+CT9+CY9+DD9+DI9+DN9+DS9+DX9+EC9+EH9+EM9</f>
        <v>1305901.35</v>
      </c>
      <c r="I9" s="35">
        <f t="shared" si="0"/>
        <v>35259.33644999999</v>
      </c>
      <c r="J9" s="35">
        <f t="shared" si="1"/>
        <v>1341160.6864500002</v>
      </c>
      <c r="K9" s="35">
        <f t="shared" si="2"/>
        <v>19614.415045999995</v>
      </c>
      <c r="M9" s="5">
        <f aca="true" t="shared" si="85" ref="M9:M29">$C9*N$6</f>
        <v>273789.945</v>
      </c>
      <c r="N9" s="5">
        <f t="shared" si="3"/>
        <v>7392.328515</v>
      </c>
      <c r="O9" s="5">
        <f t="shared" si="4"/>
        <v>281182.273515</v>
      </c>
      <c r="P9" s="35">
        <f t="shared" si="5"/>
        <v>4112.2781722</v>
      </c>
      <c r="R9" s="5">
        <f aca="true" t="shared" si="86" ref="R9:R29">$C9*S$6</f>
        <v>38105.145</v>
      </c>
      <c r="S9" s="5">
        <f t="shared" si="6"/>
        <v>1028.838915</v>
      </c>
      <c r="T9" s="35">
        <f t="shared" si="7"/>
        <v>39133.983915</v>
      </c>
      <c r="U9" s="35">
        <f t="shared" si="8"/>
        <v>572.3327642</v>
      </c>
      <c r="V9" s="35"/>
      <c r="W9" s="5">
        <f aca="true" t="shared" si="87" ref="W9:W29">$C9*X$6</f>
        <v>5475.599999999999</v>
      </c>
      <c r="X9" s="5">
        <f t="shared" si="9"/>
        <v>147.8412</v>
      </c>
      <c r="Y9" s="5">
        <f t="shared" si="10"/>
        <v>5623.441199999999</v>
      </c>
      <c r="Z9" s="35">
        <f t="shared" si="11"/>
        <v>82.242576</v>
      </c>
      <c r="AB9" s="5">
        <f aca="true" t="shared" si="88" ref="AB9:AB29">$C9*AC$6</f>
        <v>32222.385000000002</v>
      </c>
      <c r="AC9" s="5">
        <f t="shared" si="12"/>
        <v>870.004395</v>
      </c>
      <c r="AD9" s="5">
        <f t="shared" si="13"/>
        <v>33092.389395000006</v>
      </c>
      <c r="AE9" s="35">
        <f t="shared" si="14"/>
        <v>483.9747146</v>
      </c>
      <c r="AG9" s="5">
        <f aca="true" t="shared" si="89" ref="AG9:AG29">$C9*AH$6</f>
        <v>14316.705</v>
      </c>
      <c r="AH9" s="5">
        <f t="shared" si="15"/>
        <v>386.551035</v>
      </c>
      <c r="AI9" s="5">
        <f t="shared" si="16"/>
        <v>14703.256035</v>
      </c>
      <c r="AJ9" s="35">
        <f t="shared" si="17"/>
        <v>215.0344618</v>
      </c>
      <c r="AL9" s="5">
        <f aca="true" t="shared" si="90" ref="AL9:AL29">$C9*AM$6</f>
        <v>9102.015</v>
      </c>
      <c r="AM9" s="5">
        <f t="shared" si="18"/>
        <v>245.754405</v>
      </c>
      <c r="AN9" s="5">
        <f t="shared" si="19"/>
        <v>9347.769405</v>
      </c>
      <c r="AO9" s="35">
        <f t="shared" si="20"/>
        <v>136.7107094</v>
      </c>
      <c r="AQ9" s="5">
        <f aca="true" t="shared" si="91" ref="AQ9:AQ29">$C9*AR$6</f>
        <v>24561.225</v>
      </c>
      <c r="AR9" s="5">
        <f t="shared" si="21"/>
        <v>663.153075</v>
      </c>
      <c r="AS9" s="5">
        <f t="shared" si="22"/>
        <v>25224.378074999997</v>
      </c>
      <c r="AT9" s="35">
        <f t="shared" si="23"/>
        <v>368.905401</v>
      </c>
      <c r="AV9" s="5">
        <f aca="true" t="shared" si="92" ref="AV9:AV29">$C9*AW$6</f>
        <v>4.68</v>
      </c>
      <c r="AW9" s="5">
        <f t="shared" si="24"/>
        <v>0.12636</v>
      </c>
      <c r="AX9" s="5">
        <f t="shared" si="25"/>
        <v>4.80636</v>
      </c>
      <c r="AY9" s="35">
        <f t="shared" si="26"/>
        <v>0.0702928</v>
      </c>
      <c r="BA9" s="5">
        <f aca="true" t="shared" si="93" ref="BA9:BA29">$C9*BB$6</f>
        <v>15194.205</v>
      </c>
      <c r="BB9" s="5">
        <f t="shared" si="27"/>
        <v>410.24353499999995</v>
      </c>
      <c r="BC9" s="35">
        <f t="shared" si="28"/>
        <v>15604.448535</v>
      </c>
      <c r="BD9" s="35">
        <f t="shared" si="29"/>
        <v>228.21436179999998</v>
      </c>
      <c r="BF9" s="5">
        <f aca="true" t="shared" si="94" ref="BF9:BF29">$C9*BG$6</f>
        <v>27968.265000000003</v>
      </c>
      <c r="BG9" s="5">
        <f t="shared" si="30"/>
        <v>755.1431550000001</v>
      </c>
      <c r="BH9" s="5">
        <f t="shared" si="31"/>
        <v>28723.408155000005</v>
      </c>
      <c r="BI9" s="35">
        <f t="shared" si="32"/>
        <v>420.0785594</v>
      </c>
      <c r="BK9" s="5">
        <f aca="true" t="shared" si="95" ref="BK9:BK29">$C9*BL$6</f>
        <v>72799.73999999999</v>
      </c>
      <c r="BL9" s="5">
        <f t="shared" si="33"/>
        <v>1965.59298</v>
      </c>
      <c r="BM9" s="5">
        <f t="shared" si="34"/>
        <v>74765.33297999999</v>
      </c>
      <c r="BN9" s="35">
        <f t="shared" si="35"/>
        <v>1093.4396504</v>
      </c>
      <c r="BP9" s="5">
        <f aca="true" t="shared" si="96" ref="BP9:BP29">$C9*BQ$6</f>
        <v>7405.514999999999</v>
      </c>
      <c r="BQ9" s="5">
        <f t="shared" si="36"/>
        <v>199.948905</v>
      </c>
      <c r="BR9" s="5">
        <f t="shared" si="37"/>
        <v>7605.463905</v>
      </c>
      <c r="BS9" s="35">
        <f t="shared" si="38"/>
        <v>111.22956939999999</v>
      </c>
      <c r="BU9" s="5">
        <f aca="true" t="shared" si="97" ref="BU9:BU29">$C9*BV$6</f>
        <v>925.47</v>
      </c>
      <c r="BV9" s="5">
        <f t="shared" si="39"/>
        <v>24.98769</v>
      </c>
      <c r="BW9" s="5">
        <f t="shared" si="40"/>
        <v>950.4576900000001</v>
      </c>
      <c r="BX9" s="35">
        <f t="shared" si="41"/>
        <v>13.9004012</v>
      </c>
      <c r="BZ9" s="5">
        <f aca="true" t="shared" si="98" ref="BZ9:BZ29">$C9*CA$6</f>
        <v>835.965</v>
      </c>
      <c r="CA9" s="5">
        <f t="shared" si="42"/>
        <v>22.571055</v>
      </c>
      <c r="CB9" s="5">
        <f t="shared" si="43"/>
        <v>858.536055</v>
      </c>
      <c r="CC9" s="35">
        <f t="shared" si="44"/>
        <v>12.556051400000001</v>
      </c>
      <c r="CE9" s="5">
        <f aca="true" t="shared" si="99" ref="CE9:CE29">$C9*CF$6</f>
        <v>20785.635</v>
      </c>
      <c r="CF9" s="5">
        <f t="shared" si="45"/>
        <v>561.212145</v>
      </c>
      <c r="CG9" s="5">
        <f t="shared" si="46"/>
        <v>21346.847145</v>
      </c>
      <c r="CH9" s="35">
        <f t="shared" si="47"/>
        <v>312.1966846</v>
      </c>
      <c r="CJ9" s="5">
        <f aca="true" t="shared" si="100" ref="CJ9:CJ29">$C9*CK$6</f>
        <v>1613.4299999999998</v>
      </c>
      <c r="CK9" s="5">
        <f t="shared" si="48"/>
        <v>43.56261</v>
      </c>
      <c r="CL9" s="5">
        <f t="shared" si="49"/>
        <v>1656.9926099999998</v>
      </c>
      <c r="CM9" s="35">
        <f t="shared" si="50"/>
        <v>24.2334428</v>
      </c>
      <c r="CO9" s="5">
        <f aca="true" t="shared" si="101" ref="CO9:CO29">$C9*CP$6</f>
        <v>12761.775</v>
      </c>
      <c r="CP9" s="5">
        <f t="shared" si="51"/>
        <v>344.567925</v>
      </c>
      <c r="CQ9" s="35">
        <f t="shared" si="52"/>
        <v>13106.342924999999</v>
      </c>
      <c r="CR9" s="35">
        <f t="shared" si="53"/>
        <v>191.679679</v>
      </c>
      <c r="CT9" s="5">
        <f aca="true" t="shared" si="102" ref="CT9:CT29">$C9*CU$6</f>
        <v>65894.985</v>
      </c>
      <c r="CU9" s="5">
        <f t="shared" si="54"/>
        <v>1779.1645950000002</v>
      </c>
      <c r="CV9" s="5">
        <f t="shared" si="55"/>
        <v>67674.149595</v>
      </c>
      <c r="CW9" s="35">
        <f t="shared" si="56"/>
        <v>989.7314106000001</v>
      </c>
      <c r="CY9" s="5">
        <f aca="true" t="shared" si="103" ref="CY9:CY29">$C9*CZ$6</f>
        <v>5228.1449999999995</v>
      </c>
      <c r="CZ9" s="5">
        <f t="shared" si="57"/>
        <v>141.15991499999998</v>
      </c>
      <c r="DA9" s="5">
        <f t="shared" si="58"/>
        <v>5369.304915</v>
      </c>
      <c r="DB9" s="35">
        <f t="shared" si="59"/>
        <v>78.5258442</v>
      </c>
      <c r="DD9" s="5">
        <f aca="true" t="shared" si="104" ref="DD9:DD29">$C9*DE$6</f>
        <v>14194.44</v>
      </c>
      <c r="DE9" s="5">
        <f t="shared" si="60"/>
        <v>383.24988</v>
      </c>
      <c r="DF9" s="5">
        <f t="shared" si="61"/>
        <v>14577.68988</v>
      </c>
      <c r="DG9" s="35">
        <f t="shared" si="62"/>
        <v>213.1980624</v>
      </c>
      <c r="DI9" s="5">
        <f aca="true" t="shared" si="105" ref="DI9:DI29">$C9*DJ$6</f>
        <v>15916.680000000002</v>
      </c>
      <c r="DJ9" s="5">
        <f t="shared" si="63"/>
        <v>429.75036000000006</v>
      </c>
      <c r="DK9" s="35">
        <f t="shared" si="64"/>
        <v>16346.430360000002</v>
      </c>
      <c r="DL9" s="35">
        <f t="shared" si="65"/>
        <v>239.06581280000003</v>
      </c>
      <c r="DN9" s="5">
        <f aca="true" t="shared" si="106" ref="DN9:DN29">$C9*DO$6</f>
        <v>40104.674999999996</v>
      </c>
      <c r="DO9" s="5">
        <f t="shared" si="66"/>
        <v>1082.826225</v>
      </c>
      <c r="DP9" s="35">
        <f t="shared" si="67"/>
        <v>41187.50122499999</v>
      </c>
      <c r="DQ9" s="35">
        <f t="shared" si="68"/>
        <v>602.365363</v>
      </c>
      <c r="DS9" s="5">
        <f aca="true" t="shared" si="107" ref="DS9:DS29">$C9*DT$6</f>
        <v>61616.295000000006</v>
      </c>
      <c r="DT9" s="5">
        <f t="shared" si="69"/>
        <v>1663.639965</v>
      </c>
      <c r="DU9" s="35">
        <f t="shared" si="70"/>
        <v>63279.93496500001</v>
      </c>
      <c r="DV9" s="35">
        <f t="shared" si="71"/>
        <v>925.4662182000001</v>
      </c>
      <c r="DX9" s="5">
        <f aca="true" t="shared" si="108" ref="DX9:DX29">$C9*DY$6</f>
        <v>292089.915</v>
      </c>
      <c r="DY9" s="5">
        <f t="shared" si="72"/>
        <v>7886.427705</v>
      </c>
      <c r="DZ9" s="5">
        <f t="shared" si="73"/>
        <v>299976.34270499996</v>
      </c>
      <c r="EA9" s="35">
        <f t="shared" si="74"/>
        <v>4387.1405933999995</v>
      </c>
      <c r="EC9" s="5">
        <f aca="true" t="shared" si="109" ref="EC9:EC29">$C9*ED$6</f>
        <v>247072.40999999997</v>
      </c>
      <c r="ED9" s="5">
        <f t="shared" si="75"/>
        <v>6670.95507</v>
      </c>
      <c r="EE9" s="5">
        <f t="shared" si="76"/>
        <v>253743.36506999997</v>
      </c>
      <c r="EF9" s="35">
        <f t="shared" si="77"/>
        <v>3710.9853636</v>
      </c>
      <c r="EH9" s="5">
        <f aca="true" t="shared" si="110" ref="EH9:EH29">$C9*EI$6</f>
        <v>1550.25</v>
      </c>
      <c r="EI9" s="5">
        <f t="shared" si="78"/>
        <v>41.85675</v>
      </c>
      <c r="EJ9" s="5">
        <f t="shared" si="79"/>
        <v>1592.10675</v>
      </c>
      <c r="EK9" s="35">
        <f t="shared" si="80"/>
        <v>23.284489999999998</v>
      </c>
      <c r="EM9" s="5">
        <f aca="true" t="shared" si="111" ref="EM9:EM29">$C9*EN$6</f>
        <v>4365.855</v>
      </c>
      <c r="EN9" s="5">
        <f t="shared" si="81"/>
        <v>117.878085</v>
      </c>
      <c r="EO9" s="5">
        <f t="shared" si="82"/>
        <v>4483.733085</v>
      </c>
      <c r="EP9" s="35">
        <f t="shared" si="83"/>
        <v>65.5743958</v>
      </c>
    </row>
    <row r="10" spans="1:146" ht="12.75">
      <c r="A10" s="36">
        <v>44105</v>
      </c>
      <c r="C10" s="77">
        <f>'2010(D&amp;E)'!C10</f>
        <v>0</v>
      </c>
      <c r="D10" s="77">
        <f>'2010(D&amp;E)'!D10</f>
        <v>81900</v>
      </c>
      <c r="E10" s="34">
        <f t="shared" si="84"/>
        <v>81900</v>
      </c>
      <c r="F10" s="77">
        <f>'2010(D&amp;E)'!F10</f>
        <v>87866</v>
      </c>
      <c r="H10" s="46"/>
      <c r="I10" s="35">
        <f t="shared" si="0"/>
        <v>18282.618899999998</v>
      </c>
      <c r="J10" s="35">
        <f t="shared" si="1"/>
        <v>18282.618899999998</v>
      </c>
      <c r="K10" s="35">
        <f t="shared" si="2"/>
        <v>19614.415045999995</v>
      </c>
      <c r="N10" s="5">
        <f t="shared" si="3"/>
        <v>3833.0592300000003</v>
      </c>
      <c r="O10" s="5">
        <f t="shared" si="4"/>
        <v>3833.0592300000003</v>
      </c>
      <c r="P10" s="35">
        <f t="shared" si="5"/>
        <v>4112.2781722</v>
      </c>
      <c r="S10" s="5">
        <f t="shared" si="6"/>
        <v>533.47203</v>
      </c>
      <c r="T10" s="35">
        <f t="shared" si="7"/>
        <v>533.47203</v>
      </c>
      <c r="U10" s="35">
        <f t="shared" si="8"/>
        <v>572.3327642</v>
      </c>
      <c r="V10" s="35"/>
      <c r="X10" s="5">
        <f t="shared" si="9"/>
        <v>76.6584</v>
      </c>
      <c r="Y10" s="5">
        <f t="shared" si="10"/>
        <v>76.6584</v>
      </c>
      <c r="Z10" s="35">
        <f t="shared" si="11"/>
        <v>82.242576</v>
      </c>
      <c r="AC10" s="5">
        <f t="shared" si="12"/>
        <v>451.11339000000004</v>
      </c>
      <c r="AD10" s="5">
        <f t="shared" si="13"/>
        <v>451.11339000000004</v>
      </c>
      <c r="AE10" s="35">
        <f t="shared" si="14"/>
        <v>483.9747146</v>
      </c>
      <c r="AH10" s="5">
        <f t="shared" si="15"/>
        <v>200.43386999999998</v>
      </c>
      <c r="AI10" s="5">
        <f t="shared" si="16"/>
        <v>200.43386999999998</v>
      </c>
      <c r="AJ10" s="35">
        <f t="shared" si="17"/>
        <v>215.0344618</v>
      </c>
      <c r="AM10" s="5">
        <f t="shared" si="18"/>
        <v>127.42821</v>
      </c>
      <c r="AN10" s="5">
        <f t="shared" si="19"/>
        <v>127.42821</v>
      </c>
      <c r="AO10" s="35">
        <f t="shared" si="20"/>
        <v>136.7107094</v>
      </c>
      <c r="AR10" s="5">
        <f t="shared" si="21"/>
        <v>343.85715</v>
      </c>
      <c r="AS10" s="5">
        <f t="shared" si="22"/>
        <v>343.85715</v>
      </c>
      <c r="AT10" s="35">
        <f t="shared" si="23"/>
        <v>368.905401</v>
      </c>
      <c r="AW10" s="5">
        <f t="shared" si="24"/>
        <v>0.06552</v>
      </c>
      <c r="AX10" s="5">
        <f t="shared" si="25"/>
        <v>0.06552</v>
      </c>
      <c r="AY10" s="35">
        <f t="shared" si="26"/>
        <v>0.0702928</v>
      </c>
      <c r="BB10" s="5">
        <f t="shared" si="27"/>
        <v>212.71886999999998</v>
      </c>
      <c r="BC10" s="35">
        <f t="shared" si="28"/>
        <v>212.71886999999998</v>
      </c>
      <c r="BD10" s="35">
        <f t="shared" si="29"/>
        <v>228.21436179999998</v>
      </c>
      <c r="BG10" s="5">
        <f t="shared" si="30"/>
        <v>391.55571000000003</v>
      </c>
      <c r="BH10" s="5">
        <f t="shared" si="31"/>
        <v>391.55571000000003</v>
      </c>
      <c r="BI10" s="35">
        <f t="shared" si="32"/>
        <v>420.0785594</v>
      </c>
      <c r="BL10" s="5">
        <f t="shared" si="33"/>
        <v>1019.1963599999999</v>
      </c>
      <c r="BM10" s="5">
        <f t="shared" si="34"/>
        <v>1019.1963599999999</v>
      </c>
      <c r="BN10" s="35">
        <f t="shared" si="35"/>
        <v>1093.4396504</v>
      </c>
      <c r="BQ10" s="5">
        <f t="shared" si="36"/>
        <v>103.67720999999999</v>
      </c>
      <c r="BR10" s="5">
        <f t="shared" si="37"/>
        <v>103.67720999999999</v>
      </c>
      <c r="BS10" s="35">
        <f t="shared" si="38"/>
        <v>111.22956939999999</v>
      </c>
      <c r="BV10" s="5">
        <f t="shared" si="39"/>
        <v>12.956579999999999</v>
      </c>
      <c r="BW10" s="5">
        <f t="shared" si="40"/>
        <v>12.956579999999999</v>
      </c>
      <c r="BX10" s="35">
        <f t="shared" si="41"/>
        <v>13.9004012</v>
      </c>
      <c r="CA10" s="5">
        <f t="shared" si="42"/>
        <v>11.70351</v>
      </c>
      <c r="CB10" s="5">
        <f t="shared" si="43"/>
        <v>11.70351</v>
      </c>
      <c r="CC10" s="35">
        <f t="shared" si="44"/>
        <v>12.556051400000001</v>
      </c>
      <c r="CF10" s="5">
        <f t="shared" si="45"/>
        <v>290.99889</v>
      </c>
      <c r="CG10" s="5">
        <f t="shared" si="46"/>
        <v>290.99889</v>
      </c>
      <c r="CH10" s="35">
        <f t="shared" si="47"/>
        <v>312.1966846</v>
      </c>
      <c r="CK10" s="5">
        <f t="shared" si="48"/>
        <v>22.58802</v>
      </c>
      <c r="CL10" s="5">
        <f t="shared" si="49"/>
        <v>22.58802</v>
      </c>
      <c r="CM10" s="35">
        <f t="shared" si="50"/>
        <v>24.2334428</v>
      </c>
      <c r="CP10" s="5">
        <f t="shared" si="51"/>
        <v>178.66485</v>
      </c>
      <c r="CQ10" s="35">
        <f t="shared" si="52"/>
        <v>178.66485</v>
      </c>
      <c r="CR10" s="35">
        <f t="shared" si="53"/>
        <v>191.679679</v>
      </c>
      <c r="CU10" s="5">
        <f t="shared" si="54"/>
        <v>922.52979</v>
      </c>
      <c r="CV10" s="5">
        <f t="shared" si="55"/>
        <v>922.52979</v>
      </c>
      <c r="CW10" s="35">
        <f t="shared" si="56"/>
        <v>989.7314106000001</v>
      </c>
      <c r="CZ10" s="5">
        <f t="shared" si="57"/>
        <v>73.19403</v>
      </c>
      <c r="DA10" s="5">
        <f t="shared" si="58"/>
        <v>73.19403</v>
      </c>
      <c r="DB10" s="35">
        <f t="shared" si="59"/>
        <v>78.5258442</v>
      </c>
      <c r="DE10" s="5">
        <f t="shared" si="60"/>
        <v>198.72216</v>
      </c>
      <c r="DF10" s="5">
        <f t="shared" si="61"/>
        <v>198.72216</v>
      </c>
      <c r="DG10" s="35">
        <f t="shared" si="62"/>
        <v>213.1980624</v>
      </c>
      <c r="DJ10" s="5">
        <f t="shared" si="63"/>
        <v>222.83352000000002</v>
      </c>
      <c r="DK10" s="35">
        <f t="shared" si="64"/>
        <v>222.83352000000002</v>
      </c>
      <c r="DL10" s="35">
        <f t="shared" si="65"/>
        <v>239.06581280000003</v>
      </c>
      <c r="DO10" s="5">
        <f t="shared" si="66"/>
        <v>561.4654499999999</v>
      </c>
      <c r="DP10" s="35">
        <f t="shared" si="67"/>
        <v>561.4654499999999</v>
      </c>
      <c r="DQ10" s="35">
        <f t="shared" si="68"/>
        <v>602.365363</v>
      </c>
      <c r="DT10" s="5">
        <f t="shared" si="69"/>
        <v>862.62813</v>
      </c>
      <c r="DU10" s="35">
        <f t="shared" si="70"/>
        <v>862.62813</v>
      </c>
      <c r="DV10" s="35">
        <f t="shared" si="71"/>
        <v>925.4662182000001</v>
      </c>
      <c r="DY10" s="5">
        <f t="shared" si="72"/>
        <v>4089.25881</v>
      </c>
      <c r="DZ10" s="5">
        <f t="shared" si="73"/>
        <v>4089.25881</v>
      </c>
      <c r="EA10" s="35">
        <f t="shared" si="74"/>
        <v>4387.1405933999995</v>
      </c>
      <c r="ED10" s="5">
        <f t="shared" si="75"/>
        <v>3459.01374</v>
      </c>
      <c r="EE10" s="5">
        <f t="shared" si="76"/>
        <v>3459.01374</v>
      </c>
      <c r="EF10" s="35">
        <f t="shared" si="77"/>
        <v>3710.9853636</v>
      </c>
      <c r="EI10" s="5">
        <f t="shared" si="78"/>
        <v>21.7035</v>
      </c>
      <c r="EJ10" s="5">
        <f t="shared" si="79"/>
        <v>21.7035</v>
      </c>
      <c r="EK10" s="35">
        <f t="shared" si="80"/>
        <v>23.284489999999998</v>
      </c>
      <c r="EN10" s="5">
        <f t="shared" si="81"/>
        <v>61.12197</v>
      </c>
      <c r="EO10" s="5">
        <f t="shared" si="82"/>
        <v>61.12197</v>
      </c>
      <c r="EP10" s="35">
        <f t="shared" si="83"/>
        <v>65.5743958</v>
      </c>
    </row>
    <row r="11" spans="1:146" ht="12.75">
      <c r="A11" s="36">
        <v>44287</v>
      </c>
      <c r="C11" s="77">
        <f>'2010(D&amp;E)'!C11</f>
        <v>6000000</v>
      </c>
      <c r="D11" s="77">
        <f>'2010(D&amp;E)'!D11</f>
        <v>81900</v>
      </c>
      <c r="E11" s="34">
        <f t="shared" si="84"/>
        <v>6081900</v>
      </c>
      <c r="F11" s="77">
        <f>'2010(D&amp;E)'!F11</f>
        <v>87866</v>
      </c>
      <c r="H11" s="46">
        <f>M11+R11+AB11+AG11+AL11+W11+AQ11+AV11+BA11+BF11+BK11+BP11+BU11+BZ11+CE11+CJ11+CO11+CT11+CY11+DD11+DI11+DN11+DS11+DX11+EC11+EH11+EM11</f>
        <v>1339386.0000000002</v>
      </c>
      <c r="I11" s="35">
        <f t="shared" si="0"/>
        <v>18282.618899999998</v>
      </c>
      <c r="J11" s="35">
        <f t="shared" si="1"/>
        <v>1357668.6189000001</v>
      </c>
      <c r="K11" s="35">
        <f t="shared" si="2"/>
        <v>19614.415045999995</v>
      </c>
      <c r="M11" s="5">
        <f t="shared" si="85"/>
        <v>280810.2</v>
      </c>
      <c r="N11" s="5">
        <f t="shared" si="3"/>
        <v>3833.0592300000003</v>
      </c>
      <c r="O11" s="5">
        <f t="shared" si="4"/>
        <v>284643.25923</v>
      </c>
      <c r="P11" s="35">
        <f t="shared" si="5"/>
        <v>4112.2781722</v>
      </c>
      <c r="R11" s="5">
        <f t="shared" si="86"/>
        <v>39082.2</v>
      </c>
      <c r="S11" s="5">
        <f t="shared" si="6"/>
        <v>533.47203</v>
      </c>
      <c r="T11" s="35">
        <f t="shared" si="7"/>
        <v>39615.672029999994</v>
      </c>
      <c r="U11" s="35">
        <f t="shared" si="8"/>
        <v>572.3327642</v>
      </c>
      <c r="V11" s="35"/>
      <c r="W11" s="5">
        <f t="shared" si="87"/>
        <v>5616</v>
      </c>
      <c r="X11" s="5">
        <f t="shared" si="9"/>
        <v>76.6584</v>
      </c>
      <c r="Y11" s="5">
        <f t="shared" si="10"/>
        <v>5692.6584</v>
      </c>
      <c r="Z11" s="35">
        <f t="shared" si="11"/>
        <v>82.242576</v>
      </c>
      <c r="AB11" s="5">
        <f t="shared" si="88"/>
        <v>33048.6</v>
      </c>
      <c r="AC11" s="5">
        <f t="shared" si="12"/>
        <v>451.11339000000004</v>
      </c>
      <c r="AD11" s="5">
        <f t="shared" si="13"/>
        <v>33499.71339</v>
      </c>
      <c r="AE11" s="35">
        <f t="shared" si="14"/>
        <v>483.9747146</v>
      </c>
      <c r="AG11" s="5">
        <f t="shared" si="89"/>
        <v>14683.8</v>
      </c>
      <c r="AH11" s="5">
        <f t="shared" si="15"/>
        <v>200.43386999999998</v>
      </c>
      <c r="AI11" s="5">
        <f t="shared" si="16"/>
        <v>14884.23387</v>
      </c>
      <c r="AJ11" s="35">
        <f t="shared" si="17"/>
        <v>215.0344618</v>
      </c>
      <c r="AL11" s="5">
        <f t="shared" si="90"/>
        <v>9335.4</v>
      </c>
      <c r="AM11" s="5">
        <f t="shared" si="18"/>
        <v>127.42821</v>
      </c>
      <c r="AN11" s="5">
        <f t="shared" si="19"/>
        <v>9462.82821</v>
      </c>
      <c r="AO11" s="35">
        <f t="shared" si="20"/>
        <v>136.7107094</v>
      </c>
      <c r="AQ11" s="5">
        <f t="shared" si="91"/>
        <v>25191</v>
      </c>
      <c r="AR11" s="5">
        <f t="shared" si="21"/>
        <v>343.85715</v>
      </c>
      <c r="AS11" s="5">
        <f t="shared" si="22"/>
        <v>25534.85715</v>
      </c>
      <c r="AT11" s="35">
        <f t="shared" si="23"/>
        <v>368.905401</v>
      </c>
      <c r="AV11" s="5">
        <f t="shared" si="92"/>
        <v>4.8</v>
      </c>
      <c r="AW11" s="5">
        <f t="shared" si="24"/>
        <v>0.06552</v>
      </c>
      <c r="AX11" s="5">
        <f t="shared" si="25"/>
        <v>4.86552</v>
      </c>
      <c r="AY11" s="35">
        <f t="shared" si="26"/>
        <v>0.0702928</v>
      </c>
      <c r="BA11" s="5">
        <f t="shared" si="93"/>
        <v>15583.8</v>
      </c>
      <c r="BB11" s="5">
        <f t="shared" si="27"/>
        <v>212.71886999999998</v>
      </c>
      <c r="BC11" s="35">
        <f t="shared" si="28"/>
        <v>15796.51887</v>
      </c>
      <c r="BD11" s="35">
        <f t="shared" si="29"/>
        <v>228.21436179999998</v>
      </c>
      <c r="BF11" s="5">
        <f t="shared" si="94"/>
        <v>28685.4</v>
      </c>
      <c r="BG11" s="5">
        <f t="shared" si="30"/>
        <v>391.55571000000003</v>
      </c>
      <c r="BH11" s="5">
        <f t="shared" si="31"/>
        <v>29076.955710000002</v>
      </c>
      <c r="BI11" s="35">
        <f t="shared" si="32"/>
        <v>420.0785594</v>
      </c>
      <c r="BK11" s="5">
        <f t="shared" si="95"/>
        <v>74666.4</v>
      </c>
      <c r="BL11" s="5">
        <f t="shared" si="33"/>
        <v>1019.1963599999999</v>
      </c>
      <c r="BM11" s="5">
        <f t="shared" si="34"/>
        <v>75685.59636</v>
      </c>
      <c r="BN11" s="35">
        <f t="shared" si="35"/>
        <v>1093.4396504</v>
      </c>
      <c r="BP11" s="5">
        <f t="shared" si="96"/>
        <v>7595.4</v>
      </c>
      <c r="BQ11" s="5">
        <f t="shared" si="36"/>
        <v>103.67720999999999</v>
      </c>
      <c r="BR11" s="5">
        <f t="shared" si="37"/>
        <v>7699.0772099999995</v>
      </c>
      <c r="BS11" s="35">
        <f t="shared" si="38"/>
        <v>111.22956939999999</v>
      </c>
      <c r="BU11" s="5">
        <f t="shared" si="97"/>
        <v>949.1999999999999</v>
      </c>
      <c r="BV11" s="5">
        <f t="shared" si="39"/>
        <v>12.956579999999999</v>
      </c>
      <c r="BW11" s="5">
        <f t="shared" si="40"/>
        <v>962.15658</v>
      </c>
      <c r="BX11" s="35">
        <f t="shared" si="41"/>
        <v>13.9004012</v>
      </c>
      <c r="BZ11" s="5">
        <f t="shared" si="98"/>
        <v>857.4</v>
      </c>
      <c r="CA11" s="5">
        <f t="shared" si="42"/>
        <v>11.70351</v>
      </c>
      <c r="CB11" s="5">
        <f t="shared" si="43"/>
        <v>869.10351</v>
      </c>
      <c r="CC11" s="35">
        <f t="shared" si="44"/>
        <v>12.556051400000001</v>
      </c>
      <c r="CE11" s="5">
        <f t="shared" si="99"/>
        <v>21318.6</v>
      </c>
      <c r="CF11" s="5">
        <f t="shared" si="45"/>
        <v>290.99889</v>
      </c>
      <c r="CG11" s="5">
        <f t="shared" si="46"/>
        <v>21609.598889999997</v>
      </c>
      <c r="CH11" s="35">
        <f t="shared" si="47"/>
        <v>312.1966846</v>
      </c>
      <c r="CJ11" s="5">
        <f t="shared" si="100"/>
        <v>1654.8</v>
      </c>
      <c r="CK11" s="5">
        <f t="shared" si="48"/>
        <v>22.58802</v>
      </c>
      <c r="CL11" s="5">
        <f t="shared" si="49"/>
        <v>1677.3880199999999</v>
      </c>
      <c r="CM11" s="35">
        <f t="shared" si="50"/>
        <v>24.2334428</v>
      </c>
      <c r="CO11" s="5">
        <f t="shared" si="101"/>
        <v>13088.999999999998</v>
      </c>
      <c r="CP11" s="5">
        <f t="shared" si="51"/>
        <v>178.66485</v>
      </c>
      <c r="CQ11" s="35">
        <f t="shared" si="52"/>
        <v>13267.664849999997</v>
      </c>
      <c r="CR11" s="35">
        <f t="shared" si="53"/>
        <v>191.679679</v>
      </c>
      <c r="CT11" s="5">
        <f t="shared" si="102"/>
        <v>67584.6</v>
      </c>
      <c r="CU11" s="5">
        <f t="shared" si="54"/>
        <v>922.52979</v>
      </c>
      <c r="CV11" s="5">
        <f t="shared" si="55"/>
        <v>68507.12979</v>
      </c>
      <c r="CW11" s="35">
        <f t="shared" si="56"/>
        <v>989.7314106000001</v>
      </c>
      <c r="CY11" s="5">
        <f t="shared" si="103"/>
        <v>5362.2</v>
      </c>
      <c r="CZ11" s="5">
        <f t="shared" si="57"/>
        <v>73.19403</v>
      </c>
      <c r="DA11" s="5">
        <f t="shared" si="58"/>
        <v>5435.3940299999995</v>
      </c>
      <c r="DB11" s="35">
        <f t="shared" si="59"/>
        <v>78.5258442</v>
      </c>
      <c r="DD11" s="5">
        <f t="shared" si="104"/>
        <v>14558.4</v>
      </c>
      <c r="DE11" s="5">
        <f t="shared" si="60"/>
        <v>198.72216</v>
      </c>
      <c r="DF11" s="5">
        <f t="shared" si="61"/>
        <v>14757.122159999999</v>
      </c>
      <c r="DG11" s="35">
        <f t="shared" si="62"/>
        <v>213.1980624</v>
      </c>
      <c r="DI11" s="5">
        <f t="shared" si="105"/>
        <v>16324.800000000001</v>
      </c>
      <c r="DJ11" s="5">
        <f t="shared" si="63"/>
        <v>222.83352000000002</v>
      </c>
      <c r="DK11" s="35">
        <f t="shared" si="64"/>
        <v>16547.63352</v>
      </c>
      <c r="DL11" s="35">
        <f t="shared" si="65"/>
        <v>239.06581280000003</v>
      </c>
      <c r="DN11" s="5">
        <f t="shared" si="106"/>
        <v>41133</v>
      </c>
      <c r="DO11" s="5">
        <f t="shared" si="66"/>
        <v>561.4654499999999</v>
      </c>
      <c r="DP11" s="35">
        <f t="shared" si="67"/>
        <v>41694.46545</v>
      </c>
      <c r="DQ11" s="35">
        <f t="shared" si="68"/>
        <v>602.365363</v>
      </c>
      <c r="DS11" s="5">
        <f t="shared" si="107"/>
        <v>63196.200000000004</v>
      </c>
      <c r="DT11" s="5">
        <f t="shared" si="69"/>
        <v>862.62813</v>
      </c>
      <c r="DU11" s="35">
        <f t="shared" si="70"/>
        <v>64058.82813</v>
      </c>
      <c r="DV11" s="35">
        <f t="shared" si="71"/>
        <v>925.4662182000001</v>
      </c>
      <c r="DX11" s="5">
        <f t="shared" si="108"/>
        <v>299579.4</v>
      </c>
      <c r="DY11" s="5">
        <f t="shared" si="72"/>
        <v>4089.25881</v>
      </c>
      <c r="DZ11" s="5">
        <f t="shared" si="73"/>
        <v>303668.65881000005</v>
      </c>
      <c r="EA11" s="35">
        <f t="shared" si="74"/>
        <v>4387.1405933999995</v>
      </c>
      <c r="EC11" s="5">
        <f t="shared" si="109"/>
        <v>253407.59999999998</v>
      </c>
      <c r="ED11" s="5">
        <f t="shared" si="75"/>
        <v>3459.01374</v>
      </c>
      <c r="EE11" s="5">
        <f t="shared" si="76"/>
        <v>256866.61373999997</v>
      </c>
      <c r="EF11" s="35">
        <f t="shared" si="77"/>
        <v>3710.9853636</v>
      </c>
      <c r="EH11" s="5">
        <f t="shared" si="110"/>
        <v>1590</v>
      </c>
      <c r="EI11" s="5">
        <f t="shared" si="78"/>
        <v>21.7035</v>
      </c>
      <c r="EJ11" s="5">
        <f t="shared" si="79"/>
        <v>1611.7035</v>
      </c>
      <c r="EK11" s="35">
        <f t="shared" si="80"/>
        <v>23.284489999999998</v>
      </c>
      <c r="EM11" s="5">
        <f t="shared" si="111"/>
        <v>4477.8</v>
      </c>
      <c r="EN11" s="5">
        <f t="shared" si="81"/>
        <v>61.12197</v>
      </c>
      <c r="EO11" s="5">
        <f t="shared" si="82"/>
        <v>4538.92197</v>
      </c>
      <c r="EP11" s="35">
        <f t="shared" si="83"/>
        <v>65.5743958</v>
      </c>
    </row>
    <row r="12" spans="1:146" ht="12.75">
      <c r="A12" s="36">
        <v>44470</v>
      </c>
      <c r="C12" s="77">
        <f>'2010(D&amp;E)'!C12</f>
        <v>0</v>
      </c>
      <c r="D12" s="77">
        <f>'2010(D&amp;E)'!D12</f>
        <v>0</v>
      </c>
      <c r="E12" s="34">
        <f t="shared" si="84"/>
        <v>0</v>
      </c>
      <c r="F12" s="77">
        <f>'2010(D&amp;E)'!F12</f>
        <v>0</v>
      </c>
      <c r="H12" s="46"/>
      <c r="I12" s="35">
        <f t="shared" si="0"/>
        <v>0</v>
      </c>
      <c r="J12" s="35">
        <f t="shared" si="1"/>
        <v>0</v>
      </c>
      <c r="K12" s="35">
        <f t="shared" si="2"/>
        <v>0</v>
      </c>
      <c r="N12" s="5">
        <f t="shared" si="3"/>
        <v>0</v>
      </c>
      <c r="O12" s="5">
        <f t="shared" si="4"/>
        <v>0</v>
      </c>
      <c r="P12" s="35">
        <f t="shared" si="5"/>
        <v>0</v>
      </c>
      <c r="S12" s="5">
        <f t="shared" si="6"/>
        <v>0</v>
      </c>
      <c r="T12" s="35">
        <f t="shared" si="7"/>
        <v>0</v>
      </c>
      <c r="U12" s="35">
        <f t="shared" si="8"/>
        <v>0</v>
      </c>
      <c r="V12" s="35"/>
      <c r="X12" s="5">
        <f t="shared" si="9"/>
        <v>0</v>
      </c>
      <c r="Y12" s="5">
        <f t="shared" si="10"/>
        <v>0</v>
      </c>
      <c r="Z12" s="35">
        <f t="shared" si="11"/>
        <v>0</v>
      </c>
      <c r="AC12" s="5">
        <f t="shared" si="12"/>
        <v>0</v>
      </c>
      <c r="AD12" s="5">
        <f t="shared" si="13"/>
        <v>0</v>
      </c>
      <c r="AE12" s="35">
        <f t="shared" si="14"/>
        <v>0</v>
      </c>
      <c r="AH12" s="5">
        <f t="shared" si="15"/>
        <v>0</v>
      </c>
      <c r="AI12" s="5">
        <f t="shared" si="16"/>
        <v>0</v>
      </c>
      <c r="AJ12" s="35">
        <f t="shared" si="17"/>
        <v>0</v>
      </c>
      <c r="AM12" s="5">
        <f t="shared" si="18"/>
        <v>0</v>
      </c>
      <c r="AN12" s="5">
        <f t="shared" si="19"/>
        <v>0</v>
      </c>
      <c r="AO12" s="35">
        <f t="shared" si="20"/>
        <v>0</v>
      </c>
      <c r="AR12" s="5">
        <f t="shared" si="21"/>
        <v>0</v>
      </c>
      <c r="AS12" s="5">
        <f t="shared" si="22"/>
        <v>0</v>
      </c>
      <c r="AT12" s="35">
        <f t="shared" si="23"/>
        <v>0</v>
      </c>
      <c r="AW12" s="5">
        <f t="shared" si="24"/>
        <v>0</v>
      </c>
      <c r="AX12" s="5">
        <f t="shared" si="25"/>
        <v>0</v>
      </c>
      <c r="AY12" s="35">
        <f t="shared" si="26"/>
        <v>0</v>
      </c>
      <c r="BB12" s="5">
        <f t="shared" si="27"/>
        <v>0</v>
      </c>
      <c r="BC12" s="35">
        <f t="shared" si="28"/>
        <v>0</v>
      </c>
      <c r="BD12" s="35">
        <f t="shared" si="29"/>
        <v>0</v>
      </c>
      <c r="BG12" s="5">
        <f t="shared" si="30"/>
        <v>0</v>
      </c>
      <c r="BH12" s="5">
        <f t="shared" si="31"/>
        <v>0</v>
      </c>
      <c r="BI12" s="35">
        <f t="shared" si="32"/>
        <v>0</v>
      </c>
      <c r="BL12" s="5">
        <f t="shared" si="33"/>
        <v>0</v>
      </c>
      <c r="BM12" s="5">
        <f t="shared" si="34"/>
        <v>0</v>
      </c>
      <c r="BN12" s="35">
        <f t="shared" si="35"/>
        <v>0</v>
      </c>
      <c r="BQ12" s="5">
        <f t="shared" si="36"/>
        <v>0</v>
      </c>
      <c r="BR12" s="5">
        <f t="shared" si="37"/>
        <v>0</v>
      </c>
      <c r="BS12" s="35">
        <f t="shared" si="38"/>
        <v>0</v>
      </c>
      <c r="BV12" s="5">
        <f t="shared" si="39"/>
        <v>0</v>
      </c>
      <c r="BW12" s="5">
        <f t="shared" si="40"/>
        <v>0</v>
      </c>
      <c r="BX12" s="35">
        <f t="shared" si="41"/>
        <v>0</v>
      </c>
      <c r="CA12" s="5">
        <f t="shared" si="42"/>
        <v>0</v>
      </c>
      <c r="CB12" s="5">
        <f t="shared" si="43"/>
        <v>0</v>
      </c>
      <c r="CC12" s="35">
        <f t="shared" si="44"/>
        <v>0</v>
      </c>
      <c r="CF12" s="5">
        <f t="shared" si="45"/>
        <v>0</v>
      </c>
      <c r="CG12" s="5">
        <f t="shared" si="46"/>
        <v>0</v>
      </c>
      <c r="CH12" s="35">
        <f t="shared" si="47"/>
        <v>0</v>
      </c>
      <c r="CK12" s="5">
        <f t="shared" si="48"/>
        <v>0</v>
      </c>
      <c r="CL12" s="5">
        <f t="shared" si="49"/>
        <v>0</v>
      </c>
      <c r="CM12" s="35">
        <f t="shared" si="50"/>
        <v>0</v>
      </c>
      <c r="CP12" s="5">
        <f t="shared" si="51"/>
        <v>0</v>
      </c>
      <c r="CQ12" s="35">
        <f t="shared" si="52"/>
        <v>0</v>
      </c>
      <c r="CR12" s="35">
        <f t="shared" si="53"/>
        <v>0</v>
      </c>
      <c r="CU12" s="5">
        <f t="shared" si="54"/>
        <v>0</v>
      </c>
      <c r="CV12" s="5">
        <f t="shared" si="55"/>
        <v>0</v>
      </c>
      <c r="CW12" s="35">
        <f t="shared" si="56"/>
        <v>0</v>
      </c>
      <c r="CZ12" s="5">
        <f t="shared" si="57"/>
        <v>0</v>
      </c>
      <c r="DA12" s="5">
        <f t="shared" si="58"/>
        <v>0</v>
      </c>
      <c r="DB12" s="35">
        <f t="shared" si="59"/>
        <v>0</v>
      </c>
      <c r="DE12" s="5">
        <f t="shared" si="60"/>
        <v>0</v>
      </c>
      <c r="DF12" s="5">
        <f t="shared" si="61"/>
        <v>0</v>
      </c>
      <c r="DG12" s="35">
        <f t="shared" si="62"/>
        <v>0</v>
      </c>
      <c r="DJ12" s="5">
        <f t="shared" si="63"/>
        <v>0</v>
      </c>
      <c r="DK12" s="35">
        <f t="shared" si="64"/>
        <v>0</v>
      </c>
      <c r="DL12" s="35">
        <f t="shared" si="65"/>
        <v>0</v>
      </c>
      <c r="DO12" s="5">
        <f t="shared" si="66"/>
        <v>0</v>
      </c>
      <c r="DP12" s="35">
        <f t="shared" si="67"/>
        <v>0</v>
      </c>
      <c r="DQ12" s="35">
        <f t="shared" si="68"/>
        <v>0</v>
      </c>
      <c r="DT12" s="5">
        <f t="shared" si="69"/>
        <v>0</v>
      </c>
      <c r="DU12" s="35">
        <f t="shared" si="70"/>
        <v>0</v>
      </c>
      <c r="DV12" s="35">
        <f t="shared" si="71"/>
        <v>0</v>
      </c>
      <c r="DY12" s="5">
        <f t="shared" si="72"/>
        <v>0</v>
      </c>
      <c r="DZ12" s="5">
        <f t="shared" si="73"/>
        <v>0</v>
      </c>
      <c r="EA12" s="35">
        <f t="shared" si="74"/>
        <v>0</v>
      </c>
      <c r="ED12" s="5">
        <f t="shared" si="75"/>
        <v>0</v>
      </c>
      <c r="EE12" s="5">
        <f t="shared" si="76"/>
        <v>0</v>
      </c>
      <c r="EF12" s="35">
        <f t="shared" si="77"/>
        <v>0</v>
      </c>
      <c r="EI12" s="5">
        <f t="shared" si="78"/>
        <v>0</v>
      </c>
      <c r="EJ12" s="5">
        <f t="shared" si="79"/>
        <v>0</v>
      </c>
      <c r="EK12" s="35">
        <f t="shared" si="80"/>
        <v>0</v>
      </c>
      <c r="EN12" s="5">
        <f t="shared" si="81"/>
        <v>0</v>
      </c>
      <c r="EO12" s="5">
        <f t="shared" si="82"/>
        <v>0</v>
      </c>
      <c r="EP12" s="35">
        <f t="shared" si="83"/>
        <v>0</v>
      </c>
    </row>
    <row r="13" spans="1:146" ht="12.75">
      <c r="A13" s="36">
        <v>44652</v>
      </c>
      <c r="C13" s="77">
        <f>'2010(D&amp;E)'!C13</f>
        <v>0</v>
      </c>
      <c r="D13" s="77">
        <f>'2010(D&amp;E)'!D13</f>
        <v>0</v>
      </c>
      <c r="E13" s="34">
        <f t="shared" si="84"/>
        <v>0</v>
      </c>
      <c r="F13" s="77">
        <f>'2010(D&amp;E)'!F13</f>
        <v>0</v>
      </c>
      <c r="H13" s="46">
        <f>M13+R13+AB13+AG13+AL13+W13+AQ13+AV13+BA13+BF13+BK13+BP13+BU13+BZ13+CE13+CJ13+CO13+CT13+CY13+DD13+DI13+DN13+DS13+DX13+EC13+EH13+EM13</f>
        <v>0</v>
      </c>
      <c r="I13" s="35">
        <f t="shared" si="0"/>
        <v>0</v>
      </c>
      <c r="J13" s="35">
        <f t="shared" si="1"/>
        <v>0</v>
      </c>
      <c r="K13" s="35">
        <f t="shared" si="2"/>
        <v>0</v>
      </c>
      <c r="M13" s="5">
        <f t="shared" si="85"/>
        <v>0</v>
      </c>
      <c r="N13" s="5">
        <f t="shared" si="3"/>
        <v>0</v>
      </c>
      <c r="O13" s="5">
        <f t="shared" si="4"/>
        <v>0</v>
      </c>
      <c r="P13" s="35">
        <f t="shared" si="5"/>
        <v>0</v>
      </c>
      <c r="R13" s="5">
        <f t="shared" si="86"/>
        <v>0</v>
      </c>
      <c r="S13" s="5">
        <f t="shared" si="6"/>
        <v>0</v>
      </c>
      <c r="T13" s="35">
        <f t="shared" si="7"/>
        <v>0</v>
      </c>
      <c r="U13" s="35">
        <f t="shared" si="8"/>
        <v>0</v>
      </c>
      <c r="V13" s="35"/>
      <c r="W13" s="5">
        <f t="shared" si="87"/>
        <v>0</v>
      </c>
      <c r="X13" s="5">
        <f t="shared" si="9"/>
        <v>0</v>
      </c>
      <c r="Y13" s="5">
        <f t="shared" si="10"/>
        <v>0</v>
      </c>
      <c r="Z13" s="35">
        <f t="shared" si="11"/>
        <v>0</v>
      </c>
      <c r="AB13" s="5">
        <f t="shared" si="88"/>
        <v>0</v>
      </c>
      <c r="AC13" s="5">
        <f t="shared" si="12"/>
        <v>0</v>
      </c>
      <c r="AD13" s="5">
        <f t="shared" si="13"/>
        <v>0</v>
      </c>
      <c r="AE13" s="35">
        <f t="shared" si="14"/>
        <v>0</v>
      </c>
      <c r="AG13" s="5">
        <f t="shared" si="89"/>
        <v>0</v>
      </c>
      <c r="AH13" s="5">
        <f t="shared" si="15"/>
        <v>0</v>
      </c>
      <c r="AI13" s="5">
        <f t="shared" si="16"/>
        <v>0</v>
      </c>
      <c r="AJ13" s="35">
        <f t="shared" si="17"/>
        <v>0</v>
      </c>
      <c r="AL13" s="5">
        <f t="shared" si="90"/>
        <v>0</v>
      </c>
      <c r="AM13" s="5">
        <f t="shared" si="18"/>
        <v>0</v>
      </c>
      <c r="AN13" s="5">
        <f t="shared" si="19"/>
        <v>0</v>
      </c>
      <c r="AO13" s="35">
        <f t="shared" si="20"/>
        <v>0</v>
      </c>
      <c r="AQ13" s="5">
        <f t="shared" si="91"/>
        <v>0</v>
      </c>
      <c r="AR13" s="5">
        <f t="shared" si="21"/>
        <v>0</v>
      </c>
      <c r="AS13" s="5">
        <f t="shared" si="22"/>
        <v>0</v>
      </c>
      <c r="AT13" s="35">
        <f t="shared" si="23"/>
        <v>0</v>
      </c>
      <c r="AV13" s="5">
        <f t="shared" si="92"/>
        <v>0</v>
      </c>
      <c r="AW13" s="5">
        <f t="shared" si="24"/>
        <v>0</v>
      </c>
      <c r="AX13" s="5">
        <f t="shared" si="25"/>
        <v>0</v>
      </c>
      <c r="AY13" s="35">
        <f t="shared" si="26"/>
        <v>0</v>
      </c>
      <c r="BA13" s="5">
        <f t="shared" si="93"/>
        <v>0</v>
      </c>
      <c r="BB13" s="5">
        <f t="shared" si="27"/>
        <v>0</v>
      </c>
      <c r="BC13" s="35">
        <f t="shared" si="28"/>
        <v>0</v>
      </c>
      <c r="BD13" s="35">
        <f t="shared" si="29"/>
        <v>0</v>
      </c>
      <c r="BF13" s="5">
        <f t="shared" si="94"/>
        <v>0</v>
      </c>
      <c r="BG13" s="5">
        <f t="shared" si="30"/>
        <v>0</v>
      </c>
      <c r="BH13" s="5">
        <f t="shared" si="31"/>
        <v>0</v>
      </c>
      <c r="BI13" s="35">
        <f t="shared" si="32"/>
        <v>0</v>
      </c>
      <c r="BK13" s="5">
        <f t="shared" si="95"/>
        <v>0</v>
      </c>
      <c r="BL13" s="5">
        <f t="shared" si="33"/>
        <v>0</v>
      </c>
      <c r="BM13" s="5">
        <f t="shared" si="34"/>
        <v>0</v>
      </c>
      <c r="BN13" s="35">
        <f t="shared" si="35"/>
        <v>0</v>
      </c>
      <c r="BP13" s="5">
        <f t="shared" si="96"/>
        <v>0</v>
      </c>
      <c r="BQ13" s="5">
        <f t="shared" si="36"/>
        <v>0</v>
      </c>
      <c r="BR13" s="5">
        <f t="shared" si="37"/>
        <v>0</v>
      </c>
      <c r="BS13" s="35">
        <f t="shared" si="38"/>
        <v>0</v>
      </c>
      <c r="BU13" s="5">
        <f t="shared" si="97"/>
        <v>0</v>
      </c>
      <c r="BV13" s="5">
        <f t="shared" si="39"/>
        <v>0</v>
      </c>
      <c r="BW13" s="5">
        <f t="shared" si="40"/>
        <v>0</v>
      </c>
      <c r="BX13" s="35">
        <f t="shared" si="41"/>
        <v>0</v>
      </c>
      <c r="BZ13" s="5">
        <f t="shared" si="98"/>
        <v>0</v>
      </c>
      <c r="CA13" s="5">
        <f t="shared" si="42"/>
        <v>0</v>
      </c>
      <c r="CB13" s="5">
        <f t="shared" si="43"/>
        <v>0</v>
      </c>
      <c r="CC13" s="35">
        <f t="shared" si="44"/>
        <v>0</v>
      </c>
      <c r="CE13" s="5">
        <f t="shared" si="99"/>
        <v>0</v>
      </c>
      <c r="CF13" s="5">
        <f t="shared" si="45"/>
        <v>0</v>
      </c>
      <c r="CG13" s="5">
        <f t="shared" si="46"/>
        <v>0</v>
      </c>
      <c r="CH13" s="35">
        <f t="shared" si="47"/>
        <v>0</v>
      </c>
      <c r="CJ13" s="5">
        <f t="shared" si="100"/>
        <v>0</v>
      </c>
      <c r="CK13" s="5">
        <f t="shared" si="48"/>
        <v>0</v>
      </c>
      <c r="CL13" s="5">
        <f t="shared" si="49"/>
        <v>0</v>
      </c>
      <c r="CM13" s="35">
        <f t="shared" si="50"/>
        <v>0</v>
      </c>
      <c r="CO13" s="5">
        <f t="shared" si="101"/>
        <v>0</v>
      </c>
      <c r="CP13" s="5">
        <f t="shared" si="51"/>
        <v>0</v>
      </c>
      <c r="CQ13" s="35">
        <f t="shared" si="52"/>
        <v>0</v>
      </c>
      <c r="CR13" s="35">
        <f t="shared" si="53"/>
        <v>0</v>
      </c>
      <c r="CT13" s="5">
        <f t="shared" si="102"/>
        <v>0</v>
      </c>
      <c r="CU13" s="5">
        <f t="shared" si="54"/>
        <v>0</v>
      </c>
      <c r="CV13" s="5">
        <f t="shared" si="55"/>
        <v>0</v>
      </c>
      <c r="CW13" s="35">
        <f t="shared" si="56"/>
        <v>0</v>
      </c>
      <c r="CY13" s="5">
        <f t="shared" si="103"/>
        <v>0</v>
      </c>
      <c r="CZ13" s="5">
        <f t="shared" si="57"/>
        <v>0</v>
      </c>
      <c r="DA13" s="5">
        <f t="shared" si="58"/>
        <v>0</v>
      </c>
      <c r="DB13" s="35">
        <f t="shared" si="59"/>
        <v>0</v>
      </c>
      <c r="DD13" s="5">
        <f t="shared" si="104"/>
        <v>0</v>
      </c>
      <c r="DE13" s="5">
        <f t="shared" si="60"/>
        <v>0</v>
      </c>
      <c r="DF13" s="5">
        <f t="shared" si="61"/>
        <v>0</v>
      </c>
      <c r="DG13" s="35">
        <f t="shared" si="62"/>
        <v>0</v>
      </c>
      <c r="DI13" s="5">
        <f t="shared" si="105"/>
        <v>0</v>
      </c>
      <c r="DJ13" s="5">
        <f t="shared" si="63"/>
        <v>0</v>
      </c>
      <c r="DK13" s="35">
        <f t="shared" si="64"/>
        <v>0</v>
      </c>
      <c r="DL13" s="35">
        <f t="shared" si="65"/>
        <v>0</v>
      </c>
      <c r="DN13" s="5">
        <f t="shared" si="106"/>
        <v>0</v>
      </c>
      <c r="DO13" s="5">
        <f t="shared" si="66"/>
        <v>0</v>
      </c>
      <c r="DP13" s="35">
        <f t="shared" si="67"/>
        <v>0</v>
      </c>
      <c r="DQ13" s="35">
        <f t="shared" si="68"/>
        <v>0</v>
      </c>
      <c r="DS13" s="5">
        <f t="shared" si="107"/>
        <v>0</v>
      </c>
      <c r="DT13" s="5">
        <f t="shared" si="69"/>
        <v>0</v>
      </c>
      <c r="DU13" s="35">
        <f t="shared" si="70"/>
        <v>0</v>
      </c>
      <c r="DV13" s="35">
        <f t="shared" si="71"/>
        <v>0</v>
      </c>
      <c r="DX13" s="5">
        <f t="shared" si="108"/>
        <v>0</v>
      </c>
      <c r="DY13" s="5">
        <f t="shared" si="72"/>
        <v>0</v>
      </c>
      <c r="DZ13" s="5">
        <f t="shared" si="73"/>
        <v>0</v>
      </c>
      <c r="EA13" s="35">
        <f t="shared" si="74"/>
        <v>0</v>
      </c>
      <c r="EC13" s="5">
        <f t="shared" si="109"/>
        <v>0</v>
      </c>
      <c r="ED13" s="5">
        <f t="shared" si="75"/>
        <v>0</v>
      </c>
      <c r="EE13" s="5">
        <f t="shared" si="76"/>
        <v>0</v>
      </c>
      <c r="EF13" s="35">
        <f t="shared" si="77"/>
        <v>0</v>
      </c>
      <c r="EH13" s="5">
        <f t="shared" si="110"/>
        <v>0</v>
      </c>
      <c r="EI13" s="5">
        <f t="shared" si="78"/>
        <v>0</v>
      </c>
      <c r="EJ13" s="5">
        <f t="shared" si="79"/>
        <v>0</v>
      </c>
      <c r="EK13" s="35">
        <f t="shared" si="80"/>
        <v>0</v>
      </c>
      <c r="EM13" s="5">
        <f t="shared" si="111"/>
        <v>0</v>
      </c>
      <c r="EN13" s="5">
        <f t="shared" si="81"/>
        <v>0</v>
      </c>
      <c r="EO13" s="5">
        <f t="shared" si="82"/>
        <v>0</v>
      </c>
      <c r="EP13" s="35">
        <f t="shared" si="83"/>
        <v>0</v>
      </c>
    </row>
    <row r="14" spans="1:146" ht="12.75">
      <c r="A14" s="36">
        <v>44835</v>
      </c>
      <c r="C14" s="77">
        <f>'2010(D&amp;E)'!C14</f>
        <v>0</v>
      </c>
      <c r="D14" s="77">
        <f>'2010(D&amp;E)'!D14</f>
        <v>0</v>
      </c>
      <c r="E14" s="34">
        <f t="shared" si="84"/>
        <v>0</v>
      </c>
      <c r="F14" s="77">
        <f>'2010(D&amp;E)'!F14</f>
        <v>0</v>
      </c>
      <c r="H14" s="46"/>
      <c r="I14" s="35">
        <f t="shared" si="0"/>
        <v>0</v>
      </c>
      <c r="J14" s="35">
        <f t="shared" si="1"/>
        <v>0</v>
      </c>
      <c r="K14" s="35">
        <f t="shared" si="2"/>
        <v>0</v>
      </c>
      <c r="N14" s="5">
        <f t="shared" si="3"/>
        <v>0</v>
      </c>
      <c r="O14" s="5">
        <f t="shared" si="4"/>
        <v>0</v>
      </c>
      <c r="P14" s="35">
        <f t="shared" si="5"/>
        <v>0</v>
      </c>
      <c r="S14" s="5">
        <f t="shared" si="6"/>
        <v>0</v>
      </c>
      <c r="T14" s="35">
        <f t="shared" si="7"/>
        <v>0</v>
      </c>
      <c r="U14" s="35">
        <f t="shared" si="8"/>
        <v>0</v>
      </c>
      <c r="V14" s="35"/>
      <c r="X14" s="5">
        <f t="shared" si="9"/>
        <v>0</v>
      </c>
      <c r="Y14" s="5">
        <f t="shared" si="10"/>
        <v>0</v>
      </c>
      <c r="Z14" s="35">
        <f t="shared" si="11"/>
        <v>0</v>
      </c>
      <c r="AC14" s="5">
        <f t="shared" si="12"/>
        <v>0</v>
      </c>
      <c r="AD14" s="5">
        <f t="shared" si="13"/>
        <v>0</v>
      </c>
      <c r="AE14" s="35">
        <f t="shared" si="14"/>
        <v>0</v>
      </c>
      <c r="AH14" s="5">
        <f t="shared" si="15"/>
        <v>0</v>
      </c>
      <c r="AI14" s="5">
        <f t="shared" si="16"/>
        <v>0</v>
      </c>
      <c r="AJ14" s="35">
        <f t="shared" si="17"/>
        <v>0</v>
      </c>
      <c r="AM14" s="5">
        <f t="shared" si="18"/>
        <v>0</v>
      </c>
      <c r="AN14" s="5">
        <f t="shared" si="19"/>
        <v>0</v>
      </c>
      <c r="AO14" s="35">
        <f t="shared" si="20"/>
        <v>0</v>
      </c>
      <c r="AR14" s="5">
        <f t="shared" si="21"/>
        <v>0</v>
      </c>
      <c r="AS14" s="5">
        <f t="shared" si="22"/>
        <v>0</v>
      </c>
      <c r="AT14" s="35">
        <f t="shared" si="23"/>
        <v>0</v>
      </c>
      <c r="AW14" s="5">
        <f t="shared" si="24"/>
        <v>0</v>
      </c>
      <c r="AX14" s="5">
        <f t="shared" si="25"/>
        <v>0</v>
      </c>
      <c r="AY14" s="35">
        <f t="shared" si="26"/>
        <v>0</v>
      </c>
      <c r="BB14" s="5">
        <f t="shared" si="27"/>
        <v>0</v>
      </c>
      <c r="BC14" s="35">
        <f t="shared" si="28"/>
        <v>0</v>
      </c>
      <c r="BD14" s="35">
        <f t="shared" si="29"/>
        <v>0</v>
      </c>
      <c r="BG14" s="5">
        <f t="shared" si="30"/>
        <v>0</v>
      </c>
      <c r="BH14" s="5">
        <f t="shared" si="31"/>
        <v>0</v>
      </c>
      <c r="BI14" s="35">
        <f t="shared" si="32"/>
        <v>0</v>
      </c>
      <c r="BL14" s="5">
        <f t="shared" si="33"/>
        <v>0</v>
      </c>
      <c r="BM14" s="5">
        <f t="shared" si="34"/>
        <v>0</v>
      </c>
      <c r="BN14" s="35">
        <f t="shared" si="35"/>
        <v>0</v>
      </c>
      <c r="BQ14" s="5">
        <f t="shared" si="36"/>
        <v>0</v>
      </c>
      <c r="BR14" s="5">
        <f t="shared" si="37"/>
        <v>0</v>
      </c>
      <c r="BS14" s="35">
        <f t="shared" si="38"/>
        <v>0</v>
      </c>
      <c r="BV14" s="5">
        <f t="shared" si="39"/>
        <v>0</v>
      </c>
      <c r="BW14" s="5">
        <f t="shared" si="40"/>
        <v>0</v>
      </c>
      <c r="BX14" s="35">
        <f t="shared" si="41"/>
        <v>0</v>
      </c>
      <c r="CA14" s="5">
        <f t="shared" si="42"/>
        <v>0</v>
      </c>
      <c r="CB14" s="5">
        <f t="shared" si="43"/>
        <v>0</v>
      </c>
      <c r="CC14" s="35">
        <f t="shared" si="44"/>
        <v>0</v>
      </c>
      <c r="CF14" s="5">
        <f t="shared" si="45"/>
        <v>0</v>
      </c>
      <c r="CG14" s="5">
        <f t="shared" si="46"/>
        <v>0</v>
      </c>
      <c r="CH14" s="35">
        <f t="shared" si="47"/>
        <v>0</v>
      </c>
      <c r="CK14" s="5">
        <f t="shared" si="48"/>
        <v>0</v>
      </c>
      <c r="CL14" s="5">
        <f t="shared" si="49"/>
        <v>0</v>
      </c>
      <c r="CM14" s="35">
        <f t="shared" si="50"/>
        <v>0</v>
      </c>
      <c r="CP14" s="5">
        <f t="shared" si="51"/>
        <v>0</v>
      </c>
      <c r="CQ14" s="35">
        <f t="shared" si="52"/>
        <v>0</v>
      </c>
      <c r="CR14" s="35">
        <f t="shared" si="53"/>
        <v>0</v>
      </c>
      <c r="CU14" s="5">
        <f t="shared" si="54"/>
        <v>0</v>
      </c>
      <c r="CV14" s="5">
        <f t="shared" si="55"/>
        <v>0</v>
      </c>
      <c r="CW14" s="35">
        <f t="shared" si="56"/>
        <v>0</v>
      </c>
      <c r="CZ14" s="5">
        <f t="shared" si="57"/>
        <v>0</v>
      </c>
      <c r="DA14" s="5">
        <f t="shared" si="58"/>
        <v>0</v>
      </c>
      <c r="DB14" s="35">
        <f t="shared" si="59"/>
        <v>0</v>
      </c>
      <c r="DE14" s="5">
        <f t="shared" si="60"/>
        <v>0</v>
      </c>
      <c r="DF14" s="5">
        <f t="shared" si="61"/>
        <v>0</v>
      </c>
      <c r="DG14" s="35">
        <f t="shared" si="62"/>
        <v>0</v>
      </c>
      <c r="DJ14" s="5">
        <f t="shared" si="63"/>
        <v>0</v>
      </c>
      <c r="DK14" s="35">
        <f t="shared" si="64"/>
        <v>0</v>
      </c>
      <c r="DL14" s="35">
        <f t="shared" si="65"/>
        <v>0</v>
      </c>
      <c r="DO14" s="5">
        <f t="shared" si="66"/>
        <v>0</v>
      </c>
      <c r="DP14" s="35">
        <f t="shared" si="67"/>
        <v>0</v>
      </c>
      <c r="DQ14" s="35">
        <f t="shared" si="68"/>
        <v>0</v>
      </c>
      <c r="DT14" s="5">
        <f t="shared" si="69"/>
        <v>0</v>
      </c>
      <c r="DU14" s="35">
        <f t="shared" si="70"/>
        <v>0</v>
      </c>
      <c r="DV14" s="35">
        <f t="shared" si="71"/>
        <v>0</v>
      </c>
      <c r="DY14" s="5">
        <f t="shared" si="72"/>
        <v>0</v>
      </c>
      <c r="DZ14" s="5">
        <f t="shared" si="73"/>
        <v>0</v>
      </c>
      <c r="EA14" s="35">
        <f t="shared" si="74"/>
        <v>0</v>
      </c>
      <c r="ED14" s="5">
        <f t="shared" si="75"/>
        <v>0</v>
      </c>
      <c r="EE14" s="5">
        <f t="shared" si="76"/>
        <v>0</v>
      </c>
      <c r="EF14" s="35">
        <f t="shared" si="77"/>
        <v>0</v>
      </c>
      <c r="EI14" s="5">
        <f t="shared" si="78"/>
        <v>0</v>
      </c>
      <c r="EJ14" s="5">
        <f t="shared" si="79"/>
        <v>0</v>
      </c>
      <c r="EK14" s="35">
        <f t="shared" si="80"/>
        <v>0</v>
      </c>
      <c r="EN14" s="5">
        <f t="shared" si="81"/>
        <v>0</v>
      </c>
      <c r="EO14" s="5">
        <f t="shared" si="82"/>
        <v>0</v>
      </c>
      <c r="EP14" s="35">
        <f t="shared" si="83"/>
        <v>0</v>
      </c>
    </row>
    <row r="15" spans="1:146" ht="12.75">
      <c r="A15" s="36">
        <v>45017</v>
      </c>
      <c r="C15" s="77">
        <f>'2010(D&amp;E)'!C15</f>
        <v>0</v>
      </c>
      <c r="D15" s="77">
        <f>'2010(D&amp;E)'!D15</f>
        <v>0</v>
      </c>
      <c r="E15" s="34">
        <f t="shared" si="84"/>
        <v>0</v>
      </c>
      <c r="F15" s="77">
        <f>'2010(D&amp;E)'!F15</f>
        <v>0</v>
      </c>
      <c r="H15" s="46">
        <f>M15+R15+AB15+AG15+AL15+W15+AQ15+AV15+BA15+BF15+BK15+BP15+BU15+BZ15+CE15+CJ15+CO15+CT15+CY15+DD15+DI15+DN15+DS15+DX15+EC15+EH15+EM15</f>
        <v>0</v>
      </c>
      <c r="I15" s="35">
        <f t="shared" si="0"/>
        <v>0</v>
      </c>
      <c r="J15" s="35">
        <f t="shared" si="1"/>
        <v>0</v>
      </c>
      <c r="K15" s="35">
        <f t="shared" si="2"/>
        <v>0</v>
      </c>
      <c r="M15" s="5">
        <f t="shared" si="85"/>
        <v>0</v>
      </c>
      <c r="N15" s="5">
        <f t="shared" si="3"/>
        <v>0</v>
      </c>
      <c r="O15" s="5">
        <f t="shared" si="4"/>
        <v>0</v>
      </c>
      <c r="P15" s="35">
        <f t="shared" si="5"/>
        <v>0</v>
      </c>
      <c r="R15" s="5">
        <f t="shared" si="86"/>
        <v>0</v>
      </c>
      <c r="S15" s="5">
        <f t="shared" si="6"/>
        <v>0</v>
      </c>
      <c r="T15" s="35">
        <f t="shared" si="7"/>
        <v>0</v>
      </c>
      <c r="U15" s="35">
        <f t="shared" si="8"/>
        <v>0</v>
      </c>
      <c r="V15" s="35"/>
      <c r="W15" s="5">
        <f t="shared" si="87"/>
        <v>0</v>
      </c>
      <c r="X15" s="5">
        <f t="shared" si="9"/>
        <v>0</v>
      </c>
      <c r="Y15" s="5">
        <f t="shared" si="10"/>
        <v>0</v>
      </c>
      <c r="Z15" s="35">
        <f t="shared" si="11"/>
        <v>0</v>
      </c>
      <c r="AB15" s="5">
        <f t="shared" si="88"/>
        <v>0</v>
      </c>
      <c r="AC15" s="5">
        <f t="shared" si="12"/>
        <v>0</v>
      </c>
      <c r="AD15" s="5">
        <f t="shared" si="13"/>
        <v>0</v>
      </c>
      <c r="AE15" s="35">
        <f t="shared" si="14"/>
        <v>0</v>
      </c>
      <c r="AG15" s="5">
        <f t="shared" si="89"/>
        <v>0</v>
      </c>
      <c r="AH15" s="5">
        <f t="shared" si="15"/>
        <v>0</v>
      </c>
      <c r="AI15" s="5">
        <f t="shared" si="16"/>
        <v>0</v>
      </c>
      <c r="AJ15" s="35">
        <f t="shared" si="17"/>
        <v>0</v>
      </c>
      <c r="AL15" s="5">
        <f t="shared" si="90"/>
        <v>0</v>
      </c>
      <c r="AM15" s="5">
        <f t="shared" si="18"/>
        <v>0</v>
      </c>
      <c r="AN15" s="5">
        <f t="shared" si="19"/>
        <v>0</v>
      </c>
      <c r="AO15" s="35">
        <f t="shared" si="20"/>
        <v>0</v>
      </c>
      <c r="AQ15" s="5">
        <f t="shared" si="91"/>
        <v>0</v>
      </c>
      <c r="AR15" s="5">
        <f t="shared" si="21"/>
        <v>0</v>
      </c>
      <c r="AS15" s="5">
        <f t="shared" si="22"/>
        <v>0</v>
      </c>
      <c r="AT15" s="35">
        <f t="shared" si="23"/>
        <v>0</v>
      </c>
      <c r="AV15" s="5">
        <f t="shared" si="92"/>
        <v>0</v>
      </c>
      <c r="AW15" s="5">
        <f t="shared" si="24"/>
        <v>0</v>
      </c>
      <c r="AX15" s="5">
        <f t="shared" si="25"/>
        <v>0</v>
      </c>
      <c r="AY15" s="35">
        <f t="shared" si="26"/>
        <v>0</v>
      </c>
      <c r="BA15" s="5">
        <f t="shared" si="93"/>
        <v>0</v>
      </c>
      <c r="BB15" s="5">
        <f t="shared" si="27"/>
        <v>0</v>
      </c>
      <c r="BC15" s="35">
        <f t="shared" si="28"/>
        <v>0</v>
      </c>
      <c r="BD15" s="35">
        <f t="shared" si="29"/>
        <v>0</v>
      </c>
      <c r="BF15" s="5">
        <f t="shared" si="94"/>
        <v>0</v>
      </c>
      <c r="BG15" s="5">
        <f t="shared" si="30"/>
        <v>0</v>
      </c>
      <c r="BH15" s="5">
        <f t="shared" si="31"/>
        <v>0</v>
      </c>
      <c r="BI15" s="35">
        <f t="shared" si="32"/>
        <v>0</v>
      </c>
      <c r="BK15" s="5">
        <f t="shared" si="95"/>
        <v>0</v>
      </c>
      <c r="BL15" s="5">
        <f t="shared" si="33"/>
        <v>0</v>
      </c>
      <c r="BM15" s="5">
        <f t="shared" si="34"/>
        <v>0</v>
      </c>
      <c r="BN15" s="35">
        <f t="shared" si="35"/>
        <v>0</v>
      </c>
      <c r="BP15" s="5">
        <f t="shared" si="96"/>
        <v>0</v>
      </c>
      <c r="BQ15" s="5">
        <f t="shared" si="36"/>
        <v>0</v>
      </c>
      <c r="BR15" s="5">
        <f t="shared" si="37"/>
        <v>0</v>
      </c>
      <c r="BS15" s="35">
        <f t="shared" si="38"/>
        <v>0</v>
      </c>
      <c r="BU15" s="5">
        <f t="shared" si="97"/>
        <v>0</v>
      </c>
      <c r="BV15" s="5">
        <f t="shared" si="39"/>
        <v>0</v>
      </c>
      <c r="BW15" s="5">
        <f t="shared" si="40"/>
        <v>0</v>
      </c>
      <c r="BX15" s="35">
        <f t="shared" si="41"/>
        <v>0</v>
      </c>
      <c r="BZ15" s="5">
        <f t="shared" si="98"/>
        <v>0</v>
      </c>
      <c r="CA15" s="5">
        <f t="shared" si="42"/>
        <v>0</v>
      </c>
      <c r="CB15" s="5">
        <f t="shared" si="43"/>
        <v>0</v>
      </c>
      <c r="CC15" s="35">
        <f t="shared" si="44"/>
        <v>0</v>
      </c>
      <c r="CE15" s="5">
        <f t="shared" si="99"/>
        <v>0</v>
      </c>
      <c r="CF15" s="5">
        <f t="shared" si="45"/>
        <v>0</v>
      </c>
      <c r="CG15" s="5">
        <f t="shared" si="46"/>
        <v>0</v>
      </c>
      <c r="CH15" s="35">
        <f t="shared" si="47"/>
        <v>0</v>
      </c>
      <c r="CJ15" s="5">
        <f t="shared" si="100"/>
        <v>0</v>
      </c>
      <c r="CK15" s="5">
        <f t="shared" si="48"/>
        <v>0</v>
      </c>
      <c r="CL15" s="5">
        <f t="shared" si="49"/>
        <v>0</v>
      </c>
      <c r="CM15" s="35">
        <f t="shared" si="50"/>
        <v>0</v>
      </c>
      <c r="CO15" s="5">
        <f t="shared" si="101"/>
        <v>0</v>
      </c>
      <c r="CP15" s="5">
        <f t="shared" si="51"/>
        <v>0</v>
      </c>
      <c r="CQ15" s="35">
        <f t="shared" si="52"/>
        <v>0</v>
      </c>
      <c r="CR15" s="35">
        <f t="shared" si="53"/>
        <v>0</v>
      </c>
      <c r="CT15" s="5">
        <f t="shared" si="102"/>
        <v>0</v>
      </c>
      <c r="CU15" s="5">
        <f t="shared" si="54"/>
        <v>0</v>
      </c>
      <c r="CV15" s="5">
        <f t="shared" si="55"/>
        <v>0</v>
      </c>
      <c r="CW15" s="35">
        <f t="shared" si="56"/>
        <v>0</v>
      </c>
      <c r="CY15" s="5">
        <f t="shared" si="103"/>
        <v>0</v>
      </c>
      <c r="CZ15" s="5">
        <f t="shared" si="57"/>
        <v>0</v>
      </c>
      <c r="DA15" s="5">
        <f t="shared" si="58"/>
        <v>0</v>
      </c>
      <c r="DB15" s="35">
        <f t="shared" si="59"/>
        <v>0</v>
      </c>
      <c r="DD15" s="5">
        <f t="shared" si="104"/>
        <v>0</v>
      </c>
      <c r="DE15" s="5">
        <f t="shared" si="60"/>
        <v>0</v>
      </c>
      <c r="DF15" s="5">
        <f t="shared" si="61"/>
        <v>0</v>
      </c>
      <c r="DG15" s="35">
        <f t="shared" si="62"/>
        <v>0</v>
      </c>
      <c r="DI15" s="5">
        <f t="shared" si="105"/>
        <v>0</v>
      </c>
      <c r="DJ15" s="5">
        <f t="shared" si="63"/>
        <v>0</v>
      </c>
      <c r="DK15" s="35">
        <f t="shared" si="64"/>
        <v>0</v>
      </c>
      <c r="DL15" s="35">
        <f t="shared" si="65"/>
        <v>0</v>
      </c>
      <c r="DN15" s="5">
        <f t="shared" si="106"/>
        <v>0</v>
      </c>
      <c r="DO15" s="5">
        <f t="shared" si="66"/>
        <v>0</v>
      </c>
      <c r="DP15" s="35">
        <f t="shared" si="67"/>
        <v>0</v>
      </c>
      <c r="DQ15" s="35">
        <f t="shared" si="68"/>
        <v>0</v>
      </c>
      <c r="DS15" s="5">
        <f t="shared" si="107"/>
        <v>0</v>
      </c>
      <c r="DT15" s="5">
        <f t="shared" si="69"/>
        <v>0</v>
      </c>
      <c r="DU15" s="35">
        <f t="shared" si="70"/>
        <v>0</v>
      </c>
      <c r="DV15" s="35">
        <f t="shared" si="71"/>
        <v>0</v>
      </c>
      <c r="DX15" s="5">
        <f t="shared" si="108"/>
        <v>0</v>
      </c>
      <c r="DY15" s="5">
        <f t="shared" si="72"/>
        <v>0</v>
      </c>
      <c r="DZ15" s="5">
        <f t="shared" si="73"/>
        <v>0</v>
      </c>
      <c r="EA15" s="35">
        <f t="shared" si="74"/>
        <v>0</v>
      </c>
      <c r="EC15" s="5">
        <f t="shared" si="109"/>
        <v>0</v>
      </c>
      <c r="ED15" s="5">
        <f t="shared" si="75"/>
        <v>0</v>
      </c>
      <c r="EE15" s="5">
        <f t="shared" si="76"/>
        <v>0</v>
      </c>
      <c r="EF15" s="35">
        <f t="shared" si="77"/>
        <v>0</v>
      </c>
      <c r="EH15" s="5">
        <f t="shared" si="110"/>
        <v>0</v>
      </c>
      <c r="EI15" s="5">
        <f t="shared" si="78"/>
        <v>0</v>
      </c>
      <c r="EJ15" s="5">
        <f t="shared" si="79"/>
        <v>0</v>
      </c>
      <c r="EK15" s="35">
        <f t="shared" si="80"/>
        <v>0</v>
      </c>
      <c r="EM15" s="5">
        <f t="shared" si="111"/>
        <v>0</v>
      </c>
      <c r="EN15" s="5">
        <f t="shared" si="81"/>
        <v>0</v>
      </c>
      <c r="EO15" s="5">
        <f t="shared" si="82"/>
        <v>0</v>
      </c>
      <c r="EP15" s="35">
        <f t="shared" si="83"/>
        <v>0</v>
      </c>
    </row>
    <row r="16" spans="1:146" ht="12.75">
      <c r="A16" s="36">
        <v>45200</v>
      </c>
      <c r="C16" s="77">
        <f>'2010(D&amp;E)'!C16</f>
        <v>0</v>
      </c>
      <c r="D16" s="77">
        <f>'2010(D&amp;E)'!D16</f>
        <v>0</v>
      </c>
      <c r="E16" s="34">
        <f t="shared" si="84"/>
        <v>0</v>
      </c>
      <c r="F16" s="77">
        <f>'2010(D&amp;E)'!F16</f>
        <v>0</v>
      </c>
      <c r="H16" s="46"/>
      <c r="I16" s="35">
        <f t="shared" si="0"/>
        <v>0</v>
      </c>
      <c r="J16" s="35">
        <f t="shared" si="1"/>
        <v>0</v>
      </c>
      <c r="K16" s="35">
        <f t="shared" si="2"/>
        <v>0</v>
      </c>
      <c r="N16" s="5">
        <f t="shared" si="3"/>
        <v>0</v>
      </c>
      <c r="O16" s="5">
        <f t="shared" si="4"/>
        <v>0</v>
      </c>
      <c r="P16" s="35">
        <f t="shared" si="5"/>
        <v>0</v>
      </c>
      <c r="S16" s="5">
        <f t="shared" si="6"/>
        <v>0</v>
      </c>
      <c r="T16" s="35">
        <f t="shared" si="7"/>
        <v>0</v>
      </c>
      <c r="U16" s="35">
        <f t="shared" si="8"/>
        <v>0</v>
      </c>
      <c r="V16" s="35"/>
      <c r="X16" s="5">
        <f t="shared" si="9"/>
        <v>0</v>
      </c>
      <c r="Y16" s="5">
        <f t="shared" si="10"/>
        <v>0</v>
      </c>
      <c r="Z16" s="35">
        <f t="shared" si="11"/>
        <v>0</v>
      </c>
      <c r="AC16" s="5">
        <f t="shared" si="12"/>
        <v>0</v>
      </c>
      <c r="AD16" s="5">
        <f t="shared" si="13"/>
        <v>0</v>
      </c>
      <c r="AE16" s="35">
        <f t="shared" si="14"/>
        <v>0</v>
      </c>
      <c r="AH16" s="5">
        <f t="shared" si="15"/>
        <v>0</v>
      </c>
      <c r="AI16" s="5">
        <f t="shared" si="16"/>
        <v>0</v>
      </c>
      <c r="AJ16" s="35">
        <f t="shared" si="17"/>
        <v>0</v>
      </c>
      <c r="AM16" s="5">
        <f t="shared" si="18"/>
        <v>0</v>
      </c>
      <c r="AN16" s="5">
        <f t="shared" si="19"/>
        <v>0</v>
      </c>
      <c r="AO16" s="35">
        <f t="shared" si="20"/>
        <v>0</v>
      </c>
      <c r="AR16" s="5">
        <f t="shared" si="21"/>
        <v>0</v>
      </c>
      <c r="AS16" s="5">
        <f t="shared" si="22"/>
        <v>0</v>
      </c>
      <c r="AT16" s="35">
        <f t="shared" si="23"/>
        <v>0</v>
      </c>
      <c r="AW16" s="5">
        <f t="shared" si="24"/>
        <v>0</v>
      </c>
      <c r="AX16" s="5">
        <f t="shared" si="25"/>
        <v>0</v>
      </c>
      <c r="AY16" s="35">
        <f t="shared" si="26"/>
        <v>0</v>
      </c>
      <c r="BB16" s="5">
        <f t="shared" si="27"/>
        <v>0</v>
      </c>
      <c r="BC16" s="35">
        <f t="shared" si="28"/>
        <v>0</v>
      </c>
      <c r="BD16" s="35">
        <f t="shared" si="29"/>
        <v>0</v>
      </c>
      <c r="BG16" s="5">
        <f t="shared" si="30"/>
        <v>0</v>
      </c>
      <c r="BH16" s="5">
        <f t="shared" si="31"/>
        <v>0</v>
      </c>
      <c r="BI16" s="35">
        <f t="shared" si="32"/>
        <v>0</v>
      </c>
      <c r="BL16" s="5">
        <f t="shared" si="33"/>
        <v>0</v>
      </c>
      <c r="BM16" s="5">
        <f t="shared" si="34"/>
        <v>0</v>
      </c>
      <c r="BN16" s="35">
        <f t="shared" si="35"/>
        <v>0</v>
      </c>
      <c r="BQ16" s="5">
        <f t="shared" si="36"/>
        <v>0</v>
      </c>
      <c r="BR16" s="5">
        <f t="shared" si="37"/>
        <v>0</v>
      </c>
      <c r="BS16" s="35">
        <f t="shared" si="38"/>
        <v>0</v>
      </c>
      <c r="BV16" s="5">
        <f t="shared" si="39"/>
        <v>0</v>
      </c>
      <c r="BW16" s="5">
        <f t="shared" si="40"/>
        <v>0</v>
      </c>
      <c r="BX16" s="35">
        <f t="shared" si="41"/>
        <v>0</v>
      </c>
      <c r="CA16" s="5">
        <f t="shared" si="42"/>
        <v>0</v>
      </c>
      <c r="CB16" s="5">
        <f t="shared" si="43"/>
        <v>0</v>
      </c>
      <c r="CC16" s="35">
        <f t="shared" si="44"/>
        <v>0</v>
      </c>
      <c r="CF16" s="5">
        <f t="shared" si="45"/>
        <v>0</v>
      </c>
      <c r="CG16" s="5">
        <f t="shared" si="46"/>
        <v>0</v>
      </c>
      <c r="CH16" s="35">
        <f t="shared" si="47"/>
        <v>0</v>
      </c>
      <c r="CK16" s="5">
        <f t="shared" si="48"/>
        <v>0</v>
      </c>
      <c r="CL16" s="5">
        <f t="shared" si="49"/>
        <v>0</v>
      </c>
      <c r="CM16" s="35">
        <f t="shared" si="50"/>
        <v>0</v>
      </c>
      <c r="CP16" s="5">
        <f t="shared" si="51"/>
        <v>0</v>
      </c>
      <c r="CQ16" s="35">
        <f t="shared" si="52"/>
        <v>0</v>
      </c>
      <c r="CR16" s="35">
        <f t="shared" si="53"/>
        <v>0</v>
      </c>
      <c r="CU16" s="5">
        <f t="shared" si="54"/>
        <v>0</v>
      </c>
      <c r="CV16" s="5">
        <f t="shared" si="55"/>
        <v>0</v>
      </c>
      <c r="CW16" s="35">
        <f t="shared" si="56"/>
        <v>0</v>
      </c>
      <c r="CZ16" s="5">
        <f t="shared" si="57"/>
        <v>0</v>
      </c>
      <c r="DA16" s="5">
        <f t="shared" si="58"/>
        <v>0</v>
      </c>
      <c r="DB16" s="35">
        <f t="shared" si="59"/>
        <v>0</v>
      </c>
      <c r="DE16" s="5">
        <f t="shared" si="60"/>
        <v>0</v>
      </c>
      <c r="DF16" s="5">
        <f t="shared" si="61"/>
        <v>0</v>
      </c>
      <c r="DG16" s="35">
        <f t="shared" si="62"/>
        <v>0</v>
      </c>
      <c r="DJ16" s="5">
        <f t="shared" si="63"/>
        <v>0</v>
      </c>
      <c r="DK16" s="35">
        <f t="shared" si="64"/>
        <v>0</v>
      </c>
      <c r="DL16" s="35">
        <f t="shared" si="65"/>
        <v>0</v>
      </c>
      <c r="DO16" s="5">
        <f t="shared" si="66"/>
        <v>0</v>
      </c>
      <c r="DP16" s="35">
        <f t="shared" si="67"/>
        <v>0</v>
      </c>
      <c r="DQ16" s="35">
        <f t="shared" si="68"/>
        <v>0</v>
      </c>
      <c r="DT16" s="5">
        <f t="shared" si="69"/>
        <v>0</v>
      </c>
      <c r="DU16" s="35">
        <f t="shared" si="70"/>
        <v>0</v>
      </c>
      <c r="DV16" s="35">
        <f t="shared" si="71"/>
        <v>0</v>
      </c>
      <c r="DY16" s="5">
        <f t="shared" si="72"/>
        <v>0</v>
      </c>
      <c r="DZ16" s="5">
        <f t="shared" si="73"/>
        <v>0</v>
      </c>
      <c r="EA16" s="35">
        <f t="shared" si="74"/>
        <v>0</v>
      </c>
      <c r="ED16" s="5">
        <f t="shared" si="75"/>
        <v>0</v>
      </c>
      <c r="EE16" s="5">
        <f t="shared" si="76"/>
        <v>0</v>
      </c>
      <c r="EF16" s="35">
        <f t="shared" si="77"/>
        <v>0</v>
      </c>
      <c r="EI16" s="5">
        <f t="shared" si="78"/>
        <v>0</v>
      </c>
      <c r="EJ16" s="5">
        <f t="shared" si="79"/>
        <v>0</v>
      </c>
      <c r="EK16" s="35">
        <f t="shared" si="80"/>
        <v>0</v>
      </c>
      <c r="EN16" s="5">
        <f t="shared" si="81"/>
        <v>0</v>
      </c>
      <c r="EO16" s="5">
        <f t="shared" si="82"/>
        <v>0</v>
      </c>
      <c r="EP16" s="35">
        <f t="shared" si="83"/>
        <v>0</v>
      </c>
    </row>
    <row r="17" spans="1:146" ht="12.75">
      <c r="A17" s="36">
        <v>45383</v>
      </c>
      <c r="C17" s="77">
        <f>'2010(D&amp;E)'!C17</f>
        <v>0</v>
      </c>
      <c r="D17" s="77">
        <f>'2010(D&amp;E)'!D17</f>
        <v>0</v>
      </c>
      <c r="E17" s="34">
        <f t="shared" si="84"/>
        <v>0</v>
      </c>
      <c r="F17" s="77">
        <f>'2010(D&amp;E)'!F17</f>
        <v>0</v>
      </c>
      <c r="H17" s="46">
        <f>M17+R17+AB17+AG17+AL17+W17+AQ17+AV17+BA17+BF17+BK17+BP17+BU17+BZ17+CE17+CJ17+CO17+CT17+CY17+DD17+DI17+DN17+DS17+DX17+EC17+EH17+EM17</f>
        <v>0</v>
      </c>
      <c r="I17" s="35">
        <f t="shared" si="0"/>
        <v>0</v>
      </c>
      <c r="J17" s="35">
        <f t="shared" si="1"/>
        <v>0</v>
      </c>
      <c r="K17" s="35">
        <f t="shared" si="2"/>
        <v>0</v>
      </c>
      <c r="M17" s="5">
        <f t="shared" si="85"/>
        <v>0</v>
      </c>
      <c r="N17" s="5">
        <f t="shared" si="3"/>
        <v>0</v>
      </c>
      <c r="O17" s="5">
        <f t="shared" si="4"/>
        <v>0</v>
      </c>
      <c r="P17" s="35">
        <f t="shared" si="5"/>
        <v>0</v>
      </c>
      <c r="R17" s="5">
        <f t="shared" si="86"/>
        <v>0</v>
      </c>
      <c r="S17" s="5">
        <f t="shared" si="6"/>
        <v>0</v>
      </c>
      <c r="T17" s="35">
        <f t="shared" si="7"/>
        <v>0</v>
      </c>
      <c r="U17" s="35">
        <f t="shared" si="8"/>
        <v>0</v>
      </c>
      <c r="V17" s="35"/>
      <c r="W17" s="5">
        <f t="shared" si="87"/>
        <v>0</v>
      </c>
      <c r="X17" s="5">
        <f t="shared" si="9"/>
        <v>0</v>
      </c>
      <c r="Y17" s="5">
        <f t="shared" si="10"/>
        <v>0</v>
      </c>
      <c r="Z17" s="35">
        <f t="shared" si="11"/>
        <v>0</v>
      </c>
      <c r="AB17" s="5">
        <f t="shared" si="88"/>
        <v>0</v>
      </c>
      <c r="AC17" s="5">
        <f t="shared" si="12"/>
        <v>0</v>
      </c>
      <c r="AD17" s="5">
        <f t="shared" si="13"/>
        <v>0</v>
      </c>
      <c r="AE17" s="35">
        <f t="shared" si="14"/>
        <v>0</v>
      </c>
      <c r="AG17" s="5">
        <f t="shared" si="89"/>
        <v>0</v>
      </c>
      <c r="AH17" s="5">
        <f t="shared" si="15"/>
        <v>0</v>
      </c>
      <c r="AI17" s="5">
        <f t="shared" si="16"/>
        <v>0</v>
      </c>
      <c r="AJ17" s="35">
        <f t="shared" si="17"/>
        <v>0</v>
      </c>
      <c r="AL17" s="5">
        <f t="shared" si="90"/>
        <v>0</v>
      </c>
      <c r="AM17" s="5">
        <f t="shared" si="18"/>
        <v>0</v>
      </c>
      <c r="AN17" s="5">
        <f t="shared" si="19"/>
        <v>0</v>
      </c>
      <c r="AO17" s="35">
        <f t="shared" si="20"/>
        <v>0</v>
      </c>
      <c r="AQ17" s="5">
        <f t="shared" si="91"/>
        <v>0</v>
      </c>
      <c r="AR17" s="5">
        <f t="shared" si="21"/>
        <v>0</v>
      </c>
      <c r="AS17" s="5">
        <f t="shared" si="22"/>
        <v>0</v>
      </c>
      <c r="AT17" s="35">
        <f t="shared" si="23"/>
        <v>0</v>
      </c>
      <c r="AV17" s="5">
        <f t="shared" si="92"/>
        <v>0</v>
      </c>
      <c r="AW17" s="5">
        <f t="shared" si="24"/>
        <v>0</v>
      </c>
      <c r="AX17" s="5">
        <f t="shared" si="25"/>
        <v>0</v>
      </c>
      <c r="AY17" s="35">
        <f t="shared" si="26"/>
        <v>0</v>
      </c>
      <c r="BA17" s="5">
        <f t="shared" si="93"/>
        <v>0</v>
      </c>
      <c r="BB17" s="5">
        <f t="shared" si="27"/>
        <v>0</v>
      </c>
      <c r="BC17" s="35">
        <f t="shared" si="28"/>
        <v>0</v>
      </c>
      <c r="BD17" s="35">
        <f t="shared" si="29"/>
        <v>0</v>
      </c>
      <c r="BF17" s="5">
        <f t="shared" si="94"/>
        <v>0</v>
      </c>
      <c r="BG17" s="5">
        <f t="shared" si="30"/>
        <v>0</v>
      </c>
      <c r="BH17" s="5">
        <f t="shared" si="31"/>
        <v>0</v>
      </c>
      <c r="BI17" s="35">
        <f t="shared" si="32"/>
        <v>0</v>
      </c>
      <c r="BK17" s="5">
        <f t="shared" si="95"/>
        <v>0</v>
      </c>
      <c r="BL17" s="5">
        <f t="shared" si="33"/>
        <v>0</v>
      </c>
      <c r="BM17" s="5">
        <f t="shared" si="34"/>
        <v>0</v>
      </c>
      <c r="BN17" s="35">
        <f t="shared" si="35"/>
        <v>0</v>
      </c>
      <c r="BP17" s="5">
        <f t="shared" si="96"/>
        <v>0</v>
      </c>
      <c r="BQ17" s="5">
        <f t="shared" si="36"/>
        <v>0</v>
      </c>
      <c r="BR17" s="5">
        <f t="shared" si="37"/>
        <v>0</v>
      </c>
      <c r="BS17" s="35">
        <f t="shared" si="38"/>
        <v>0</v>
      </c>
      <c r="BU17" s="5">
        <f t="shared" si="97"/>
        <v>0</v>
      </c>
      <c r="BV17" s="5">
        <f t="shared" si="39"/>
        <v>0</v>
      </c>
      <c r="BW17" s="5">
        <f t="shared" si="40"/>
        <v>0</v>
      </c>
      <c r="BX17" s="35">
        <f t="shared" si="41"/>
        <v>0</v>
      </c>
      <c r="BZ17" s="5">
        <f t="shared" si="98"/>
        <v>0</v>
      </c>
      <c r="CA17" s="5">
        <f t="shared" si="42"/>
        <v>0</v>
      </c>
      <c r="CB17" s="5">
        <f t="shared" si="43"/>
        <v>0</v>
      </c>
      <c r="CC17" s="35">
        <f t="shared" si="44"/>
        <v>0</v>
      </c>
      <c r="CE17" s="5">
        <f t="shared" si="99"/>
        <v>0</v>
      </c>
      <c r="CF17" s="5">
        <f t="shared" si="45"/>
        <v>0</v>
      </c>
      <c r="CG17" s="5">
        <f t="shared" si="46"/>
        <v>0</v>
      </c>
      <c r="CH17" s="35">
        <f t="shared" si="47"/>
        <v>0</v>
      </c>
      <c r="CJ17" s="5">
        <f t="shared" si="100"/>
        <v>0</v>
      </c>
      <c r="CK17" s="5">
        <f t="shared" si="48"/>
        <v>0</v>
      </c>
      <c r="CL17" s="5">
        <f t="shared" si="49"/>
        <v>0</v>
      </c>
      <c r="CM17" s="35">
        <f t="shared" si="50"/>
        <v>0</v>
      </c>
      <c r="CO17" s="5">
        <f t="shared" si="101"/>
        <v>0</v>
      </c>
      <c r="CP17" s="5">
        <f t="shared" si="51"/>
        <v>0</v>
      </c>
      <c r="CQ17" s="35">
        <f t="shared" si="52"/>
        <v>0</v>
      </c>
      <c r="CR17" s="35">
        <f t="shared" si="53"/>
        <v>0</v>
      </c>
      <c r="CT17" s="5">
        <f t="shared" si="102"/>
        <v>0</v>
      </c>
      <c r="CU17" s="5">
        <f t="shared" si="54"/>
        <v>0</v>
      </c>
      <c r="CV17" s="5">
        <f t="shared" si="55"/>
        <v>0</v>
      </c>
      <c r="CW17" s="35">
        <f t="shared" si="56"/>
        <v>0</v>
      </c>
      <c r="CY17" s="5">
        <f t="shared" si="103"/>
        <v>0</v>
      </c>
      <c r="CZ17" s="5">
        <f t="shared" si="57"/>
        <v>0</v>
      </c>
      <c r="DA17" s="5">
        <f t="shared" si="58"/>
        <v>0</v>
      </c>
      <c r="DB17" s="35">
        <f t="shared" si="59"/>
        <v>0</v>
      </c>
      <c r="DD17" s="5">
        <f t="shared" si="104"/>
        <v>0</v>
      </c>
      <c r="DE17" s="5">
        <f t="shared" si="60"/>
        <v>0</v>
      </c>
      <c r="DF17" s="5">
        <f t="shared" si="61"/>
        <v>0</v>
      </c>
      <c r="DG17" s="35">
        <f t="shared" si="62"/>
        <v>0</v>
      </c>
      <c r="DI17" s="5">
        <f t="shared" si="105"/>
        <v>0</v>
      </c>
      <c r="DJ17" s="5">
        <f t="shared" si="63"/>
        <v>0</v>
      </c>
      <c r="DK17" s="35">
        <f t="shared" si="64"/>
        <v>0</v>
      </c>
      <c r="DL17" s="35">
        <f t="shared" si="65"/>
        <v>0</v>
      </c>
      <c r="DN17" s="5">
        <f t="shared" si="106"/>
        <v>0</v>
      </c>
      <c r="DO17" s="5">
        <f t="shared" si="66"/>
        <v>0</v>
      </c>
      <c r="DP17" s="35">
        <f t="shared" si="67"/>
        <v>0</v>
      </c>
      <c r="DQ17" s="35">
        <f t="shared" si="68"/>
        <v>0</v>
      </c>
      <c r="DS17" s="5">
        <f t="shared" si="107"/>
        <v>0</v>
      </c>
      <c r="DT17" s="5">
        <f t="shared" si="69"/>
        <v>0</v>
      </c>
      <c r="DU17" s="35">
        <f t="shared" si="70"/>
        <v>0</v>
      </c>
      <c r="DV17" s="35">
        <f t="shared" si="71"/>
        <v>0</v>
      </c>
      <c r="DX17" s="5">
        <f t="shared" si="108"/>
        <v>0</v>
      </c>
      <c r="DY17" s="5">
        <f t="shared" si="72"/>
        <v>0</v>
      </c>
      <c r="DZ17" s="5">
        <f t="shared" si="73"/>
        <v>0</v>
      </c>
      <c r="EA17" s="35">
        <f t="shared" si="74"/>
        <v>0</v>
      </c>
      <c r="EC17" s="5">
        <f t="shared" si="109"/>
        <v>0</v>
      </c>
      <c r="ED17" s="5">
        <f t="shared" si="75"/>
        <v>0</v>
      </c>
      <c r="EE17" s="5">
        <f t="shared" si="76"/>
        <v>0</v>
      </c>
      <c r="EF17" s="35">
        <f t="shared" si="77"/>
        <v>0</v>
      </c>
      <c r="EH17" s="5">
        <f t="shared" si="110"/>
        <v>0</v>
      </c>
      <c r="EI17" s="5">
        <f t="shared" si="78"/>
        <v>0</v>
      </c>
      <c r="EJ17" s="5">
        <f t="shared" si="79"/>
        <v>0</v>
      </c>
      <c r="EK17" s="35">
        <f t="shared" si="80"/>
        <v>0</v>
      </c>
      <c r="EM17" s="5">
        <f t="shared" si="111"/>
        <v>0</v>
      </c>
      <c r="EN17" s="5">
        <f t="shared" si="81"/>
        <v>0</v>
      </c>
      <c r="EO17" s="5">
        <f t="shared" si="82"/>
        <v>0</v>
      </c>
      <c r="EP17" s="35">
        <f t="shared" si="83"/>
        <v>0</v>
      </c>
    </row>
    <row r="18" spans="1:146" ht="12.75">
      <c r="A18" s="36">
        <v>45566</v>
      </c>
      <c r="C18" s="77">
        <f>'2010(D&amp;E)'!C18</f>
        <v>0</v>
      </c>
      <c r="D18" s="77">
        <f>'2010(D&amp;E)'!D18</f>
        <v>0</v>
      </c>
      <c r="E18" s="34">
        <f t="shared" si="84"/>
        <v>0</v>
      </c>
      <c r="F18" s="77">
        <f>'2010(D&amp;E)'!F18</f>
        <v>0</v>
      </c>
      <c r="H18" s="46"/>
      <c r="I18" s="35">
        <f t="shared" si="0"/>
        <v>0</v>
      </c>
      <c r="J18" s="35">
        <f t="shared" si="1"/>
        <v>0</v>
      </c>
      <c r="K18" s="35">
        <f t="shared" si="2"/>
        <v>0</v>
      </c>
      <c r="L18"/>
      <c r="N18" s="5">
        <f t="shared" si="3"/>
        <v>0</v>
      </c>
      <c r="O18" s="5">
        <f t="shared" si="4"/>
        <v>0</v>
      </c>
      <c r="P18" s="35">
        <f t="shared" si="5"/>
        <v>0</v>
      </c>
      <c r="Q18"/>
      <c r="S18" s="5">
        <f t="shared" si="6"/>
        <v>0</v>
      </c>
      <c r="T18" s="35">
        <f t="shared" si="7"/>
        <v>0</v>
      </c>
      <c r="U18" s="35">
        <f t="shared" si="8"/>
        <v>0</v>
      </c>
      <c r="V18" s="35"/>
      <c r="X18" s="5">
        <f t="shared" si="9"/>
        <v>0</v>
      </c>
      <c r="Y18" s="5">
        <f t="shared" si="10"/>
        <v>0</v>
      </c>
      <c r="Z18" s="35">
        <f t="shared" si="11"/>
        <v>0</v>
      </c>
      <c r="AA18"/>
      <c r="AC18" s="5">
        <f t="shared" si="12"/>
        <v>0</v>
      </c>
      <c r="AD18" s="5">
        <f t="shared" si="13"/>
        <v>0</v>
      </c>
      <c r="AE18" s="35">
        <f t="shared" si="14"/>
        <v>0</v>
      </c>
      <c r="AF18"/>
      <c r="AH18" s="5">
        <f t="shared" si="15"/>
        <v>0</v>
      </c>
      <c r="AI18" s="5">
        <f t="shared" si="16"/>
        <v>0</v>
      </c>
      <c r="AJ18" s="35">
        <f t="shared" si="17"/>
        <v>0</v>
      </c>
      <c r="AK18"/>
      <c r="AM18" s="5">
        <f t="shared" si="18"/>
        <v>0</v>
      </c>
      <c r="AN18" s="5">
        <f t="shared" si="19"/>
        <v>0</v>
      </c>
      <c r="AO18" s="35">
        <f t="shared" si="20"/>
        <v>0</v>
      </c>
      <c r="AP18"/>
      <c r="AR18" s="5">
        <f t="shared" si="21"/>
        <v>0</v>
      </c>
      <c r="AS18" s="5">
        <f t="shared" si="22"/>
        <v>0</v>
      </c>
      <c r="AT18" s="35">
        <f t="shared" si="23"/>
        <v>0</v>
      </c>
      <c r="AU18"/>
      <c r="AW18" s="5">
        <f t="shared" si="24"/>
        <v>0</v>
      </c>
      <c r="AX18" s="5">
        <f t="shared" si="25"/>
        <v>0</v>
      </c>
      <c r="AY18" s="35">
        <f t="shared" si="26"/>
        <v>0</v>
      </c>
      <c r="AZ18"/>
      <c r="BB18" s="5">
        <f t="shared" si="27"/>
        <v>0</v>
      </c>
      <c r="BC18" s="35">
        <f t="shared" si="28"/>
        <v>0</v>
      </c>
      <c r="BD18" s="35">
        <f t="shared" si="29"/>
        <v>0</v>
      </c>
      <c r="BE18"/>
      <c r="BG18" s="5">
        <f t="shared" si="30"/>
        <v>0</v>
      </c>
      <c r="BH18" s="5">
        <f t="shared" si="31"/>
        <v>0</v>
      </c>
      <c r="BI18" s="35">
        <f t="shared" si="32"/>
        <v>0</v>
      </c>
      <c r="BJ18"/>
      <c r="BL18" s="5">
        <f t="shared" si="33"/>
        <v>0</v>
      </c>
      <c r="BM18" s="5">
        <f t="shared" si="34"/>
        <v>0</v>
      </c>
      <c r="BN18" s="35">
        <f t="shared" si="35"/>
        <v>0</v>
      </c>
      <c r="BO18"/>
      <c r="BQ18" s="5">
        <f t="shared" si="36"/>
        <v>0</v>
      </c>
      <c r="BR18" s="5">
        <f t="shared" si="37"/>
        <v>0</v>
      </c>
      <c r="BS18" s="35">
        <f t="shared" si="38"/>
        <v>0</v>
      </c>
      <c r="BT18"/>
      <c r="BV18" s="5">
        <f t="shared" si="39"/>
        <v>0</v>
      </c>
      <c r="BW18" s="5">
        <f t="shared" si="40"/>
        <v>0</v>
      </c>
      <c r="BX18" s="35">
        <f t="shared" si="41"/>
        <v>0</v>
      </c>
      <c r="BY18"/>
      <c r="CA18" s="5">
        <f t="shared" si="42"/>
        <v>0</v>
      </c>
      <c r="CB18" s="5">
        <f t="shared" si="43"/>
        <v>0</v>
      </c>
      <c r="CC18" s="35">
        <f t="shared" si="44"/>
        <v>0</v>
      </c>
      <c r="CD18"/>
      <c r="CF18" s="5">
        <f t="shared" si="45"/>
        <v>0</v>
      </c>
      <c r="CG18" s="5">
        <f t="shared" si="46"/>
        <v>0</v>
      </c>
      <c r="CH18" s="35">
        <f t="shared" si="47"/>
        <v>0</v>
      </c>
      <c r="CI18"/>
      <c r="CK18" s="5">
        <f t="shared" si="48"/>
        <v>0</v>
      </c>
      <c r="CL18" s="5">
        <f t="shared" si="49"/>
        <v>0</v>
      </c>
      <c r="CM18" s="35">
        <f t="shared" si="50"/>
        <v>0</v>
      </c>
      <c r="CN18"/>
      <c r="CP18" s="5">
        <f t="shared" si="51"/>
        <v>0</v>
      </c>
      <c r="CQ18" s="35">
        <f t="shared" si="52"/>
        <v>0</v>
      </c>
      <c r="CR18" s="35">
        <f t="shared" si="53"/>
        <v>0</v>
      </c>
      <c r="CU18" s="5">
        <f t="shared" si="54"/>
        <v>0</v>
      </c>
      <c r="CV18" s="5">
        <f t="shared" si="55"/>
        <v>0</v>
      </c>
      <c r="CW18" s="35">
        <f t="shared" si="56"/>
        <v>0</v>
      </c>
      <c r="CZ18" s="5">
        <f t="shared" si="57"/>
        <v>0</v>
      </c>
      <c r="DA18" s="5">
        <f t="shared" si="58"/>
        <v>0</v>
      </c>
      <c r="DB18" s="35">
        <f t="shared" si="59"/>
        <v>0</v>
      </c>
      <c r="DE18" s="5">
        <f t="shared" si="60"/>
        <v>0</v>
      </c>
      <c r="DF18" s="5">
        <f t="shared" si="61"/>
        <v>0</v>
      </c>
      <c r="DG18" s="35">
        <f t="shared" si="62"/>
        <v>0</v>
      </c>
      <c r="DJ18" s="5">
        <f t="shared" si="63"/>
        <v>0</v>
      </c>
      <c r="DK18" s="35">
        <f t="shared" si="64"/>
        <v>0</v>
      </c>
      <c r="DL18" s="35">
        <f t="shared" si="65"/>
        <v>0</v>
      </c>
      <c r="DO18" s="5">
        <f t="shared" si="66"/>
        <v>0</v>
      </c>
      <c r="DP18" s="35">
        <f t="shared" si="67"/>
        <v>0</v>
      </c>
      <c r="DQ18" s="35">
        <f t="shared" si="68"/>
        <v>0</v>
      </c>
      <c r="DT18" s="5">
        <f t="shared" si="69"/>
        <v>0</v>
      </c>
      <c r="DU18" s="35">
        <f t="shared" si="70"/>
        <v>0</v>
      </c>
      <c r="DV18" s="35">
        <f t="shared" si="71"/>
        <v>0</v>
      </c>
      <c r="DY18" s="5">
        <f t="shared" si="72"/>
        <v>0</v>
      </c>
      <c r="DZ18" s="5">
        <f t="shared" si="73"/>
        <v>0</v>
      </c>
      <c r="EA18" s="35">
        <f t="shared" si="74"/>
        <v>0</v>
      </c>
      <c r="ED18" s="5">
        <f t="shared" si="75"/>
        <v>0</v>
      </c>
      <c r="EE18" s="5">
        <f t="shared" si="76"/>
        <v>0</v>
      </c>
      <c r="EF18" s="35">
        <f t="shared" si="77"/>
        <v>0</v>
      </c>
      <c r="EI18" s="5">
        <f t="shared" si="78"/>
        <v>0</v>
      </c>
      <c r="EJ18" s="5">
        <f t="shared" si="79"/>
        <v>0</v>
      </c>
      <c r="EK18" s="35">
        <f t="shared" si="80"/>
        <v>0</v>
      </c>
      <c r="EN18" s="5">
        <f t="shared" si="81"/>
        <v>0</v>
      </c>
      <c r="EO18" s="5">
        <f t="shared" si="82"/>
        <v>0</v>
      </c>
      <c r="EP18" s="35">
        <f t="shared" si="83"/>
        <v>0</v>
      </c>
    </row>
    <row r="19" spans="1:146" ht="12.75">
      <c r="A19" s="36">
        <v>45748</v>
      </c>
      <c r="C19" s="77">
        <f>'2010(D&amp;E)'!C19</f>
        <v>0</v>
      </c>
      <c r="D19" s="77">
        <f>'2010(D&amp;E)'!D19</f>
        <v>0</v>
      </c>
      <c r="E19" s="34">
        <f t="shared" si="84"/>
        <v>0</v>
      </c>
      <c r="F19" s="77">
        <f>'2010(D&amp;E)'!F19</f>
        <v>0</v>
      </c>
      <c r="H19" s="46">
        <f>M19+R19+AB19+AG19+AL19+W19+AQ19+AV19+BA19+BF19+BK19+BP19+BU19+BZ19+CE19+CJ19+CO19+CT19+CY19+DD19+DI19+DN19+DS19+DX19+EC19+EH19+EM19</f>
        <v>0</v>
      </c>
      <c r="I19" s="35">
        <f t="shared" si="0"/>
        <v>0</v>
      </c>
      <c r="J19" s="35">
        <f t="shared" si="1"/>
        <v>0</v>
      </c>
      <c r="K19" s="35">
        <f t="shared" si="2"/>
        <v>0</v>
      </c>
      <c r="L19"/>
      <c r="M19" s="5">
        <f t="shared" si="85"/>
        <v>0</v>
      </c>
      <c r="N19" s="5">
        <f t="shared" si="3"/>
        <v>0</v>
      </c>
      <c r="O19" s="5">
        <f t="shared" si="4"/>
        <v>0</v>
      </c>
      <c r="P19" s="35">
        <f t="shared" si="5"/>
        <v>0</v>
      </c>
      <c r="Q19"/>
      <c r="R19" s="5">
        <f t="shared" si="86"/>
        <v>0</v>
      </c>
      <c r="S19" s="5">
        <f t="shared" si="6"/>
        <v>0</v>
      </c>
      <c r="T19" s="35">
        <f t="shared" si="7"/>
        <v>0</v>
      </c>
      <c r="U19" s="35">
        <f t="shared" si="8"/>
        <v>0</v>
      </c>
      <c r="V19" s="35"/>
      <c r="W19" s="5">
        <f t="shared" si="87"/>
        <v>0</v>
      </c>
      <c r="X19" s="5">
        <f t="shared" si="9"/>
        <v>0</v>
      </c>
      <c r="Y19" s="5">
        <f t="shared" si="10"/>
        <v>0</v>
      </c>
      <c r="Z19" s="35">
        <f t="shared" si="11"/>
        <v>0</v>
      </c>
      <c r="AA19"/>
      <c r="AB19" s="5">
        <f t="shared" si="88"/>
        <v>0</v>
      </c>
      <c r="AC19" s="5">
        <f t="shared" si="12"/>
        <v>0</v>
      </c>
      <c r="AD19" s="5">
        <f t="shared" si="13"/>
        <v>0</v>
      </c>
      <c r="AE19" s="35">
        <f t="shared" si="14"/>
        <v>0</v>
      </c>
      <c r="AF19"/>
      <c r="AG19" s="5">
        <f t="shared" si="89"/>
        <v>0</v>
      </c>
      <c r="AH19" s="5">
        <f t="shared" si="15"/>
        <v>0</v>
      </c>
      <c r="AI19" s="5">
        <f t="shared" si="16"/>
        <v>0</v>
      </c>
      <c r="AJ19" s="35">
        <f t="shared" si="17"/>
        <v>0</v>
      </c>
      <c r="AK19"/>
      <c r="AL19" s="5">
        <f t="shared" si="90"/>
        <v>0</v>
      </c>
      <c r="AM19" s="5">
        <f t="shared" si="18"/>
        <v>0</v>
      </c>
      <c r="AN19" s="5">
        <f t="shared" si="19"/>
        <v>0</v>
      </c>
      <c r="AO19" s="35">
        <f t="shared" si="20"/>
        <v>0</v>
      </c>
      <c r="AP19"/>
      <c r="AQ19" s="5">
        <f t="shared" si="91"/>
        <v>0</v>
      </c>
      <c r="AR19" s="5">
        <f t="shared" si="21"/>
        <v>0</v>
      </c>
      <c r="AS19" s="5">
        <f t="shared" si="22"/>
        <v>0</v>
      </c>
      <c r="AT19" s="35">
        <f t="shared" si="23"/>
        <v>0</v>
      </c>
      <c r="AU19"/>
      <c r="AV19" s="5">
        <f t="shared" si="92"/>
        <v>0</v>
      </c>
      <c r="AW19" s="5">
        <f t="shared" si="24"/>
        <v>0</v>
      </c>
      <c r="AX19" s="5">
        <f t="shared" si="25"/>
        <v>0</v>
      </c>
      <c r="AY19" s="35">
        <f t="shared" si="26"/>
        <v>0</v>
      </c>
      <c r="AZ19"/>
      <c r="BA19" s="5">
        <f t="shared" si="93"/>
        <v>0</v>
      </c>
      <c r="BB19" s="5">
        <f t="shared" si="27"/>
        <v>0</v>
      </c>
      <c r="BC19" s="35">
        <f t="shared" si="28"/>
        <v>0</v>
      </c>
      <c r="BD19" s="35">
        <f t="shared" si="29"/>
        <v>0</v>
      </c>
      <c r="BE19"/>
      <c r="BF19" s="5">
        <f t="shared" si="94"/>
        <v>0</v>
      </c>
      <c r="BG19" s="5">
        <f t="shared" si="30"/>
        <v>0</v>
      </c>
      <c r="BH19" s="5">
        <f t="shared" si="31"/>
        <v>0</v>
      </c>
      <c r="BI19" s="35">
        <f t="shared" si="32"/>
        <v>0</v>
      </c>
      <c r="BJ19"/>
      <c r="BK19" s="5">
        <f t="shared" si="95"/>
        <v>0</v>
      </c>
      <c r="BL19" s="5">
        <f t="shared" si="33"/>
        <v>0</v>
      </c>
      <c r="BM19" s="5">
        <f t="shared" si="34"/>
        <v>0</v>
      </c>
      <c r="BN19" s="35">
        <f t="shared" si="35"/>
        <v>0</v>
      </c>
      <c r="BO19"/>
      <c r="BP19" s="5">
        <f t="shared" si="96"/>
        <v>0</v>
      </c>
      <c r="BQ19" s="5">
        <f t="shared" si="36"/>
        <v>0</v>
      </c>
      <c r="BR19" s="5">
        <f t="shared" si="37"/>
        <v>0</v>
      </c>
      <c r="BS19" s="35">
        <f t="shared" si="38"/>
        <v>0</v>
      </c>
      <c r="BT19"/>
      <c r="BU19" s="5">
        <f t="shared" si="97"/>
        <v>0</v>
      </c>
      <c r="BV19" s="5">
        <f t="shared" si="39"/>
        <v>0</v>
      </c>
      <c r="BW19" s="5">
        <f t="shared" si="40"/>
        <v>0</v>
      </c>
      <c r="BX19" s="35">
        <f t="shared" si="41"/>
        <v>0</v>
      </c>
      <c r="BY19"/>
      <c r="BZ19" s="5">
        <f t="shared" si="98"/>
        <v>0</v>
      </c>
      <c r="CA19" s="5">
        <f t="shared" si="42"/>
        <v>0</v>
      </c>
      <c r="CB19" s="5">
        <f t="shared" si="43"/>
        <v>0</v>
      </c>
      <c r="CC19" s="35">
        <f t="shared" si="44"/>
        <v>0</v>
      </c>
      <c r="CD19"/>
      <c r="CE19" s="5">
        <f t="shared" si="99"/>
        <v>0</v>
      </c>
      <c r="CF19" s="5">
        <f t="shared" si="45"/>
        <v>0</v>
      </c>
      <c r="CG19" s="5">
        <f t="shared" si="46"/>
        <v>0</v>
      </c>
      <c r="CH19" s="35">
        <f t="shared" si="47"/>
        <v>0</v>
      </c>
      <c r="CI19"/>
      <c r="CJ19" s="5">
        <f t="shared" si="100"/>
        <v>0</v>
      </c>
      <c r="CK19" s="5">
        <f t="shared" si="48"/>
        <v>0</v>
      </c>
      <c r="CL19" s="5">
        <f t="shared" si="49"/>
        <v>0</v>
      </c>
      <c r="CM19" s="35">
        <f t="shared" si="50"/>
        <v>0</v>
      </c>
      <c r="CN19"/>
      <c r="CO19" s="5">
        <f t="shared" si="101"/>
        <v>0</v>
      </c>
      <c r="CP19" s="5">
        <f t="shared" si="51"/>
        <v>0</v>
      </c>
      <c r="CQ19" s="35">
        <f t="shared" si="52"/>
        <v>0</v>
      </c>
      <c r="CR19" s="35">
        <f t="shared" si="53"/>
        <v>0</v>
      </c>
      <c r="CT19" s="5">
        <f t="shared" si="102"/>
        <v>0</v>
      </c>
      <c r="CU19" s="5">
        <f t="shared" si="54"/>
        <v>0</v>
      </c>
      <c r="CV19" s="5">
        <f t="shared" si="55"/>
        <v>0</v>
      </c>
      <c r="CW19" s="35">
        <f t="shared" si="56"/>
        <v>0</v>
      </c>
      <c r="CY19" s="5">
        <f t="shared" si="103"/>
        <v>0</v>
      </c>
      <c r="CZ19" s="5">
        <f t="shared" si="57"/>
        <v>0</v>
      </c>
      <c r="DA19" s="5">
        <f t="shared" si="58"/>
        <v>0</v>
      </c>
      <c r="DB19" s="35">
        <f t="shared" si="59"/>
        <v>0</v>
      </c>
      <c r="DD19" s="5">
        <f t="shared" si="104"/>
        <v>0</v>
      </c>
      <c r="DE19" s="5">
        <f t="shared" si="60"/>
        <v>0</v>
      </c>
      <c r="DF19" s="5">
        <f t="shared" si="61"/>
        <v>0</v>
      </c>
      <c r="DG19" s="35">
        <f t="shared" si="62"/>
        <v>0</v>
      </c>
      <c r="DI19" s="5">
        <f t="shared" si="105"/>
        <v>0</v>
      </c>
      <c r="DJ19" s="5">
        <f t="shared" si="63"/>
        <v>0</v>
      </c>
      <c r="DK19" s="35">
        <f t="shared" si="64"/>
        <v>0</v>
      </c>
      <c r="DL19" s="35">
        <f t="shared" si="65"/>
        <v>0</v>
      </c>
      <c r="DN19" s="5">
        <f t="shared" si="106"/>
        <v>0</v>
      </c>
      <c r="DO19" s="5">
        <f t="shared" si="66"/>
        <v>0</v>
      </c>
      <c r="DP19" s="35">
        <f t="shared" si="67"/>
        <v>0</v>
      </c>
      <c r="DQ19" s="35">
        <f t="shared" si="68"/>
        <v>0</v>
      </c>
      <c r="DS19" s="5">
        <f t="shared" si="107"/>
        <v>0</v>
      </c>
      <c r="DT19" s="5">
        <f t="shared" si="69"/>
        <v>0</v>
      </c>
      <c r="DU19" s="35">
        <f t="shared" si="70"/>
        <v>0</v>
      </c>
      <c r="DV19" s="35">
        <f t="shared" si="71"/>
        <v>0</v>
      </c>
      <c r="DX19" s="5">
        <f t="shared" si="108"/>
        <v>0</v>
      </c>
      <c r="DY19" s="5">
        <f t="shared" si="72"/>
        <v>0</v>
      </c>
      <c r="DZ19" s="5">
        <f t="shared" si="73"/>
        <v>0</v>
      </c>
      <c r="EA19" s="35">
        <f t="shared" si="74"/>
        <v>0</v>
      </c>
      <c r="EC19" s="5">
        <f t="shared" si="109"/>
        <v>0</v>
      </c>
      <c r="ED19" s="5">
        <f t="shared" si="75"/>
        <v>0</v>
      </c>
      <c r="EE19" s="5">
        <f t="shared" si="76"/>
        <v>0</v>
      </c>
      <c r="EF19" s="35">
        <f t="shared" si="77"/>
        <v>0</v>
      </c>
      <c r="EH19" s="5">
        <f t="shared" si="110"/>
        <v>0</v>
      </c>
      <c r="EI19" s="5">
        <f t="shared" si="78"/>
        <v>0</v>
      </c>
      <c r="EJ19" s="5">
        <f t="shared" si="79"/>
        <v>0</v>
      </c>
      <c r="EK19" s="35">
        <f t="shared" si="80"/>
        <v>0</v>
      </c>
      <c r="EM19" s="5">
        <f t="shared" si="111"/>
        <v>0</v>
      </c>
      <c r="EN19" s="5">
        <f t="shared" si="81"/>
        <v>0</v>
      </c>
      <c r="EO19" s="5">
        <f t="shared" si="82"/>
        <v>0</v>
      </c>
      <c r="EP19" s="35">
        <f t="shared" si="83"/>
        <v>0</v>
      </c>
    </row>
    <row r="20" spans="1:146" ht="12.75">
      <c r="A20" s="36">
        <v>45931</v>
      </c>
      <c r="C20" s="77">
        <f>'2010(D&amp;E)'!C20</f>
        <v>0</v>
      </c>
      <c r="D20" s="77">
        <f>'2010(D&amp;E)'!D20</f>
        <v>0</v>
      </c>
      <c r="E20" s="34">
        <f t="shared" si="84"/>
        <v>0</v>
      </c>
      <c r="F20" s="77">
        <f>'2010(D&amp;E)'!F20</f>
        <v>0</v>
      </c>
      <c r="H20" s="46"/>
      <c r="I20" s="35">
        <f t="shared" si="0"/>
        <v>0</v>
      </c>
      <c r="J20" s="35">
        <f t="shared" si="1"/>
        <v>0</v>
      </c>
      <c r="K20" s="35">
        <f t="shared" si="2"/>
        <v>0</v>
      </c>
      <c r="L20"/>
      <c r="N20" s="5">
        <f t="shared" si="3"/>
        <v>0</v>
      </c>
      <c r="O20" s="5">
        <f t="shared" si="4"/>
        <v>0</v>
      </c>
      <c r="P20" s="35">
        <f t="shared" si="5"/>
        <v>0</v>
      </c>
      <c r="Q20"/>
      <c r="S20" s="5">
        <f t="shared" si="6"/>
        <v>0</v>
      </c>
      <c r="T20" s="35">
        <f t="shared" si="7"/>
        <v>0</v>
      </c>
      <c r="U20" s="35">
        <f t="shared" si="8"/>
        <v>0</v>
      </c>
      <c r="V20" s="35"/>
      <c r="X20" s="5">
        <f t="shared" si="9"/>
        <v>0</v>
      </c>
      <c r="Y20" s="5">
        <f t="shared" si="10"/>
        <v>0</v>
      </c>
      <c r="Z20" s="35">
        <f t="shared" si="11"/>
        <v>0</v>
      </c>
      <c r="AA20"/>
      <c r="AC20" s="5">
        <f t="shared" si="12"/>
        <v>0</v>
      </c>
      <c r="AD20" s="5">
        <f t="shared" si="13"/>
        <v>0</v>
      </c>
      <c r="AE20" s="35">
        <f t="shared" si="14"/>
        <v>0</v>
      </c>
      <c r="AF20"/>
      <c r="AH20" s="5">
        <f t="shared" si="15"/>
        <v>0</v>
      </c>
      <c r="AI20" s="5">
        <f t="shared" si="16"/>
        <v>0</v>
      </c>
      <c r="AJ20" s="35">
        <f t="shared" si="17"/>
        <v>0</v>
      </c>
      <c r="AK20"/>
      <c r="AM20" s="5">
        <f t="shared" si="18"/>
        <v>0</v>
      </c>
      <c r="AN20" s="5">
        <f t="shared" si="19"/>
        <v>0</v>
      </c>
      <c r="AO20" s="35">
        <f t="shared" si="20"/>
        <v>0</v>
      </c>
      <c r="AP20"/>
      <c r="AR20" s="5">
        <f t="shared" si="21"/>
        <v>0</v>
      </c>
      <c r="AS20" s="5">
        <f t="shared" si="22"/>
        <v>0</v>
      </c>
      <c r="AT20" s="35">
        <f t="shared" si="23"/>
        <v>0</v>
      </c>
      <c r="AU20"/>
      <c r="AW20" s="5">
        <f t="shared" si="24"/>
        <v>0</v>
      </c>
      <c r="AX20" s="5">
        <f t="shared" si="25"/>
        <v>0</v>
      </c>
      <c r="AY20" s="35">
        <f t="shared" si="26"/>
        <v>0</v>
      </c>
      <c r="AZ20"/>
      <c r="BB20" s="5">
        <f t="shared" si="27"/>
        <v>0</v>
      </c>
      <c r="BC20" s="35">
        <f t="shared" si="28"/>
        <v>0</v>
      </c>
      <c r="BD20" s="35">
        <f t="shared" si="29"/>
        <v>0</v>
      </c>
      <c r="BE20"/>
      <c r="BG20" s="5">
        <f t="shared" si="30"/>
        <v>0</v>
      </c>
      <c r="BH20" s="5">
        <f t="shared" si="31"/>
        <v>0</v>
      </c>
      <c r="BI20" s="35">
        <f t="shared" si="32"/>
        <v>0</v>
      </c>
      <c r="BJ20"/>
      <c r="BL20" s="5">
        <f t="shared" si="33"/>
        <v>0</v>
      </c>
      <c r="BM20" s="5">
        <f t="shared" si="34"/>
        <v>0</v>
      </c>
      <c r="BN20" s="35">
        <f t="shared" si="35"/>
        <v>0</v>
      </c>
      <c r="BO20"/>
      <c r="BQ20" s="5">
        <f t="shared" si="36"/>
        <v>0</v>
      </c>
      <c r="BR20" s="5">
        <f t="shared" si="37"/>
        <v>0</v>
      </c>
      <c r="BS20" s="35">
        <f t="shared" si="38"/>
        <v>0</v>
      </c>
      <c r="BT20"/>
      <c r="BV20" s="5">
        <f t="shared" si="39"/>
        <v>0</v>
      </c>
      <c r="BW20" s="5">
        <f t="shared" si="40"/>
        <v>0</v>
      </c>
      <c r="BX20" s="35">
        <f t="shared" si="41"/>
        <v>0</v>
      </c>
      <c r="BY20"/>
      <c r="CA20" s="5">
        <f t="shared" si="42"/>
        <v>0</v>
      </c>
      <c r="CB20" s="5">
        <f t="shared" si="43"/>
        <v>0</v>
      </c>
      <c r="CC20" s="35">
        <f t="shared" si="44"/>
        <v>0</v>
      </c>
      <c r="CD20"/>
      <c r="CF20" s="5">
        <f t="shared" si="45"/>
        <v>0</v>
      </c>
      <c r="CG20" s="5">
        <f t="shared" si="46"/>
        <v>0</v>
      </c>
      <c r="CH20" s="35">
        <f t="shared" si="47"/>
        <v>0</v>
      </c>
      <c r="CI20"/>
      <c r="CK20" s="5">
        <f t="shared" si="48"/>
        <v>0</v>
      </c>
      <c r="CL20" s="5">
        <f t="shared" si="49"/>
        <v>0</v>
      </c>
      <c r="CM20" s="35">
        <f t="shared" si="50"/>
        <v>0</v>
      </c>
      <c r="CN20"/>
      <c r="CP20" s="5">
        <f t="shared" si="51"/>
        <v>0</v>
      </c>
      <c r="CQ20" s="35">
        <f t="shared" si="52"/>
        <v>0</v>
      </c>
      <c r="CR20" s="35">
        <f t="shared" si="53"/>
        <v>0</v>
      </c>
      <c r="CU20" s="5">
        <f t="shared" si="54"/>
        <v>0</v>
      </c>
      <c r="CV20" s="5">
        <f t="shared" si="55"/>
        <v>0</v>
      </c>
      <c r="CW20" s="35">
        <f t="shared" si="56"/>
        <v>0</v>
      </c>
      <c r="CZ20" s="5">
        <f t="shared" si="57"/>
        <v>0</v>
      </c>
      <c r="DA20" s="5">
        <f t="shared" si="58"/>
        <v>0</v>
      </c>
      <c r="DB20" s="35">
        <f t="shared" si="59"/>
        <v>0</v>
      </c>
      <c r="DE20" s="5">
        <f t="shared" si="60"/>
        <v>0</v>
      </c>
      <c r="DF20" s="5">
        <f t="shared" si="61"/>
        <v>0</v>
      </c>
      <c r="DG20" s="35">
        <f t="shared" si="62"/>
        <v>0</v>
      </c>
      <c r="DJ20" s="5">
        <f t="shared" si="63"/>
        <v>0</v>
      </c>
      <c r="DK20" s="35">
        <f t="shared" si="64"/>
        <v>0</v>
      </c>
      <c r="DL20" s="35">
        <f t="shared" si="65"/>
        <v>0</v>
      </c>
      <c r="DO20" s="5">
        <f t="shared" si="66"/>
        <v>0</v>
      </c>
      <c r="DP20" s="35">
        <f t="shared" si="67"/>
        <v>0</v>
      </c>
      <c r="DQ20" s="35">
        <f t="shared" si="68"/>
        <v>0</v>
      </c>
      <c r="DT20" s="5">
        <f t="shared" si="69"/>
        <v>0</v>
      </c>
      <c r="DU20" s="35">
        <f t="shared" si="70"/>
        <v>0</v>
      </c>
      <c r="DV20" s="35">
        <f t="shared" si="71"/>
        <v>0</v>
      </c>
      <c r="DY20" s="5">
        <f t="shared" si="72"/>
        <v>0</v>
      </c>
      <c r="DZ20" s="5">
        <f t="shared" si="73"/>
        <v>0</v>
      </c>
      <c r="EA20" s="35">
        <f t="shared" si="74"/>
        <v>0</v>
      </c>
      <c r="ED20" s="5">
        <f t="shared" si="75"/>
        <v>0</v>
      </c>
      <c r="EE20" s="5">
        <f t="shared" si="76"/>
        <v>0</v>
      </c>
      <c r="EF20" s="35">
        <f t="shared" si="77"/>
        <v>0</v>
      </c>
      <c r="EI20" s="5">
        <f t="shared" si="78"/>
        <v>0</v>
      </c>
      <c r="EJ20" s="5">
        <f t="shared" si="79"/>
        <v>0</v>
      </c>
      <c r="EK20" s="35">
        <f t="shared" si="80"/>
        <v>0</v>
      </c>
      <c r="EN20" s="5">
        <f t="shared" si="81"/>
        <v>0</v>
      </c>
      <c r="EO20" s="5">
        <f t="shared" si="82"/>
        <v>0</v>
      </c>
      <c r="EP20" s="35">
        <f t="shared" si="83"/>
        <v>0</v>
      </c>
    </row>
    <row r="21" spans="1:146" ht="12.75">
      <c r="A21" s="36">
        <v>46113</v>
      </c>
      <c r="C21" s="77">
        <f>'2010(D&amp;E)'!C21</f>
        <v>0</v>
      </c>
      <c r="D21" s="77">
        <f>'2010(D&amp;E)'!D21</f>
        <v>0</v>
      </c>
      <c r="E21" s="34">
        <f t="shared" si="84"/>
        <v>0</v>
      </c>
      <c r="F21" s="77">
        <f>'2010(D&amp;E)'!F21</f>
        <v>0</v>
      </c>
      <c r="H21" s="46">
        <f>M21+R21+AB21+AG21+AL21+W21+AQ21+AV21+BA21+BF21+BK21+BP21+BU21+BZ21+CE21+CJ21+CO21+CT21+CY21+DD21+DI21+DN21+DS21+DX21+EC21+EH21+EM21</f>
        <v>0</v>
      </c>
      <c r="I21" s="35">
        <f t="shared" si="0"/>
        <v>0</v>
      </c>
      <c r="J21" s="35">
        <f t="shared" si="1"/>
        <v>0</v>
      </c>
      <c r="K21" s="35">
        <f t="shared" si="2"/>
        <v>0</v>
      </c>
      <c r="L21"/>
      <c r="M21" s="5">
        <f t="shared" si="85"/>
        <v>0</v>
      </c>
      <c r="N21" s="5">
        <f t="shared" si="3"/>
        <v>0</v>
      </c>
      <c r="O21" s="5">
        <f t="shared" si="4"/>
        <v>0</v>
      </c>
      <c r="P21" s="35">
        <f t="shared" si="5"/>
        <v>0</v>
      </c>
      <c r="Q21"/>
      <c r="R21" s="5">
        <f t="shared" si="86"/>
        <v>0</v>
      </c>
      <c r="S21" s="5">
        <f t="shared" si="6"/>
        <v>0</v>
      </c>
      <c r="T21" s="35">
        <f t="shared" si="7"/>
        <v>0</v>
      </c>
      <c r="U21" s="35">
        <f t="shared" si="8"/>
        <v>0</v>
      </c>
      <c r="V21" s="35"/>
      <c r="W21" s="5">
        <f t="shared" si="87"/>
        <v>0</v>
      </c>
      <c r="X21" s="5">
        <f t="shared" si="9"/>
        <v>0</v>
      </c>
      <c r="Y21" s="5">
        <f t="shared" si="10"/>
        <v>0</v>
      </c>
      <c r="Z21" s="35">
        <f t="shared" si="11"/>
        <v>0</v>
      </c>
      <c r="AA21"/>
      <c r="AB21" s="5">
        <f t="shared" si="88"/>
        <v>0</v>
      </c>
      <c r="AC21" s="5">
        <f t="shared" si="12"/>
        <v>0</v>
      </c>
      <c r="AD21" s="5">
        <f t="shared" si="13"/>
        <v>0</v>
      </c>
      <c r="AE21" s="35">
        <f t="shared" si="14"/>
        <v>0</v>
      </c>
      <c r="AF21"/>
      <c r="AG21" s="5">
        <f t="shared" si="89"/>
        <v>0</v>
      </c>
      <c r="AH21" s="5">
        <f t="shared" si="15"/>
        <v>0</v>
      </c>
      <c r="AI21" s="5">
        <f t="shared" si="16"/>
        <v>0</v>
      </c>
      <c r="AJ21" s="35">
        <f t="shared" si="17"/>
        <v>0</v>
      </c>
      <c r="AK21"/>
      <c r="AL21" s="5">
        <f t="shared" si="90"/>
        <v>0</v>
      </c>
      <c r="AM21" s="5">
        <f t="shared" si="18"/>
        <v>0</v>
      </c>
      <c r="AN21" s="5">
        <f t="shared" si="19"/>
        <v>0</v>
      </c>
      <c r="AO21" s="35">
        <f t="shared" si="20"/>
        <v>0</v>
      </c>
      <c r="AP21"/>
      <c r="AQ21" s="5">
        <f t="shared" si="91"/>
        <v>0</v>
      </c>
      <c r="AR21" s="5">
        <f t="shared" si="21"/>
        <v>0</v>
      </c>
      <c r="AS21" s="5">
        <f t="shared" si="22"/>
        <v>0</v>
      </c>
      <c r="AT21" s="35">
        <f t="shared" si="23"/>
        <v>0</v>
      </c>
      <c r="AU21"/>
      <c r="AV21" s="5">
        <f t="shared" si="92"/>
        <v>0</v>
      </c>
      <c r="AW21" s="5">
        <f t="shared" si="24"/>
        <v>0</v>
      </c>
      <c r="AX21" s="5">
        <f t="shared" si="25"/>
        <v>0</v>
      </c>
      <c r="AY21" s="35">
        <f t="shared" si="26"/>
        <v>0</v>
      </c>
      <c r="AZ21"/>
      <c r="BA21" s="5">
        <f t="shared" si="93"/>
        <v>0</v>
      </c>
      <c r="BB21" s="5">
        <f t="shared" si="27"/>
        <v>0</v>
      </c>
      <c r="BC21" s="35">
        <f t="shared" si="28"/>
        <v>0</v>
      </c>
      <c r="BD21" s="35">
        <f t="shared" si="29"/>
        <v>0</v>
      </c>
      <c r="BE21"/>
      <c r="BF21" s="5">
        <f t="shared" si="94"/>
        <v>0</v>
      </c>
      <c r="BG21" s="5">
        <f t="shared" si="30"/>
        <v>0</v>
      </c>
      <c r="BH21" s="5">
        <f t="shared" si="31"/>
        <v>0</v>
      </c>
      <c r="BI21" s="35">
        <f t="shared" si="32"/>
        <v>0</v>
      </c>
      <c r="BJ21"/>
      <c r="BK21" s="5">
        <f t="shared" si="95"/>
        <v>0</v>
      </c>
      <c r="BL21" s="5">
        <f t="shared" si="33"/>
        <v>0</v>
      </c>
      <c r="BM21" s="5">
        <f t="shared" si="34"/>
        <v>0</v>
      </c>
      <c r="BN21" s="35">
        <f t="shared" si="35"/>
        <v>0</v>
      </c>
      <c r="BO21"/>
      <c r="BP21" s="5">
        <f t="shared" si="96"/>
        <v>0</v>
      </c>
      <c r="BQ21" s="5">
        <f t="shared" si="36"/>
        <v>0</v>
      </c>
      <c r="BR21" s="5">
        <f t="shared" si="37"/>
        <v>0</v>
      </c>
      <c r="BS21" s="35">
        <f t="shared" si="38"/>
        <v>0</v>
      </c>
      <c r="BT21"/>
      <c r="BU21" s="5">
        <f t="shared" si="97"/>
        <v>0</v>
      </c>
      <c r="BV21" s="5">
        <f t="shared" si="39"/>
        <v>0</v>
      </c>
      <c r="BW21" s="5">
        <f t="shared" si="40"/>
        <v>0</v>
      </c>
      <c r="BX21" s="35">
        <f t="shared" si="41"/>
        <v>0</v>
      </c>
      <c r="BY21"/>
      <c r="BZ21" s="5">
        <f t="shared" si="98"/>
        <v>0</v>
      </c>
      <c r="CA21" s="5">
        <f t="shared" si="42"/>
        <v>0</v>
      </c>
      <c r="CB21" s="5">
        <f t="shared" si="43"/>
        <v>0</v>
      </c>
      <c r="CC21" s="35">
        <f t="shared" si="44"/>
        <v>0</v>
      </c>
      <c r="CD21"/>
      <c r="CE21" s="5">
        <f t="shared" si="99"/>
        <v>0</v>
      </c>
      <c r="CF21" s="5">
        <f t="shared" si="45"/>
        <v>0</v>
      </c>
      <c r="CG21" s="5">
        <f t="shared" si="46"/>
        <v>0</v>
      </c>
      <c r="CH21" s="35">
        <f t="shared" si="47"/>
        <v>0</v>
      </c>
      <c r="CI21"/>
      <c r="CJ21" s="5">
        <f t="shared" si="100"/>
        <v>0</v>
      </c>
      <c r="CK21" s="5">
        <f t="shared" si="48"/>
        <v>0</v>
      </c>
      <c r="CL21" s="5">
        <f t="shared" si="49"/>
        <v>0</v>
      </c>
      <c r="CM21" s="35">
        <f t="shared" si="50"/>
        <v>0</v>
      </c>
      <c r="CN21"/>
      <c r="CO21" s="5">
        <f t="shared" si="101"/>
        <v>0</v>
      </c>
      <c r="CP21" s="5">
        <f t="shared" si="51"/>
        <v>0</v>
      </c>
      <c r="CQ21" s="35">
        <f t="shared" si="52"/>
        <v>0</v>
      </c>
      <c r="CR21" s="35">
        <f t="shared" si="53"/>
        <v>0</v>
      </c>
      <c r="CT21" s="5">
        <f t="shared" si="102"/>
        <v>0</v>
      </c>
      <c r="CU21" s="5">
        <f t="shared" si="54"/>
        <v>0</v>
      </c>
      <c r="CV21" s="5">
        <f t="shared" si="55"/>
        <v>0</v>
      </c>
      <c r="CW21" s="35">
        <f t="shared" si="56"/>
        <v>0</v>
      </c>
      <c r="CY21" s="5">
        <f t="shared" si="103"/>
        <v>0</v>
      </c>
      <c r="CZ21" s="5">
        <f t="shared" si="57"/>
        <v>0</v>
      </c>
      <c r="DA21" s="5">
        <f t="shared" si="58"/>
        <v>0</v>
      </c>
      <c r="DB21" s="35">
        <f t="shared" si="59"/>
        <v>0</v>
      </c>
      <c r="DD21" s="5">
        <f t="shared" si="104"/>
        <v>0</v>
      </c>
      <c r="DE21" s="5">
        <f t="shared" si="60"/>
        <v>0</v>
      </c>
      <c r="DF21" s="5">
        <f t="shared" si="61"/>
        <v>0</v>
      </c>
      <c r="DG21" s="35">
        <f t="shared" si="62"/>
        <v>0</v>
      </c>
      <c r="DI21" s="5">
        <f t="shared" si="105"/>
        <v>0</v>
      </c>
      <c r="DJ21" s="5">
        <f t="shared" si="63"/>
        <v>0</v>
      </c>
      <c r="DK21" s="35">
        <f t="shared" si="64"/>
        <v>0</v>
      </c>
      <c r="DL21" s="35">
        <f t="shared" si="65"/>
        <v>0</v>
      </c>
      <c r="DN21" s="5">
        <f t="shared" si="106"/>
        <v>0</v>
      </c>
      <c r="DO21" s="5">
        <f t="shared" si="66"/>
        <v>0</v>
      </c>
      <c r="DP21" s="35">
        <f t="shared" si="67"/>
        <v>0</v>
      </c>
      <c r="DQ21" s="35">
        <f t="shared" si="68"/>
        <v>0</v>
      </c>
      <c r="DS21" s="5">
        <f t="shared" si="107"/>
        <v>0</v>
      </c>
      <c r="DT21" s="5">
        <f t="shared" si="69"/>
        <v>0</v>
      </c>
      <c r="DU21" s="35">
        <f t="shared" si="70"/>
        <v>0</v>
      </c>
      <c r="DV21" s="35">
        <f t="shared" si="71"/>
        <v>0</v>
      </c>
      <c r="DX21" s="5">
        <f t="shared" si="108"/>
        <v>0</v>
      </c>
      <c r="DY21" s="5">
        <f t="shared" si="72"/>
        <v>0</v>
      </c>
      <c r="DZ21" s="5">
        <f t="shared" si="73"/>
        <v>0</v>
      </c>
      <c r="EA21" s="35">
        <f t="shared" si="74"/>
        <v>0</v>
      </c>
      <c r="EC21" s="5">
        <f t="shared" si="109"/>
        <v>0</v>
      </c>
      <c r="ED21" s="5">
        <f t="shared" si="75"/>
        <v>0</v>
      </c>
      <c r="EE21" s="5">
        <f t="shared" si="76"/>
        <v>0</v>
      </c>
      <c r="EF21" s="35">
        <f t="shared" si="77"/>
        <v>0</v>
      </c>
      <c r="EH21" s="5">
        <f t="shared" si="110"/>
        <v>0</v>
      </c>
      <c r="EI21" s="5">
        <f t="shared" si="78"/>
        <v>0</v>
      </c>
      <c r="EJ21" s="5">
        <f t="shared" si="79"/>
        <v>0</v>
      </c>
      <c r="EK21" s="35">
        <f t="shared" si="80"/>
        <v>0</v>
      </c>
      <c r="EM21" s="5">
        <f t="shared" si="111"/>
        <v>0</v>
      </c>
      <c r="EN21" s="5">
        <f t="shared" si="81"/>
        <v>0</v>
      </c>
      <c r="EO21" s="5">
        <f t="shared" si="82"/>
        <v>0</v>
      </c>
      <c r="EP21" s="35">
        <f t="shared" si="83"/>
        <v>0</v>
      </c>
    </row>
    <row r="22" spans="1:146" ht="12.75">
      <c r="A22" s="36">
        <v>46296</v>
      </c>
      <c r="C22" s="77">
        <f>'2010(D&amp;E)'!C22</f>
        <v>0</v>
      </c>
      <c r="D22" s="77">
        <f>'2010(D&amp;E)'!D22</f>
        <v>0</v>
      </c>
      <c r="E22" s="34">
        <f t="shared" si="84"/>
        <v>0</v>
      </c>
      <c r="F22" s="77">
        <f>'2010(D&amp;E)'!F22</f>
        <v>0</v>
      </c>
      <c r="H22" s="46"/>
      <c r="I22" s="35">
        <f t="shared" si="0"/>
        <v>0</v>
      </c>
      <c r="J22" s="35">
        <f t="shared" si="1"/>
        <v>0</v>
      </c>
      <c r="K22" s="35">
        <f t="shared" si="2"/>
        <v>0</v>
      </c>
      <c r="L22"/>
      <c r="N22" s="5">
        <f t="shared" si="3"/>
        <v>0</v>
      </c>
      <c r="O22" s="5">
        <f t="shared" si="4"/>
        <v>0</v>
      </c>
      <c r="P22" s="35">
        <f t="shared" si="5"/>
        <v>0</v>
      </c>
      <c r="Q22"/>
      <c r="S22" s="5">
        <f t="shared" si="6"/>
        <v>0</v>
      </c>
      <c r="T22" s="35">
        <f t="shared" si="7"/>
        <v>0</v>
      </c>
      <c r="U22" s="35">
        <f t="shared" si="8"/>
        <v>0</v>
      </c>
      <c r="V22" s="35"/>
      <c r="X22" s="5">
        <f t="shared" si="9"/>
        <v>0</v>
      </c>
      <c r="Y22" s="5">
        <f t="shared" si="10"/>
        <v>0</v>
      </c>
      <c r="Z22" s="35">
        <f t="shared" si="11"/>
        <v>0</v>
      </c>
      <c r="AA22"/>
      <c r="AC22" s="5">
        <f t="shared" si="12"/>
        <v>0</v>
      </c>
      <c r="AD22" s="5">
        <f t="shared" si="13"/>
        <v>0</v>
      </c>
      <c r="AE22" s="35">
        <f t="shared" si="14"/>
        <v>0</v>
      </c>
      <c r="AF22"/>
      <c r="AH22" s="5">
        <f t="shared" si="15"/>
        <v>0</v>
      </c>
      <c r="AI22" s="5">
        <f t="shared" si="16"/>
        <v>0</v>
      </c>
      <c r="AJ22" s="35">
        <f t="shared" si="17"/>
        <v>0</v>
      </c>
      <c r="AK22"/>
      <c r="AM22" s="5">
        <f t="shared" si="18"/>
        <v>0</v>
      </c>
      <c r="AN22" s="5">
        <f t="shared" si="19"/>
        <v>0</v>
      </c>
      <c r="AO22" s="35">
        <f t="shared" si="20"/>
        <v>0</v>
      </c>
      <c r="AP22"/>
      <c r="AR22" s="5">
        <f t="shared" si="21"/>
        <v>0</v>
      </c>
      <c r="AS22" s="5">
        <f t="shared" si="22"/>
        <v>0</v>
      </c>
      <c r="AT22" s="35">
        <f t="shared" si="23"/>
        <v>0</v>
      </c>
      <c r="AU22"/>
      <c r="AW22" s="5">
        <f t="shared" si="24"/>
        <v>0</v>
      </c>
      <c r="AX22" s="5">
        <f t="shared" si="25"/>
        <v>0</v>
      </c>
      <c r="AY22" s="35">
        <f t="shared" si="26"/>
        <v>0</v>
      </c>
      <c r="AZ22"/>
      <c r="BB22" s="5">
        <f t="shared" si="27"/>
        <v>0</v>
      </c>
      <c r="BC22" s="35">
        <f t="shared" si="28"/>
        <v>0</v>
      </c>
      <c r="BD22" s="35">
        <f t="shared" si="29"/>
        <v>0</v>
      </c>
      <c r="BE22"/>
      <c r="BG22" s="5">
        <f t="shared" si="30"/>
        <v>0</v>
      </c>
      <c r="BH22" s="5">
        <f t="shared" si="31"/>
        <v>0</v>
      </c>
      <c r="BI22" s="35">
        <f t="shared" si="32"/>
        <v>0</v>
      </c>
      <c r="BJ22"/>
      <c r="BL22" s="5">
        <f t="shared" si="33"/>
        <v>0</v>
      </c>
      <c r="BM22" s="5">
        <f t="shared" si="34"/>
        <v>0</v>
      </c>
      <c r="BN22" s="35">
        <f t="shared" si="35"/>
        <v>0</v>
      </c>
      <c r="BO22"/>
      <c r="BQ22" s="5">
        <f t="shared" si="36"/>
        <v>0</v>
      </c>
      <c r="BR22" s="5">
        <f t="shared" si="37"/>
        <v>0</v>
      </c>
      <c r="BS22" s="35">
        <f t="shared" si="38"/>
        <v>0</v>
      </c>
      <c r="BT22"/>
      <c r="BV22" s="5">
        <f t="shared" si="39"/>
        <v>0</v>
      </c>
      <c r="BW22" s="5">
        <f t="shared" si="40"/>
        <v>0</v>
      </c>
      <c r="BX22" s="35">
        <f t="shared" si="41"/>
        <v>0</v>
      </c>
      <c r="BY22"/>
      <c r="CA22" s="5">
        <f t="shared" si="42"/>
        <v>0</v>
      </c>
      <c r="CB22" s="5">
        <f t="shared" si="43"/>
        <v>0</v>
      </c>
      <c r="CC22" s="35">
        <f t="shared" si="44"/>
        <v>0</v>
      </c>
      <c r="CD22"/>
      <c r="CF22" s="5">
        <f t="shared" si="45"/>
        <v>0</v>
      </c>
      <c r="CG22" s="5">
        <f t="shared" si="46"/>
        <v>0</v>
      </c>
      <c r="CH22" s="35">
        <f t="shared" si="47"/>
        <v>0</v>
      </c>
      <c r="CI22"/>
      <c r="CK22" s="5">
        <f t="shared" si="48"/>
        <v>0</v>
      </c>
      <c r="CL22" s="5">
        <f t="shared" si="49"/>
        <v>0</v>
      </c>
      <c r="CM22" s="35">
        <f t="shared" si="50"/>
        <v>0</v>
      </c>
      <c r="CN22"/>
      <c r="CP22" s="5">
        <f t="shared" si="51"/>
        <v>0</v>
      </c>
      <c r="CQ22" s="35">
        <f t="shared" si="52"/>
        <v>0</v>
      </c>
      <c r="CR22" s="35">
        <f t="shared" si="53"/>
        <v>0</v>
      </c>
      <c r="CU22" s="5">
        <f t="shared" si="54"/>
        <v>0</v>
      </c>
      <c r="CV22" s="5">
        <f t="shared" si="55"/>
        <v>0</v>
      </c>
      <c r="CW22" s="35">
        <f t="shared" si="56"/>
        <v>0</v>
      </c>
      <c r="CZ22" s="5">
        <f t="shared" si="57"/>
        <v>0</v>
      </c>
      <c r="DA22" s="5">
        <f t="shared" si="58"/>
        <v>0</v>
      </c>
      <c r="DB22" s="35">
        <f t="shared" si="59"/>
        <v>0</v>
      </c>
      <c r="DE22" s="5">
        <f t="shared" si="60"/>
        <v>0</v>
      </c>
      <c r="DF22" s="5">
        <f t="shared" si="61"/>
        <v>0</v>
      </c>
      <c r="DG22" s="35">
        <f t="shared" si="62"/>
        <v>0</v>
      </c>
      <c r="DJ22" s="5">
        <f t="shared" si="63"/>
        <v>0</v>
      </c>
      <c r="DK22" s="35">
        <f t="shared" si="64"/>
        <v>0</v>
      </c>
      <c r="DL22" s="35">
        <f t="shared" si="65"/>
        <v>0</v>
      </c>
      <c r="DO22" s="5">
        <f t="shared" si="66"/>
        <v>0</v>
      </c>
      <c r="DP22" s="35">
        <f t="shared" si="67"/>
        <v>0</v>
      </c>
      <c r="DQ22" s="35">
        <f t="shared" si="68"/>
        <v>0</v>
      </c>
      <c r="DT22" s="5">
        <f t="shared" si="69"/>
        <v>0</v>
      </c>
      <c r="DU22" s="35">
        <f t="shared" si="70"/>
        <v>0</v>
      </c>
      <c r="DV22" s="35">
        <f t="shared" si="71"/>
        <v>0</v>
      </c>
      <c r="DY22" s="5">
        <f t="shared" si="72"/>
        <v>0</v>
      </c>
      <c r="DZ22" s="5">
        <f t="shared" si="73"/>
        <v>0</v>
      </c>
      <c r="EA22" s="35">
        <f t="shared" si="74"/>
        <v>0</v>
      </c>
      <c r="ED22" s="5">
        <f t="shared" si="75"/>
        <v>0</v>
      </c>
      <c r="EE22" s="5">
        <f t="shared" si="76"/>
        <v>0</v>
      </c>
      <c r="EF22" s="35">
        <f t="shared" si="77"/>
        <v>0</v>
      </c>
      <c r="EI22" s="5">
        <f t="shared" si="78"/>
        <v>0</v>
      </c>
      <c r="EJ22" s="5">
        <f t="shared" si="79"/>
        <v>0</v>
      </c>
      <c r="EK22" s="35">
        <f t="shared" si="80"/>
        <v>0</v>
      </c>
      <c r="EN22" s="5">
        <f t="shared" si="81"/>
        <v>0</v>
      </c>
      <c r="EO22" s="5">
        <f t="shared" si="82"/>
        <v>0</v>
      </c>
      <c r="EP22" s="35">
        <f t="shared" si="83"/>
        <v>0</v>
      </c>
    </row>
    <row r="23" spans="1:146" ht="12.75">
      <c r="A23" s="36">
        <v>46478</v>
      </c>
      <c r="C23" s="77">
        <f>'2010(D&amp;E)'!C23</f>
        <v>0</v>
      </c>
      <c r="D23" s="77">
        <f>'2010(D&amp;E)'!D23</f>
        <v>0</v>
      </c>
      <c r="E23" s="34">
        <f t="shared" si="84"/>
        <v>0</v>
      </c>
      <c r="F23" s="77">
        <f>'2010(D&amp;E)'!F23</f>
        <v>0</v>
      </c>
      <c r="H23" s="46">
        <f>M23+R23+AB23+AG23+AL23+W23+AQ23+AV23+BA23+BF23+BK23+BP23+BU23+BZ23+CE23+CJ23+CO23+CT23+CY23+DD23+DI23+DN23+DS23+DX23+EC23+EH23+EM23</f>
        <v>0</v>
      </c>
      <c r="I23" s="35">
        <f t="shared" si="0"/>
        <v>0</v>
      </c>
      <c r="J23" s="35">
        <f t="shared" si="1"/>
        <v>0</v>
      </c>
      <c r="K23" s="35">
        <f t="shared" si="2"/>
        <v>0</v>
      </c>
      <c r="L23"/>
      <c r="M23" s="5">
        <f t="shared" si="85"/>
        <v>0</v>
      </c>
      <c r="N23" s="5">
        <f t="shared" si="3"/>
        <v>0</v>
      </c>
      <c r="O23" s="5">
        <f t="shared" si="4"/>
        <v>0</v>
      </c>
      <c r="P23" s="35">
        <f t="shared" si="5"/>
        <v>0</v>
      </c>
      <c r="Q23"/>
      <c r="R23" s="5">
        <f t="shared" si="86"/>
        <v>0</v>
      </c>
      <c r="S23" s="5">
        <f t="shared" si="6"/>
        <v>0</v>
      </c>
      <c r="T23" s="35">
        <f t="shared" si="7"/>
        <v>0</v>
      </c>
      <c r="U23" s="35">
        <f t="shared" si="8"/>
        <v>0</v>
      </c>
      <c r="V23" s="35"/>
      <c r="W23" s="5">
        <f t="shared" si="87"/>
        <v>0</v>
      </c>
      <c r="X23" s="5">
        <f t="shared" si="9"/>
        <v>0</v>
      </c>
      <c r="Y23" s="5">
        <f t="shared" si="10"/>
        <v>0</v>
      </c>
      <c r="Z23" s="35">
        <f t="shared" si="11"/>
        <v>0</v>
      </c>
      <c r="AA23"/>
      <c r="AB23" s="5">
        <f t="shared" si="88"/>
        <v>0</v>
      </c>
      <c r="AC23" s="5">
        <f t="shared" si="12"/>
        <v>0</v>
      </c>
      <c r="AD23" s="5">
        <f t="shared" si="13"/>
        <v>0</v>
      </c>
      <c r="AE23" s="35">
        <f t="shared" si="14"/>
        <v>0</v>
      </c>
      <c r="AF23"/>
      <c r="AG23" s="5">
        <f t="shared" si="89"/>
        <v>0</v>
      </c>
      <c r="AH23" s="5">
        <f t="shared" si="15"/>
        <v>0</v>
      </c>
      <c r="AI23" s="5">
        <f t="shared" si="16"/>
        <v>0</v>
      </c>
      <c r="AJ23" s="35">
        <f t="shared" si="17"/>
        <v>0</v>
      </c>
      <c r="AK23"/>
      <c r="AL23" s="5">
        <f t="shared" si="90"/>
        <v>0</v>
      </c>
      <c r="AM23" s="5">
        <f t="shared" si="18"/>
        <v>0</v>
      </c>
      <c r="AN23" s="5">
        <f t="shared" si="19"/>
        <v>0</v>
      </c>
      <c r="AO23" s="35">
        <f t="shared" si="20"/>
        <v>0</v>
      </c>
      <c r="AP23"/>
      <c r="AQ23" s="5">
        <f t="shared" si="91"/>
        <v>0</v>
      </c>
      <c r="AR23" s="5">
        <f t="shared" si="21"/>
        <v>0</v>
      </c>
      <c r="AS23" s="5">
        <f t="shared" si="22"/>
        <v>0</v>
      </c>
      <c r="AT23" s="35">
        <f t="shared" si="23"/>
        <v>0</v>
      </c>
      <c r="AU23"/>
      <c r="AV23" s="5">
        <f t="shared" si="92"/>
        <v>0</v>
      </c>
      <c r="AW23" s="5">
        <f t="shared" si="24"/>
        <v>0</v>
      </c>
      <c r="AX23" s="5">
        <f t="shared" si="25"/>
        <v>0</v>
      </c>
      <c r="AY23" s="35">
        <f t="shared" si="26"/>
        <v>0</v>
      </c>
      <c r="AZ23"/>
      <c r="BA23" s="5">
        <f t="shared" si="93"/>
        <v>0</v>
      </c>
      <c r="BB23" s="5">
        <f t="shared" si="27"/>
        <v>0</v>
      </c>
      <c r="BC23" s="35">
        <f t="shared" si="28"/>
        <v>0</v>
      </c>
      <c r="BD23" s="35">
        <f t="shared" si="29"/>
        <v>0</v>
      </c>
      <c r="BE23"/>
      <c r="BF23" s="5">
        <f t="shared" si="94"/>
        <v>0</v>
      </c>
      <c r="BG23" s="5">
        <f t="shared" si="30"/>
        <v>0</v>
      </c>
      <c r="BH23" s="5">
        <f t="shared" si="31"/>
        <v>0</v>
      </c>
      <c r="BI23" s="35">
        <f t="shared" si="32"/>
        <v>0</v>
      </c>
      <c r="BJ23"/>
      <c r="BK23" s="5">
        <f t="shared" si="95"/>
        <v>0</v>
      </c>
      <c r="BL23" s="5">
        <f t="shared" si="33"/>
        <v>0</v>
      </c>
      <c r="BM23" s="5">
        <f t="shared" si="34"/>
        <v>0</v>
      </c>
      <c r="BN23" s="35">
        <f t="shared" si="35"/>
        <v>0</v>
      </c>
      <c r="BO23"/>
      <c r="BP23" s="5">
        <f t="shared" si="96"/>
        <v>0</v>
      </c>
      <c r="BQ23" s="5">
        <f t="shared" si="36"/>
        <v>0</v>
      </c>
      <c r="BR23" s="5">
        <f t="shared" si="37"/>
        <v>0</v>
      </c>
      <c r="BS23" s="35">
        <f t="shared" si="38"/>
        <v>0</v>
      </c>
      <c r="BT23"/>
      <c r="BU23" s="5">
        <f t="shared" si="97"/>
        <v>0</v>
      </c>
      <c r="BV23" s="5">
        <f t="shared" si="39"/>
        <v>0</v>
      </c>
      <c r="BW23" s="5">
        <f t="shared" si="40"/>
        <v>0</v>
      </c>
      <c r="BX23" s="35">
        <f t="shared" si="41"/>
        <v>0</v>
      </c>
      <c r="BY23"/>
      <c r="BZ23" s="5">
        <f t="shared" si="98"/>
        <v>0</v>
      </c>
      <c r="CA23" s="5">
        <f t="shared" si="42"/>
        <v>0</v>
      </c>
      <c r="CB23" s="5">
        <f t="shared" si="43"/>
        <v>0</v>
      </c>
      <c r="CC23" s="35">
        <f t="shared" si="44"/>
        <v>0</v>
      </c>
      <c r="CD23"/>
      <c r="CE23" s="5">
        <f t="shared" si="99"/>
        <v>0</v>
      </c>
      <c r="CF23" s="5">
        <f t="shared" si="45"/>
        <v>0</v>
      </c>
      <c r="CG23" s="5">
        <f t="shared" si="46"/>
        <v>0</v>
      </c>
      <c r="CH23" s="35">
        <f t="shared" si="47"/>
        <v>0</v>
      </c>
      <c r="CI23"/>
      <c r="CJ23" s="5">
        <f t="shared" si="100"/>
        <v>0</v>
      </c>
      <c r="CK23" s="5">
        <f t="shared" si="48"/>
        <v>0</v>
      </c>
      <c r="CL23" s="5">
        <f t="shared" si="49"/>
        <v>0</v>
      </c>
      <c r="CM23" s="35">
        <f t="shared" si="50"/>
        <v>0</v>
      </c>
      <c r="CN23"/>
      <c r="CO23" s="5">
        <f t="shared" si="101"/>
        <v>0</v>
      </c>
      <c r="CP23" s="5">
        <f t="shared" si="51"/>
        <v>0</v>
      </c>
      <c r="CQ23" s="35">
        <f t="shared" si="52"/>
        <v>0</v>
      </c>
      <c r="CR23" s="35">
        <f t="shared" si="53"/>
        <v>0</v>
      </c>
      <c r="CT23" s="5">
        <f t="shared" si="102"/>
        <v>0</v>
      </c>
      <c r="CU23" s="5">
        <f t="shared" si="54"/>
        <v>0</v>
      </c>
      <c r="CV23" s="5">
        <f t="shared" si="55"/>
        <v>0</v>
      </c>
      <c r="CW23" s="35">
        <f t="shared" si="56"/>
        <v>0</v>
      </c>
      <c r="CY23" s="5">
        <f t="shared" si="103"/>
        <v>0</v>
      </c>
      <c r="CZ23" s="5">
        <f t="shared" si="57"/>
        <v>0</v>
      </c>
      <c r="DA23" s="5">
        <f t="shared" si="58"/>
        <v>0</v>
      </c>
      <c r="DB23" s="35">
        <f t="shared" si="59"/>
        <v>0</v>
      </c>
      <c r="DD23" s="5">
        <f t="shared" si="104"/>
        <v>0</v>
      </c>
      <c r="DE23" s="5">
        <f t="shared" si="60"/>
        <v>0</v>
      </c>
      <c r="DF23" s="5">
        <f t="shared" si="61"/>
        <v>0</v>
      </c>
      <c r="DG23" s="35">
        <f t="shared" si="62"/>
        <v>0</v>
      </c>
      <c r="DI23" s="5">
        <f t="shared" si="105"/>
        <v>0</v>
      </c>
      <c r="DJ23" s="5">
        <f t="shared" si="63"/>
        <v>0</v>
      </c>
      <c r="DK23" s="35">
        <f t="shared" si="64"/>
        <v>0</v>
      </c>
      <c r="DL23" s="35">
        <f t="shared" si="65"/>
        <v>0</v>
      </c>
      <c r="DN23" s="5">
        <f t="shared" si="106"/>
        <v>0</v>
      </c>
      <c r="DO23" s="5">
        <f t="shared" si="66"/>
        <v>0</v>
      </c>
      <c r="DP23" s="35">
        <f t="shared" si="67"/>
        <v>0</v>
      </c>
      <c r="DQ23" s="35">
        <f t="shared" si="68"/>
        <v>0</v>
      </c>
      <c r="DS23" s="5">
        <f t="shared" si="107"/>
        <v>0</v>
      </c>
      <c r="DT23" s="5">
        <f t="shared" si="69"/>
        <v>0</v>
      </c>
      <c r="DU23" s="35">
        <f t="shared" si="70"/>
        <v>0</v>
      </c>
      <c r="DV23" s="35">
        <f t="shared" si="71"/>
        <v>0</v>
      </c>
      <c r="DX23" s="5">
        <f t="shared" si="108"/>
        <v>0</v>
      </c>
      <c r="DY23" s="5">
        <f t="shared" si="72"/>
        <v>0</v>
      </c>
      <c r="DZ23" s="5">
        <f t="shared" si="73"/>
        <v>0</v>
      </c>
      <c r="EA23" s="35">
        <f t="shared" si="74"/>
        <v>0</v>
      </c>
      <c r="EC23" s="5">
        <f t="shared" si="109"/>
        <v>0</v>
      </c>
      <c r="ED23" s="5">
        <f t="shared" si="75"/>
        <v>0</v>
      </c>
      <c r="EE23" s="5">
        <f t="shared" si="76"/>
        <v>0</v>
      </c>
      <c r="EF23" s="35">
        <f t="shared" si="77"/>
        <v>0</v>
      </c>
      <c r="EH23" s="5">
        <f t="shared" si="110"/>
        <v>0</v>
      </c>
      <c r="EI23" s="5">
        <f t="shared" si="78"/>
        <v>0</v>
      </c>
      <c r="EJ23" s="5">
        <f t="shared" si="79"/>
        <v>0</v>
      </c>
      <c r="EK23" s="35">
        <f t="shared" si="80"/>
        <v>0</v>
      </c>
      <c r="EM23" s="5">
        <f t="shared" si="111"/>
        <v>0</v>
      </c>
      <c r="EN23" s="5">
        <f t="shared" si="81"/>
        <v>0</v>
      </c>
      <c r="EO23" s="5">
        <f t="shared" si="82"/>
        <v>0</v>
      </c>
      <c r="EP23" s="35">
        <f t="shared" si="83"/>
        <v>0</v>
      </c>
    </row>
    <row r="24" spans="1:146" ht="12.75">
      <c r="A24" s="36">
        <v>46661</v>
      </c>
      <c r="C24" s="77">
        <f>'2010(D&amp;E)'!C24</f>
        <v>0</v>
      </c>
      <c r="D24" s="77">
        <f>'2010(D&amp;E)'!D24</f>
        <v>0</v>
      </c>
      <c r="E24" s="34">
        <f t="shared" si="84"/>
        <v>0</v>
      </c>
      <c r="F24" s="77">
        <f>'2010(D&amp;E)'!F24</f>
        <v>0</v>
      </c>
      <c r="H24" s="46"/>
      <c r="I24" s="35">
        <f t="shared" si="0"/>
        <v>0</v>
      </c>
      <c r="J24" s="35">
        <f t="shared" si="1"/>
        <v>0</v>
      </c>
      <c r="K24" s="35">
        <f t="shared" si="2"/>
        <v>0</v>
      </c>
      <c r="L24"/>
      <c r="N24" s="5">
        <f t="shared" si="3"/>
        <v>0</v>
      </c>
      <c r="O24" s="5">
        <f t="shared" si="4"/>
        <v>0</v>
      </c>
      <c r="P24" s="35">
        <f t="shared" si="5"/>
        <v>0</v>
      </c>
      <c r="Q24"/>
      <c r="S24" s="5">
        <f t="shared" si="6"/>
        <v>0</v>
      </c>
      <c r="T24" s="35">
        <f t="shared" si="7"/>
        <v>0</v>
      </c>
      <c r="U24" s="35">
        <f t="shared" si="8"/>
        <v>0</v>
      </c>
      <c r="V24" s="35"/>
      <c r="X24" s="5">
        <f t="shared" si="9"/>
        <v>0</v>
      </c>
      <c r="Y24" s="5">
        <f t="shared" si="10"/>
        <v>0</v>
      </c>
      <c r="Z24" s="35">
        <f t="shared" si="11"/>
        <v>0</v>
      </c>
      <c r="AA24"/>
      <c r="AC24" s="5">
        <f t="shared" si="12"/>
        <v>0</v>
      </c>
      <c r="AD24" s="5">
        <f t="shared" si="13"/>
        <v>0</v>
      </c>
      <c r="AE24" s="35">
        <f t="shared" si="14"/>
        <v>0</v>
      </c>
      <c r="AF24"/>
      <c r="AH24" s="5">
        <f t="shared" si="15"/>
        <v>0</v>
      </c>
      <c r="AI24" s="5">
        <f t="shared" si="16"/>
        <v>0</v>
      </c>
      <c r="AJ24" s="35">
        <f t="shared" si="17"/>
        <v>0</v>
      </c>
      <c r="AK24"/>
      <c r="AM24" s="5">
        <f t="shared" si="18"/>
        <v>0</v>
      </c>
      <c r="AN24" s="5">
        <f t="shared" si="19"/>
        <v>0</v>
      </c>
      <c r="AO24" s="35">
        <f t="shared" si="20"/>
        <v>0</v>
      </c>
      <c r="AP24"/>
      <c r="AR24" s="5">
        <f t="shared" si="21"/>
        <v>0</v>
      </c>
      <c r="AS24" s="5">
        <f t="shared" si="22"/>
        <v>0</v>
      </c>
      <c r="AT24" s="35">
        <f t="shared" si="23"/>
        <v>0</v>
      </c>
      <c r="AU24"/>
      <c r="AW24" s="5">
        <f t="shared" si="24"/>
        <v>0</v>
      </c>
      <c r="AX24" s="5">
        <f t="shared" si="25"/>
        <v>0</v>
      </c>
      <c r="AY24" s="35">
        <f t="shared" si="26"/>
        <v>0</v>
      </c>
      <c r="AZ24"/>
      <c r="BB24" s="5">
        <f t="shared" si="27"/>
        <v>0</v>
      </c>
      <c r="BC24" s="35">
        <f t="shared" si="28"/>
        <v>0</v>
      </c>
      <c r="BD24" s="35">
        <f t="shared" si="29"/>
        <v>0</v>
      </c>
      <c r="BE24"/>
      <c r="BG24" s="5">
        <f t="shared" si="30"/>
        <v>0</v>
      </c>
      <c r="BH24" s="5">
        <f t="shared" si="31"/>
        <v>0</v>
      </c>
      <c r="BI24" s="35">
        <f t="shared" si="32"/>
        <v>0</v>
      </c>
      <c r="BJ24"/>
      <c r="BL24" s="5">
        <f t="shared" si="33"/>
        <v>0</v>
      </c>
      <c r="BM24" s="5">
        <f t="shared" si="34"/>
        <v>0</v>
      </c>
      <c r="BN24" s="35">
        <f t="shared" si="35"/>
        <v>0</v>
      </c>
      <c r="BO24"/>
      <c r="BQ24" s="5">
        <f t="shared" si="36"/>
        <v>0</v>
      </c>
      <c r="BR24" s="5">
        <f t="shared" si="37"/>
        <v>0</v>
      </c>
      <c r="BS24" s="35">
        <f t="shared" si="38"/>
        <v>0</v>
      </c>
      <c r="BT24"/>
      <c r="BV24" s="5">
        <f t="shared" si="39"/>
        <v>0</v>
      </c>
      <c r="BW24" s="5">
        <f t="shared" si="40"/>
        <v>0</v>
      </c>
      <c r="BX24" s="35">
        <f t="shared" si="41"/>
        <v>0</v>
      </c>
      <c r="BY24"/>
      <c r="CA24" s="5">
        <f t="shared" si="42"/>
        <v>0</v>
      </c>
      <c r="CB24" s="5">
        <f t="shared" si="43"/>
        <v>0</v>
      </c>
      <c r="CC24" s="35">
        <f t="shared" si="44"/>
        <v>0</v>
      </c>
      <c r="CD24"/>
      <c r="CF24" s="5">
        <f t="shared" si="45"/>
        <v>0</v>
      </c>
      <c r="CG24" s="5">
        <f t="shared" si="46"/>
        <v>0</v>
      </c>
      <c r="CH24" s="35">
        <f t="shared" si="47"/>
        <v>0</v>
      </c>
      <c r="CI24"/>
      <c r="CK24" s="5">
        <f t="shared" si="48"/>
        <v>0</v>
      </c>
      <c r="CL24" s="5">
        <f t="shared" si="49"/>
        <v>0</v>
      </c>
      <c r="CM24" s="35">
        <f t="shared" si="50"/>
        <v>0</v>
      </c>
      <c r="CN24"/>
      <c r="CP24" s="5">
        <f t="shared" si="51"/>
        <v>0</v>
      </c>
      <c r="CQ24" s="35">
        <f t="shared" si="52"/>
        <v>0</v>
      </c>
      <c r="CR24" s="35">
        <f t="shared" si="53"/>
        <v>0</v>
      </c>
      <c r="CU24" s="5">
        <f t="shared" si="54"/>
        <v>0</v>
      </c>
      <c r="CV24" s="5">
        <f t="shared" si="55"/>
        <v>0</v>
      </c>
      <c r="CW24" s="35">
        <f t="shared" si="56"/>
        <v>0</v>
      </c>
      <c r="CZ24" s="5">
        <f t="shared" si="57"/>
        <v>0</v>
      </c>
      <c r="DA24" s="5">
        <f t="shared" si="58"/>
        <v>0</v>
      </c>
      <c r="DB24" s="35">
        <f t="shared" si="59"/>
        <v>0</v>
      </c>
      <c r="DE24" s="5">
        <f t="shared" si="60"/>
        <v>0</v>
      </c>
      <c r="DF24" s="5">
        <f t="shared" si="61"/>
        <v>0</v>
      </c>
      <c r="DG24" s="35">
        <f t="shared" si="62"/>
        <v>0</v>
      </c>
      <c r="DJ24" s="5">
        <f t="shared" si="63"/>
        <v>0</v>
      </c>
      <c r="DK24" s="35">
        <f t="shared" si="64"/>
        <v>0</v>
      </c>
      <c r="DL24" s="35">
        <f t="shared" si="65"/>
        <v>0</v>
      </c>
      <c r="DO24" s="5">
        <f t="shared" si="66"/>
        <v>0</v>
      </c>
      <c r="DP24" s="35">
        <f t="shared" si="67"/>
        <v>0</v>
      </c>
      <c r="DQ24" s="35">
        <f t="shared" si="68"/>
        <v>0</v>
      </c>
      <c r="DT24" s="5">
        <f t="shared" si="69"/>
        <v>0</v>
      </c>
      <c r="DU24" s="35">
        <f t="shared" si="70"/>
        <v>0</v>
      </c>
      <c r="DV24" s="35">
        <f t="shared" si="71"/>
        <v>0</v>
      </c>
      <c r="DY24" s="5">
        <f t="shared" si="72"/>
        <v>0</v>
      </c>
      <c r="DZ24" s="5">
        <f t="shared" si="73"/>
        <v>0</v>
      </c>
      <c r="EA24" s="35">
        <f t="shared" si="74"/>
        <v>0</v>
      </c>
      <c r="ED24" s="5">
        <f t="shared" si="75"/>
        <v>0</v>
      </c>
      <c r="EE24" s="5">
        <f t="shared" si="76"/>
        <v>0</v>
      </c>
      <c r="EF24" s="35">
        <f t="shared" si="77"/>
        <v>0</v>
      </c>
      <c r="EI24" s="5">
        <f t="shared" si="78"/>
        <v>0</v>
      </c>
      <c r="EJ24" s="5">
        <f t="shared" si="79"/>
        <v>0</v>
      </c>
      <c r="EK24" s="35">
        <f t="shared" si="80"/>
        <v>0</v>
      </c>
      <c r="EN24" s="5">
        <f t="shared" si="81"/>
        <v>0</v>
      </c>
      <c r="EO24" s="5">
        <f t="shared" si="82"/>
        <v>0</v>
      </c>
      <c r="EP24" s="35">
        <f t="shared" si="83"/>
        <v>0</v>
      </c>
    </row>
    <row r="25" spans="1:146" ht="12.75">
      <c r="A25" s="36">
        <v>46844</v>
      </c>
      <c r="C25" s="77">
        <f>'2010(D&amp;E)'!C25</f>
        <v>0</v>
      </c>
      <c r="D25" s="77">
        <f>'2010(D&amp;E)'!D25</f>
        <v>0</v>
      </c>
      <c r="E25" s="34">
        <f t="shared" si="84"/>
        <v>0</v>
      </c>
      <c r="F25" s="77">
        <f>'2010(D&amp;E)'!F25</f>
        <v>0</v>
      </c>
      <c r="H25" s="46">
        <f>M25+R25+AB25+AG25+AL25+W25+AQ25+AV25+BA25+BF25+BK25+BP25+BU25+BZ25+CE25+CJ25+CO25+CT25+CY25+DD25+DI25+DN25+DS25+DX25+EC25+EH25+EM25</f>
        <v>0</v>
      </c>
      <c r="I25" s="35">
        <f t="shared" si="0"/>
        <v>0</v>
      </c>
      <c r="J25" s="35">
        <f t="shared" si="1"/>
        <v>0</v>
      </c>
      <c r="K25" s="35">
        <f t="shared" si="2"/>
        <v>0</v>
      </c>
      <c r="L25"/>
      <c r="M25" s="5">
        <f t="shared" si="85"/>
        <v>0</v>
      </c>
      <c r="N25" s="5">
        <f t="shared" si="3"/>
        <v>0</v>
      </c>
      <c r="O25" s="5">
        <f t="shared" si="4"/>
        <v>0</v>
      </c>
      <c r="P25" s="35">
        <f t="shared" si="5"/>
        <v>0</v>
      </c>
      <c r="Q25"/>
      <c r="R25" s="5">
        <f t="shared" si="86"/>
        <v>0</v>
      </c>
      <c r="S25" s="5">
        <f t="shared" si="6"/>
        <v>0</v>
      </c>
      <c r="T25" s="35">
        <f t="shared" si="7"/>
        <v>0</v>
      </c>
      <c r="U25" s="35">
        <f t="shared" si="8"/>
        <v>0</v>
      </c>
      <c r="V25" s="35"/>
      <c r="W25" s="5">
        <f t="shared" si="87"/>
        <v>0</v>
      </c>
      <c r="X25" s="5">
        <f t="shared" si="9"/>
        <v>0</v>
      </c>
      <c r="Y25" s="5">
        <f t="shared" si="10"/>
        <v>0</v>
      </c>
      <c r="Z25" s="35">
        <f t="shared" si="11"/>
        <v>0</v>
      </c>
      <c r="AA25"/>
      <c r="AB25" s="5">
        <f t="shared" si="88"/>
        <v>0</v>
      </c>
      <c r="AC25" s="5">
        <f t="shared" si="12"/>
        <v>0</v>
      </c>
      <c r="AD25" s="5">
        <f t="shared" si="13"/>
        <v>0</v>
      </c>
      <c r="AE25" s="35">
        <f t="shared" si="14"/>
        <v>0</v>
      </c>
      <c r="AF25"/>
      <c r="AG25" s="5">
        <f t="shared" si="89"/>
        <v>0</v>
      </c>
      <c r="AH25" s="5">
        <f t="shared" si="15"/>
        <v>0</v>
      </c>
      <c r="AI25" s="5">
        <f t="shared" si="16"/>
        <v>0</v>
      </c>
      <c r="AJ25" s="35">
        <f t="shared" si="17"/>
        <v>0</v>
      </c>
      <c r="AK25"/>
      <c r="AL25" s="5">
        <f t="shared" si="90"/>
        <v>0</v>
      </c>
      <c r="AM25" s="5">
        <f t="shared" si="18"/>
        <v>0</v>
      </c>
      <c r="AN25" s="5">
        <f t="shared" si="19"/>
        <v>0</v>
      </c>
      <c r="AO25" s="35">
        <f t="shared" si="20"/>
        <v>0</v>
      </c>
      <c r="AP25"/>
      <c r="AQ25" s="5">
        <f t="shared" si="91"/>
        <v>0</v>
      </c>
      <c r="AR25" s="5">
        <f t="shared" si="21"/>
        <v>0</v>
      </c>
      <c r="AS25" s="5">
        <f t="shared" si="22"/>
        <v>0</v>
      </c>
      <c r="AT25" s="35">
        <f t="shared" si="23"/>
        <v>0</v>
      </c>
      <c r="AU25"/>
      <c r="AV25" s="5">
        <f t="shared" si="92"/>
        <v>0</v>
      </c>
      <c r="AW25" s="5">
        <f t="shared" si="24"/>
        <v>0</v>
      </c>
      <c r="AX25" s="5">
        <f t="shared" si="25"/>
        <v>0</v>
      </c>
      <c r="AY25" s="35">
        <f t="shared" si="26"/>
        <v>0</v>
      </c>
      <c r="AZ25"/>
      <c r="BA25" s="5">
        <f t="shared" si="93"/>
        <v>0</v>
      </c>
      <c r="BB25" s="5">
        <f t="shared" si="27"/>
        <v>0</v>
      </c>
      <c r="BC25" s="35">
        <f t="shared" si="28"/>
        <v>0</v>
      </c>
      <c r="BD25" s="35">
        <f t="shared" si="29"/>
        <v>0</v>
      </c>
      <c r="BE25"/>
      <c r="BF25" s="5">
        <f t="shared" si="94"/>
        <v>0</v>
      </c>
      <c r="BG25" s="5">
        <f t="shared" si="30"/>
        <v>0</v>
      </c>
      <c r="BH25" s="5">
        <f t="shared" si="31"/>
        <v>0</v>
      </c>
      <c r="BI25" s="35">
        <f t="shared" si="32"/>
        <v>0</v>
      </c>
      <c r="BJ25"/>
      <c r="BK25" s="5">
        <f t="shared" si="95"/>
        <v>0</v>
      </c>
      <c r="BL25" s="5">
        <f t="shared" si="33"/>
        <v>0</v>
      </c>
      <c r="BM25" s="5">
        <f t="shared" si="34"/>
        <v>0</v>
      </c>
      <c r="BN25" s="35">
        <f t="shared" si="35"/>
        <v>0</v>
      </c>
      <c r="BO25"/>
      <c r="BP25" s="5">
        <f t="shared" si="96"/>
        <v>0</v>
      </c>
      <c r="BQ25" s="5">
        <f t="shared" si="36"/>
        <v>0</v>
      </c>
      <c r="BR25" s="5">
        <f t="shared" si="37"/>
        <v>0</v>
      </c>
      <c r="BS25" s="35">
        <f t="shared" si="38"/>
        <v>0</v>
      </c>
      <c r="BT25"/>
      <c r="BU25" s="5">
        <f t="shared" si="97"/>
        <v>0</v>
      </c>
      <c r="BV25" s="5">
        <f t="shared" si="39"/>
        <v>0</v>
      </c>
      <c r="BW25" s="5">
        <f t="shared" si="40"/>
        <v>0</v>
      </c>
      <c r="BX25" s="35">
        <f t="shared" si="41"/>
        <v>0</v>
      </c>
      <c r="BY25"/>
      <c r="BZ25" s="5">
        <f t="shared" si="98"/>
        <v>0</v>
      </c>
      <c r="CA25" s="5">
        <f t="shared" si="42"/>
        <v>0</v>
      </c>
      <c r="CB25" s="5">
        <f t="shared" si="43"/>
        <v>0</v>
      </c>
      <c r="CC25" s="35">
        <f t="shared" si="44"/>
        <v>0</v>
      </c>
      <c r="CD25"/>
      <c r="CE25" s="5">
        <f t="shared" si="99"/>
        <v>0</v>
      </c>
      <c r="CF25" s="5">
        <f t="shared" si="45"/>
        <v>0</v>
      </c>
      <c r="CG25" s="5">
        <f t="shared" si="46"/>
        <v>0</v>
      </c>
      <c r="CH25" s="35">
        <f t="shared" si="47"/>
        <v>0</v>
      </c>
      <c r="CI25"/>
      <c r="CJ25" s="5">
        <f t="shared" si="100"/>
        <v>0</v>
      </c>
      <c r="CK25" s="5">
        <f t="shared" si="48"/>
        <v>0</v>
      </c>
      <c r="CL25" s="5">
        <f t="shared" si="49"/>
        <v>0</v>
      </c>
      <c r="CM25" s="35">
        <f t="shared" si="50"/>
        <v>0</v>
      </c>
      <c r="CN25"/>
      <c r="CO25" s="5">
        <f t="shared" si="101"/>
        <v>0</v>
      </c>
      <c r="CP25" s="5">
        <f t="shared" si="51"/>
        <v>0</v>
      </c>
      <c r="CQ25" s="35">
        <f t="shared" si="52"/>
        <v>0</v>
      </c>
      <c r="CR25" s="35">
        <f t="shared" si="53"/>
        <v>0</v>
      </c>
      <c r="CT25" s="5">
        <f t="shared" si="102"/>
        <v>0</v>
      </c>
      <c r="CU25" s="5">
        <f t="shared" si="54"/>
        <v>0</v>
      </c>
      <c r="CV25" s="5">
        <f t="shared" si="55"/>
        <v>0</v>
      </c>
      <c r="CW25" s="35">
        <f t="shared" si="56"/>
        <v>0</v>
      </c>
      <c r="CY25" s="5">
        <f t="shared" si="103"/>
        <v>0</v>
      </c>
      <c r="CZ25" s="5">
        <f t="shared" si="57"/>
        <v>0</v>
      </c>
      <c r="DA25" s="5">
        <f t="shared" si="58"/>
        <v>0</v>
      </c>
      <c r="DB25" s="35">
        <f t="shared" si="59"/>
        <v>0</v>
      </c>
      <c r="DD25" s="5">
        <f t="shared" si="104"/>
        <v>0</v>
      </c>
      <c r="DE25" s="5">
        <f t="shared" si="60"/>
        <v>0</v>
      </c>
      <c r="DF25" s="5">
        <f t="shared" si="61"/>
        <v>0</v>
      </c>
      <c r="DG25" s="35">
        <f t="shared" si="62"/>
        <v>0</v>
      </c>
      <c r="DI25" s="5">
        <f t="shared" si="105"/>
        <v>0</v>
      </c>
      <c r="DJ25" s="5">
        <f t="shared" si="63"/>
        <v>0</v>
      </c>
      <c r="DK25" s="35">
        <f t="shared" si="64"/>
        <v>0</v>
      </c>
      <c r="DL25" s="35">
        <f t="shared" si="65"/>
        <v>0</v>
      </c>
      <c r="DN25" s="5">
        <f t="shared" si="106"/>
        <v>0</v>
      </c>
      <c r="DO25" s="5">
        <f t="shared" si="66"/>
        <v>0</v>
      </c>
      <c r="DP25" s="35">
        <f t="shared" si="67"/>
        <v>0</v>
      </c>
      <c r="DQ25" s="35">
        <f t="shared" si="68"/>
        <v>0</v>
      </c>
      <c r="DS25" s="5">
        <f t="shared" si="107"/>
        <v>0</v>
      </c>
      <c r="DT25" s="5">
        <f t="shared" si="69"/>
        <v>0</v>
      </c>
      <c r="DU25" s="35">
        <f t="shared" si="70"/>
        <v>0</v>
      </c>
      <c r="DV25" s="35">
        <f t="shared" si="71"/>
        <v>0</v>
      </c>
      <c r="DX25" s="5">
        <f t="shared" si="108"/>
        <v>0</v>
      </c>
      <c r="DY25" s="5">
        <f t="shared" si="72"/>
        <v>0</v>
      </c>
      <c r="DZ25" s="5">
        <f t="shared" si="73"/>
        <v>0</v>
      </c>
      <c r="EA25" s="35">
        <f t="shared" si="74"/>
        <v>0</v>
      </c>
      <c r="EC25" s="5">
        <f t="shared" si="109"/>
        <v>0</v>
      </c>
      <c r="ED25" s="5">
        <f t="shared" si="75"/>
        <v>0</v>
      </c>
      <c r="EE25" s="5">
        <f t="shared" si="76"/>
        <v>0</v>
      </c>
      <c r="EF25" s="35">
        <f t="shared" si="77"/>
        <v>0</v>
      </c>
      <c r="EH25" s="5">
        <f t="shared" si="110"/>
        <v>0</v>
      </c>
      <c r="EI25" s="5">
        <f t="shared" si="78"/>
        <v>0</v>
      </c>
      <c r="EJ25" s="5">
        <f t="shared" si="79"/>
        <v>0</v>
      </c>
      <c r="EK25" s="35">
        <f t="shared" si="80"/>
        <v>0</v>
      </c>
      <c r="EM25" s="5">
        <f t="shared" si="111"/>
        <v>0</v>
      </c>
      <c r="EN25" s="5">
        <f t="shared" si="81"/>
        <v>0</v>
      </c>
      <c r="EO25" s="5">
        <f t="shared" si="82"/>
        <v>0</v>
      </c>
      <c r="EP25" s="35">
        <f t="shared" si="83"/>
        <v>0</v>
      </c>
    </row>
    <row r="26" spans="1:146" ht="12.75">
      <c r="A26" s="36">
        <v>47027</v>
      </c>
      <c r="C26" s="77">
        <f>'2010(D&amp;E)'!C26</f>
        <v>0</v>
      </c>
      <c r="D26" s="77">
        <f>'2010(D&amp;E)'!D26</f>
        <v>0</v>
      </c>
      <c r="E26" s="34">
        <f t="shared" si="84"/>
        <v>0</v>
      </c>
      <c r="F26" s="77">
        <f>'2010(D&amp;E)'!F26</f>
        <v>0</v>
      </c>
      <c r="H26" s="46"/>
      <c r="I26" s="35">
        <f t="shared" si="0"/>
        <v>0</v>
      </c>
      <c r="J26" s="35">
        <f t="shared" si="1"/>
        <v>0</v>
      </c>
      <c r="K26" s="35">
        <f t="shared" si="2"/>
        <v>0</v>
      </c>
      <c r="L26"/>
      <c r="N26" s="5">
        <f t="shared" si="3"/>
        <v>0</v>
      </c>
      <c r="O26" s="5">
        <f t="shared" si="4"/>
        <v>0</v>
      </c>
      <c r="P26" s="35">
        <f t="shared" si="5"/>
        <v>0</v>
      </c>
      <c r="Q26"/>
      <c r="S26" s="5">
        <f t="shared" si="6"/>
        <v>0</v>
      </c>
      <c r="T26" s="35">
        <f t="shared" si="7"/>
        <v>0</v>
      </c>
      <c r="U26" s="35">
        <f t="shared" si="8"/>
        <v>0</v>
      </c>
      <c r="V26" s="35"/>
      <c r="X26" s="5">
        <f t="shared" si="9"/>
        <v>0</v>
      </c>
      <c r="Y26" s="5">
        <f t="shared" si="10"/>
        <v>0</v>
      </c>
      <c r="Z26" s="35">
        <f t="shared" si="11"/>
        <v>0</v>
      </c>
      <c r="AA26"/>
      <c r="AC26" s="5">
        <f t="shared" si="12"/>
        <v>0</v>
      </c>
      <c r="AD26" s="5">
        <f t="shared" si="13"/>
        <v>0</v>
      </c>
      <c r="AE26" s="35">
        <f t="shared" si="14"/>
        <v>0</v>
      </c>
      <c r="AF26"/>
      <c r="AH26" s="5">
        <f t="shared" si="15"/>
        <v>0</v>
      </c>
      <c r="AI26" s="5">
        <f t="shared" si="16"/>
        <v>0</v>
      </c>
      <c r="AJ26" s="35">
        <f t="shared" si="17"/>
        <v>0</v>
      </c>
      <c r="AK26"/>
      <c r="AM26" s="5">
        <f t="shared" si="18"/>
        <v>0</v>
      </c>
      <c r="AN26" s="5">
        <f t="shared" si="19"/>
        <v>0</v>
      </c>
      <c r="AO26" s="35">
        <f t="shared" si="20"/>
        <v>0</v>
      </c>
      <c r="AP26"/>
      <c r="AR26" s="5">
        <f t="shared" si="21"/>
        <v>0</v>
      </c>
      <c r="AS26" s="5">
        <f t="shared" si="22"/>
        <v>0</v>
      </c>
      <c r="AT26" s="35">
        <f t="shared" si="23"/>
        <v>0</v>
      </c>
      <c r="AU26"/>
      <c r="AW26" s="5">
        <f t="shared" si="24"/>
        <v>0</v>
      </c>
      <c r="AX26" s="5">
        <f t="shared" si="25"/>
        <v>0</v>
      </c>
      <c r="AY26" s="35">
        <f t="shared" si="26"/>
        <v>0</v>
      </c>
      <c r="AZ26"/>
      <c r="BB26" s="5">
        <f t="shared" si="27"/>
        <v>0</v>
      </c>
      <c r="BC26" s="35">
        <f t="shared" si="28"/>
        <v>0</v>
      </c>
      <c r="BD26" s="35">
        <f t="shared" si="29"/>
        <v>0</v>
      </c>
      <c r="BE26"/>
      <c r="BG26" s="5">
        <f t="shared" si="30"/>
        <v>0</v>
      </c>
      <c r="BH26" s="5">
        <f t="shared" si="31"/>
        <v>0</v>
      </c>
      <c r="BI26" s="35">
        <f t="shared" si="32"/>
        <v>0</v>
      </c>
      <c r="BJ26"/>
      <c r="BL26" s="5">
        <f t="shared" si="33"/>
        <v>0</v>
      </c>
      <c r="BM26" s="5">
        <f t="shared" si="34"/>
        <v>0</v>
      </c>
      <c r="BN26" s="35">
        <f t="shared" si="35"/>
        <v>0</v>
      </c>
      <c r="BO26"/>
      <c r="BQ26" s="5">
        <f t="shared" si="36"/>
        <v>0</v>
      </c>
      <c r="BR26" s="5">
        <f t="shared" si="37"/>
        <v>0</v>
      </c>
      <c r="BS26" s="35">
        <f t="shared" si="38"/>
        <v>0</v>
      </c>
      <c r="BT26"/>
      <c r="BV26" s="5">
        <f t="shared" si="39"/>
        <v>0</v>
      </c>
      <c r="BW26" s="5">
        <f t="shared" si="40"/>
        <v>0</v>
      </c>
      <c r="BX26" s="35">
        <f t="shared" si="41"/>
        <v>0</v>
      </c>
      <c r="BY26"/>
      <c r="CA26" s="5">
        <f t="shared" si="42"/>
        <v>0</v>
      </c>
      <c r="CB26" s="5">
        <f t="shared" si="43"/>
        <v>0</v>
      </c>
      <c r="CC26" s="35">
        <f t="shared" si="44"/>
        <v>0</v>
      </c>
      <c r="CD26"/>
      <c r="CF26" s="5">
        <f t="shared" si="45"/>
        <v>0</v>
      </c>
      <c r="CG26" s="5">
        <f t="shared" si="46"/>
        <v>0</v>
      </c>
      <c r="CH26" s="35">
        <f t="shared" si="47"/>
        <v>0</v>
      </c>
      <c r="CI26"/>
      <c r="CK26" s="5">
        <f t="shared" si="48"/>
        <v>0</v>
      </c>
      <c r="CL26" s="5">
        <f t="shared" si="49"/>
        <v>0</v>
      </c>
      <c r="CM26" s="35">
        <f t="shared" si="50"/>
        <v>0</v>
      </c>
      <c r="CN26"/>
      <c r="CP26" s="5">
        <f t="shared" si="51"/>
        <v>0</v>
      </c>
      <c r="CQ26" s="35">
        <f t="shared" si="52"/>
        <v>0</v>
      </c>
      <c r="CR26" s="35">
        <f t="shared" si="53"/>
        <v>0</v>
      </c>
      <c r="CU26" s="5">
        <f t="shared" si="54"/>
        <v>0</v>
      </c>
      <c r="CV26" s="5">
        <f t="shared" si="55"/>
        <v>0</v>
      </c>
      <c r="CW26" s="35">
        <f t="shared" si="56"/>
        <v>0</v>
      </c>
      <c r="CZ26" s="5">
        <f t="shared" si="57"/>
        <v>0</v>
      </c>
      <c r="DA26" s="5">
        <f t="shared" si="58"/>
        <v>0</v>
      </c>
      <c r="DB26" s="35">
        <f t="shared" si="59"/>
        <v>0</v>
      </c>
      <c r="DE26" s="5">
        <f t="shared" si="60"/>
        <v>0</v>
      </c>
      <c r="DF26" s="5">
        <f t="shared" si="61"/>
        <v>0</v>
      </c>
      <c r="DG26" s="35">
        <f t="shared" si="62"/>
        <v>0</v>
      </c>
      <c r="DJ26" s="5">
        <f t="shared" si="63"/>
        <v>0</v>
      </c>
      <c r="DK26" s="35">
        <f t="shared" si="64"/>
        <v>0</v>
      </c>
      <c r="DL26" s="35">
        <f t="shared" si="65"/>
        <v>0</v>
      </c>
      <c r="DO26" s="5">
        <f t="shared" si="66"/>
        <v>0</v>
      </c>
      <c r="DP26" s="35">
        <f t="shared" si="67"/>
        <v>0</v>
      </c>
      <c r="DQ26" s="35">
        <f t="shared" si="68"/>
        <v>0</v>
      </c>
      <c r="DT26" s="5">
        <f t="shared" si="69"/>
        <v>0</v>
      </c>
      <c r="DU26" s="35">
        <f t="shared" si="70"/>
        <v>0</v>
      </c>
      <c r="DV26" s="35">
        <f t="shared" si="71"/>
        <v>0</v>
      </c>
      <c r="DY26" s="5">
        <f t="shared" si="72"/>
        <v>0</v>
      </c>
      <c r="DZ26" s="5">
        <f t="shared" si="73"/>
        <v>0</v>
      </c>
      <c r="EA26" s="35">
        <f t="shared" si="74"/>
        <v>0</v>
      </c>
      <c r="ED26" s="5">
        <f t="shared" si="75"/>
        <v>0</v>
      </c>
      <c r="EE26" s="5">
        <f t="shared" si="76"/>
        <v>0</v>
      </c>
      <c r="EF26" s="35">
        <f t="shared" si="77"/>
        <v>0</v>
      </c>
      <c r="EI26" s="5">
        <f t="shared" si="78"/>
        <v>0</v>
      </c>
      <c r="EJ26" s="5">
        <f t="shared" si="79"/>
        <v>0</v>
      </c>
      <c r="EK26" s="35">
        <f t="shared" si="80"/>
        <v>0</v>
      </c>
      <c r="EN26" s="5">
        <f t="shared" si="81"/>
        <v>0</v>
      </c>
      <c r="EO26" s="5">
        <f t="shared" si="82"/>
        <v>0</v>
      </c>
      <c r="EP26" s="35">
        <f t="shared" si="83"/>
        <v>0</v>
      </c>
    </row>
    <row r="27" spans="1:146" ht="12.75">
      <c r="A27" s="36">
        <v>47209</v>
      </c>
      <c r="C27" s="77">
        <f>'2010(D&amp;E)'!C27</f>
        <v>0</v>
      </c>
      <c r="D27" s="77">
        <f>'2010(D&amp;E)'!D27</f>
        <v>0</v>
      </c>
      <c r="E27" s="34">
        <f t="shared" si="84"/>
        <v>0</v>
      </c>
      <c r="F27" s="77">
        <f>'2010(D&amp;E)'!F27</f>
        <v>0</v>
      </c>
      <c r="H27" s="46">
        <f>M27+R27+AB27+AG27+AL27+W27+AQ27+AV27+BA27+BF27+BK27+BP27+BU27+BZ27+CE27+CJ27+CO27+CT27+CY27+DD27+DI27+DN27+DS27+DX27+EC27+EH27+EM27</f>
        <v>0</v>
      </c>
      <c r="I27" s="35">
        <f t="shared" si="0"/>
        <v>0</v>
      </c>
      <c r="J27" s="35">
        <f t="shared" si="1"/>
        <v>0</v>
      </c>
      <c r="K27" s="35">
        <f t="shared" si="2"/>
        <v>0</v>
      </c>
      <c r="L27"/>
      <c r="M27" s="5">
        <f t="shared" si="85"/>
        <v>0</v>
      </c>
      <c r="N27" s="5">
        <f t="shared" si="3"/>
        <v>0</v>
      </c>
      <c r="O27" s="5">
        <f t="shared" si="4"/>
        <v>0</v>
      </c>
      <c r="P27" s="35">
        <f t="shared" si="5"/>
        <v>0</v>
      </c>
      <c r="Q27"/>
      <c r="R27" s="5">
        <f t="shared" si="86"/>
        <v>0</v>
      </c>
      <c r="S27" s="5">
        <f t="shared" si="6"/>
        <v>0</v>
      </c>
      <c r="T27" s="35">
        <f t="shared" si="7"/>
        <v>0</v>
      </c>
      <c r="U27" s="35">
        <f t="shared" si="8"/>
        <v>0</v>
      </c>
      <c r="V27" s="35"/>
      <c r="W27" s="5">
        <f t="shared" si="87"/>
        <v>0</v>
      </c>
      <c r="X27" s="5">
        <f t="shared" si="9"/>
        <v>0</v>
      </c>
      <c r="Y27" s="5">
        <f t="shared" si="10"/>
        <v>0</v>
      </c>
      <c r="Z27" s="35">
        <f t="shared" si="11"/>
        <v>0</v>
      </c>
      <c r="AA27"/>
      <c r="AB27" s="5">
        <f t="shared" si="88"/>
        <v>0</v>
      </c>
      <c r="AC27" s="5">
        <f t="shared" si="12"/>
        <v>0</v>
      </c>
      <c r="AD27" s="5">
        <f t="shared" si="13"/>
        <v>0</v>
      </c>
      <c r="AE27" s="35">
        <f t="shared" si="14"/>
        <v>0</v>
      </c>
      <c r="AF27"/>
      <c r="AG27" s="5">
        <f t="shared" si="89"/>
        <v>0</v>
      </c>
      <c r="AH27" s="5">
        <f t="shared" si="15"/>
        <v>0</v>
      </c>
      <c r="AI27" s="5">
        <f t="shared" si="16"/>
        <v>0</v>
      </c>
      <c r="AJ27" s="35">
        <f t="shared" si="17"/>
        <v>0</v>
      </c>
      <c r="AK27"/>
      <c r="AL27" s="5">
        <f t="shared" si="90"/>
        <v>0</v>
      </c>
      <c r="AM27" s="5">
        <f t="shared" si="18"/>
        <v>0</v>
      </c>
      <c r="AN27" s="5">
        <f t="shared" si="19"/>
        <v>0</v>
      </c>
      <c r="AO27" s="35">
        <f t="shared" si="20"/>
        <v>0</v>
      </c>
      <c r="AP27"/>
      <c r="AQ27" s="5">
        <f t="shared" si="91"/>
        <v>0</v>
      </c>
      <c r="AR27" s="5">
        <f t="shared" si="21"/>
        <v>0</v>
      </c>
      <c r="AS27" s="5">
        <f t="shared" si="22"/>
        <v>0</v>
      </c>
      <c r="AT27" s="35">
        <f t="shared" si="23"/>
        <v>0</v>
      </c>
      <c r="AU27"/>
      <c r="AV27" s="5">
        <f t="shared" si="92"/>
        <v>0</v>
      </c>
      <c r="AW27" s="5">
        <f t="shared" si="24"/>
        <v>0</v>
      </c>
      <c r="AX27" s="5">
        <f t="shared" si="25"/>
        <v>0</v>
      </c>
      <c r="AY27" s="35">
        <f t="shared" si="26"/>
        <v>0</v>
      </c>
      <c r="AZ27"/>
      <c r="BA27" s="5">
        <f t="shared" si="93"/>
        <v>0</v>
      </c>
      <c r="BB27" s="5">
        <f t="shared" si="27"/>
        <v>0</v>
      </c>
      <c r="BC27" s="35">
        <f t="shared" si="28"/>
        <v>0</v>
      </c>
      <c r="BD27" s="35">
        <f t="shared" si="29"/>
        <v>0</v>
      </c>
      <c r="BE27"/>
      <c r="BF27" s="5">
        <f t="shared" si="94"/>
        <v>0</v>
      </c>
      <c r="BG27" s="5">
        <f t="shared" si="30"/>
        <v>0</v>
      </c>
      <c r="BH27" s="5">
        <f t="shared" si="31"/>
        <v>0</v>
      </c>
      <c r="BI27" s="35">
        <f t="shared" si="32"/>
        <v>0</v>
      </c>
      <c r="BJ27"/>
      <c r="BK27" s="5">
        <f t="shared" si="95"/>
        <v>0</v>
      </c>
      <c r="BL27" s="5">
        <f t="shared" si="33"/>
        <v>0</v>
      </c>
      <c r="BM27" s="5">
        <f t="shared" si="34"/>
        <v>0</v>
      </c>
      <c r="BN27" s="35">
        <f t="shared" si="35"/>
        <v>0</v>
      </c>
      <c r="BO27"/>
      <c r="BP27" s="5">
        <f t="shared" si="96"/>
        <v>0</v>
      </c>
      <c r="BQ27" s="5">
        <f t="shared" si="36"/>
        <v>0</v>
      </c>
      <c r="BR27" s="5">
        <f t="shared" si="37"/>
        <v>0</v>
      </c>
      <c r="BS27" s="35">
        <f t="shared" si="38"/>
        <v>0</v>
      </c>
      <c r="BT27"/>
      <c r="BU27" s="5">
        <f t="shared" si="97"/>
        <v>0</v>
      </c>
      <c r="BV27" s="5">
        <f t="shared" si="39"/>
        <v>0</v>
      </c>
      <c r="BW27" s="5">
        <f t="shared" si="40"/>
        <v>0</v>
      </c>
      <c r="BX27" s="35">
        <f t="shared" si="41"/>
        <v>0</v>
      </c>
      <c r="BY27"/>
      <c r="BZ27" s="5">
        <f t="shared" si="98"/>
        <v>0</v>
      </c>
      <c r="CA27" s="5">
        <f t="shared" si="42"/>
        <v>0</v>
      </c>
      <c r="CB27" s="5">
        <f t="shared" si="43"/>
        <v>0</v>
      </c>
      <c r="CC27" s="35">
        <f t="shared" si="44"/>
        <v>0</v>
      </c>
      <c r="CD27"/>
      <c r="CE27" s="5">
        <f t="shared" si="99"/>
        <v>0</v>
      </c>
      <c r="CF27" s="5">
        <f t="shared" si="45"/>
        <v>0</v>
      </c>
      <c r="CG27" s="5">
        <f t="shared" si="46"/>
        <v>0</v>
      </c>
      <c r="CH27" s="35">
        <f t="shared" si="47"/>
        <v>0</v>
      </c>
      <c r="CI27"/>
      <c r="CJ27" s="5">
        <f t="shared" si="100"/>
        <v>0</v>
      </c>
      <c r="CK27" s="5">
        <f t="shared" si="48"/>
        <v>0</v>
      </c>
      <c r="CL27" s="5">
        <f t="shared" si="49"/>
        <v>0</v>
      </c>
      <c r="CM27" s="35">
        <f t="shared" si="50"/>
        <v>0</v>
      </c>
      <c r="CN27"/>
      <c r="CO27" s="5">
        <f t="shared" si="101"/>
        <v>0</v>
      </c>
      <c r="CP27" s="5">
        <f t="shared" si="51"/>
        <v>0</v>
      </c>
      <c r="CQ27" s="35">
        <f t="shared" si="52"/>
        <v>0</v>
      </c>
      <c r="CR27" s="35">
        <f t="shared" si="53"/>
        <v>0</v>
      </c>
      <c r="CT27" s="5">
        <f t="shared" si="102"/>
        <v>0</v>
      </c>
      <c r="CU27" s="5">
        <f t="shared" si="54"/>
        <v>0</v>
      </c>
      <c r="CV27" s="5">
        <f t="shared" si="55"/>
        <v>0</v>
      </c>
      <c r="CW27" s="35">
        <f t="shared" si="56"/>
        <v>0</v>
      </c>
      <c r="CY27" s="5">
        <f t="shared" si="103"/>
        <v>0</v>
      </c>
      <c r="CZ27" s="5">
        <f t="shared" si="57"/>
        <v>0</v>
      </c>
      <c r="DA27" s="5">
        <f t="shared" si="58"/>
        <v>0</v>
      </c>
      <c r="DB27" s="35">
        <f t="shared" si="59"/>
        <v>0</v>
      </c>
      <c r="DD27" s="5">
        <f t="shared" si="104"/>
        <v>0</v>
      </c>
      <c r="DE27" s="5">
        <f t="shared" si="60"/>
        <v>0</v>
      </c>
      <c r="DF27" s="5">
        <f t="shared" si="61"/>
        <v>0</v>
      </c>
      <c r="DG27" s="35">
        <f t="shared" si="62"/>
        <v>0</v>
      </c>
      <c r="DI27" s="5">
        <f t="shared" si="105"/>
        <v>0</v>
      </c>
      <c r="DJ27" s="5">
        <f t="shared" si="63"/>
        <v>0</v>
      </c>
      <c r="DK27" s="35">
        <f t="shared" si="64"/>
        <v>0</v>
      </c>
      <c r="DL27" s="35">
        <f t="shared" si="65"/>
        <v>0</v>
      </c>
      <c r="DN27" s="5">
        <f t="shared" si="106"/>
        <v>0</v>
      </c>
      <c r="DO27" s="5">
        <f t="shared" si="66"/>
        <v>0</v>
      </c>
      <c r="DP27" s="35">
        <f t="shared" si="67"/>
        <v>0</v>
      </c>
      <c r="DQ27" s="35">
        <f t="shared" si="68"/>
        <v>0</v>
      </c>
      <c r="DS27" s="5">
        <f t="shared" si="107"/>
        <v>0</v>
      </c>
      <c r="DT27" s="5">
        <f t="shared" si="69"/>
        <v>0</v>
      </c>
      <c r="DU27" s="35">
        <f t="shared" si="70"/>
        <v>0</v>
      </c>
      <c r="DV27" s="35">
        <f t="shared" si="71"/>
        <v>0</v>
      </c>
      <c r="DX27" s="5">
        <f t="shared" si="108"/>
        <v>0</v>
      </c>
      <c r="DY27" s="5">
        <f t="shared" si="72"/>
        <v>0</v>
      </c>
      <c r="DZ27" s="5">
        <f t="shared" si="73"/>
        <v>0</v>
      </c>
      <c r="EA27" s="35">
        <f t="shared" si="74"/>
        <v>0</v>
      </c>
      <c r="EC27" s="5">
        <f t="shared" si="109"/>
        <v>0</v>
      </c>
      <c r="ED27" s="5">
        <f t="shared" si="75"/>
        <v>0</v>
      </c>
      <c r="EE27" s="5">
        <f t="shared" si="76"/>
        <v>0</v>
      </c>
      <c r="EF27" s="35">
        <f t="shared" si="77"/>
        <v>0</v>
      </c>
      <c r="EH27" s="5">
        <f t="shared" si="110"/>
        <v>0</v>
      </c>
      <c r="EI27" s="5">
        <f t="shared" si="78"/>
        <v>0</v>
      </c>
      <c r="EJ27" s="5">
        <f t="shared" si="79"/>
        <v>0</v>
      </c>
      <c r="EK27" s="35">
        <f t="shared" si="80"/>
        <v>0</v>
      </c>
      <c r="EM27" s="5">
        <f t="shared" si="111"/>
        <v>0</v>
      </c>
      <c r="EN27" s="5">
        <f t="shared" si="81"/>
        <v>0</v>
      </c>
      <c r="EO27" s="5">
        <f t="shared" si="82"/>
        <v>0</v>
      </c>
      <c r="EP27" s="35">
        <f t="shared" si="83"/>
        <v>0</v>
      </c>
    </row>
    <row r="28" spans="1:146" ht="12.75">
      <c r="A28" s="36">
        <v>47392</v>
      </c>
      <c r="C28" s="77">
        <f>'2010(D&amp;E)'!C28</f>
        <v>0</v>
      </c>
      <c r="D28" s="77">
        <f>'2010(D&amp;E)'!D28</f>
        <v>0</v>
      </c>
      <c r="E28" s="34">
        <f t="shared" si="84"/>
        <v>0</v>
      </c>
      <c r="F28" s="77">
        <f>'2010(D&amp;E)'!F28</f>
        <v>0</v>
      </c>
      <c r="H28" s="46"/>
      <c r="I28" s="35">
        <f t="shared" si="0"/>
        <v>0</v>
      </c>
      <c r="J28" s="35">
        <f t="shared" si="1"/>
        <v>0</v>
      </c>
      <c r="K28" s="35">
        <f t="shared" si="2"/>
        <v>0</v>
      </c>
      <c r="L28"/>
      <c r="N28" s="5">
        <f t="shared" si="3"/>
        <v>0</v>
      </c>
      <c r="O28" s="5">
        <f t="shared" si="4"/>
        <v>0</v>
      </c>
      <c r="P28" s="35">
        <f t="shared" si="5"/>
        <v>0</v>
      </c>
      <c r="Q28"/>
      <c r="S28" s="5">
        <f t="shared" si="6"/>
        <v>0</v>
      </c>
      <c r="T28" s="35">
        <f t="shared" si="7"/>
        <v>0</v>
      </c>
      <c r="U28" s="35">
        <f t="shared" si="8"/>
        <v>0</v>
      </c>
      <c r="V28" s="35"/>
      <c r="X28" s="5">
        <f t="shared" si="9"/>
        <v>0</v>
      </c>
      <c r="Y28" s="5">
        <f t="shared" si="10"/>
        <v>0</v>
      </c>
      <c r="Z28" s="35">
        <f t="shared" si="11"/>
        <v>0</v>
      </c>
      <c r="AA28"/>
      <c r="AC28" s="5">
        <f t="shared" si="12"/>
        <v>0</v>
      </c>
      <c r="AD28" s="5">
        <f t="shared" si="13"/>
        <v>0</v>
      </c>
      <c r="AE28" s="35">
        <f t="shared" si="14"/>
        <v>0</v>
      </c>
      <c r="AF28"/>
      <c r="AH28" s="5">
        <f t="shared" si="15"/>
        <v>0</v>
      </c>
      <c r="AI28" s="5">
        <f t="shared" si="16"/>
        <v>0</v>
      </c>
      <c r="AJ28" s="35">
        <f t="shared" si="17"/>
        <v>0</v>
      </c>
      <c r="AK28"/>
      <c r="AM28" s="5">
        <f t="shared" si="18"/>
        <v>0</v>
      </c>
      <c r="AN28" s="5">
        <f t="shared" si="19"/>
        <v>0</v>
      </c>
      <c r="AO28" s="35">
        <f t="shared" si="20"/>
        <v>0</v>
      </c>
      <c r="AP28"/>
      <c r="AR28" s="5">
        <f t="shared" si="21"/>
        <v>0</v>
      </c>
      <c r="AS28" s="5">
        <f t="shared" si="22"/>
        <v>0</v>
      </c>
      <c r="AT28" s="35">
        <f t="shared" si="23"/>
        <v>0</v>
      </c>
      <c r="AU28"/>
      <c r="AW28" s="5">
        <f t="shared" si="24"/>
        <v>0</v>
      </c>
      <c r="AX28" s="5">
        <f t="shared" si="25"/>
        <v>0</v>
      </c>
      <c r="AY28" s="35">
        <f t="shared" si="26"/>
        <v>0</v>
      </c>
      <c r="AZ28"/>
      <c r="BB28" s="5">
        <f t="shared" si="27"/>
        <v>0</v>
      </c>
      <c r="BC28" s="35">
        <f t="shared" si="28"/>
        <v>0</v>
      </c>
      <c r="BD28" s="35">
        <f t="shared" si="29"/>
        <v>0</v>
      </c>
      <c r="BE28"/>
      <c r="BG28" s="5">
        <f t="shared" si="30"/>
        <v>0</v>
      </c>
      <c r="BH28" s="5">
        <f t="shared" si="31"/>
        <v>0</v>
      </c>
      <c r="BI28" s="35">
        <f t="shared" si="32"/>
        <v>0</v>
      </c>
      <c r="BJ28"/>
      <c r="BL28" s="5">
        <f t="shared" si="33"/>
        <v>0</v>
      </c>
      <c r="BM28" s="5">
        <f t="shared" si="34"/>
        <v>0</v>
      </c>
      <c r="BN28" s="35">
        <f t="shared" si="35"/>
        <v>0</v>
      </c>
      <c r="BO28"/>
      <c r="BQ28" s="5">
        <f t="shared" si="36"/>
        <v>0</v>
      </c>
      <c r="BR28" s="5">
        <f t="shared" si="37"/>
        <v>0</v>
      </c>
      <c r="BS28" s="35">
        <f t="shared" si="38"/>
        <v>0</v>
      </c>
      <c r="BT28"/>
      <c r="BV28" s="5">
        <f t="shared" si="39"/>
        <v>0</v>
      </c>
      <c r="BW28" s="5">
        <f t="shared" si="40"/>
        <v>0</v>
      </c>
      <c r="BX28" s="35">
        <f t="shared" si="41"/>
        <v>0</v>
      </c>
      <c r="BY28"/>
      <c r="CA28" s="5">
        <f t="shared" si="42"/>
        <v>0</v>
      </c>
      <c r="CB28" s="5">
        <f t="shared" si="43"/>
        <v>0</v>
      </c>
      <c r="CC28" s="35">
        <f t="shared" si="44"/>
        <v>0</v>
      </c>
      <c r="CD28"/>
      <c r="CF28" s="5">
        <f t="shared" si="45"/>
        <v>0</v>
      </c>
      <c r="CG28" s="5">
        <f t="shared" si="46"/>
        <v>0</v>
      </c>
      <c r="CH28" s="35">
        <f t="shared" si="47"/>
        <v>0</v>
      </c>
      <c r="CI28"/>
      <c r="CK28" s="5">
        <f t="shared" si="48"/>
        <v>0</v>
      </c>
      <c r="CL28" s="5">
        <f t="shared" si="49"/>
        <v>0</v>
      </c>
      <c r="CM28" s="35">
        <f t="shared" si="50"/>
        <v>0</v>
      </c>
      <c r="CN28"/>
      <c r="CP28" s="5">
        <f t="shared" si="51"/>
        <v>0</v>
      </c>
      <c r="CQ28" s="35">
        <f t="shared" si="52"/>
        <v>0</v>
      </c>
      <c r="CR28" s="35">
        <f t="shared" si="53"/>
        <v>0</v>
      </c>
      <c r="CU28" s="5">
        <f t="shared" si="54"/>
        <v>0</v>
      </c>
      <c r="CV28" s="5">
        <f t="shared" si="55"/>
        <v>0</v>
      </c>
      <c r="CW28" s="35">
        <f t="shared" si="56"/>
        <v>0</v>
      </c>
      <c r="CZ28" s="5">
        <f t="shared" si="57"/>
        <v>0</v>
      </c>
      <c r="DA28" s="5">
        <f t="shared" si="58"/>
        <v>0</v>
      </c>
      <c r="DB28" s="35">
        <f t="shared" si="59"/>
        <v>0</v>
      </c>
      <c r="DE28" s="5">
        <f t="shared" si="60"/>
        <v>0</v>
      </c>
      <c r="DF28" s="5">
        <f t="shared" si="61"/>
        <v>0</v>
      </c>
      <c r="DG28" s="35">
        <f t="shared" si="62"/>
        <v>0</v>
      </c>
      <c r="DJ28" s="5">
        <f t="shared" si="63"/>
        <v>0</v>
      </c>
      <c r="DK28" s="35">
        <f t="shared" si="64"/>
        <v>0</v>
      </c>
      <c r="DL28" s="35">
        <f t="shared" si="65"/>
        <v>0</v>
      </c>
      <c r="DO28" s="5">
        <f t="shared" si="66"/>
        <v>0</v>
      </c>
      <c r="DP28" s="35">
        <f t="shared" si="67"/>
        <v>0</v>
      </c>
      <c r="DQ28" s="35">
        <f t="shared" si="68"/>
        <v>0</v>
      </c>
      <c r="DT28" s="5">
        <f t="shared" si="69"/>
        <v>0</v>
      </c>
      <c r="DU28" s="35">
        <f t="shared" si="70"/>
        <v>0</v>
      </c>
      <c r="DV28" s="35">
        <f t="shared" si="71"/>
        <v>0</v>
      </c>
      <c r="DY28" s="5">
        <f t="shared" si="72"/>
        <v>0</v>
      </c>
      <c r="DZ28" s="5">
        <f t="shared" si="73"/>
        <v>0</v>
      </c>
      <c r="EA28" s="35">
        <f t="shared" si="74"/>
        <v>0</v>
      </c>
      <c r="ED28" s="5">
        <f t="shared" si="75"/>
        <v>0</v>
      </c>
      <c r="EE28" s="5">
        <f t="shared" si="76"/>
        <v>0</v>
      </c>
      <c r="EF28" s="35">
        <f t="shared" si="77"/>
        <v>0</v>
      </c>
      <c r="EI28" s="5">
        <f t="shared" si="78"/>
        <v>0</v>
      </c>
      <c r="EJ28" s="5">
        <f t="shared" si="79"/>
        <v>0</v>
      </c>
      <c r="EK28" s="35">
        <f t="shared" si="80"/>
        <v>0</v>
      </c>
      <c r="EN28" s="5">
        <f t="shared" si="81"/>
        <v>0</v>
      </c>
      <c r="EO28" s="5">
        <f t="shared" si="82"/>
        <v>0</v>
      </c>
      <c r="EP28" s="35">
        <f t="shared" si="83"/>
        <v>0</v>
      </c>
    </row>
    <row r="29" spans="1:146" ht="12.75">
      <c r="A29" s="36">
        <v>11049</v>
      </c>
      <c r="C29" s="77">
        <f>'2010(D&amp;E)'!C29</f>
        <v>0</v>
      </c>
      <c r="D29" s="77">
        <f>'2010(D&amp;E)'!D29</f>
        <v>0</v>
      </c>
      <c r="E29" s="34">
        <f t="shared" si="84"/>
        <v>0</v>
      </c>
      <c r="F29" s="77">
        <f>'2010(D&amp;E)'!F29</f>
        <v>0</v>
      </c>
      <c r="H29" s="46">
        <f>M29+R29+AB29+AG29+AL29+W29+AQ29+AV29+BA29+BF29+BK29+BP29+BU29+BZ29+CE29+CJ29+CO29+CT29+CY29+DD29+DI29+DN29+DS29+DX29+EC29+EH29+EM29</f>
        <v>0</v>
      </c>
      <c r="I29" s="35">
        <f t="shared" si="0"/>
        <v>0</v>
      </c>
      <c r="J29" s="35">
        <f t="shared" si="1"/>
        <v>0</v>
      </c>
      <c r="K29" s="35">
        <f t="shared" si="2"/>
        <v>0</v>
      </c>
      <c r="L29"/>
      <c r="M29" s="5">
        <f t="shared" si="85"/>
        <v>0</v>
      </c>
      <c r="N29" s="5">
        <f t="shared" si="3"/>
        <v>0</v>
      </c>
      <c r="O29" s="5">
        <f t="shared" si="4"/>
        <v>0</v>
      </c>
      <c r="P29" s="35">
        <f t="shared" si="5"/>
        <v>0</v>
      </c>
      <c r="Q29"/>
      <c r="R29" s="5">
        <f t="shared" si="86"/>
        <v>0</v>
      </c>
      <c r="S29" s="5">
        <f t="shared" si="6"/>
        <v>0</v>
      </c>
      <c r="T29" s="35">
        <f t="shared" si="7"/>
        <v>0</v>
      </c>
      <c r="U29" s="35">
        <f t="shared" si="8"/>
        <v>0</v>
      </c>
      <c r="V29" s="35"/>
      <c r="W29" s="5">
        <f t="shared" si="87"/>
        <v>0</v>
      </c>
      <c r="X29" s="5">
        <f t="shared" si="9"/>
        <v>0</v>
      </c>
      <c r="Y29" s="5">
        <f t="shared" si="10"/>
        <v>0</v>
      </c>
      <c r="Z29" s="35">
        <f t="shared" si="11"/>
        <v>0</v>
      </c>
      <c r="AA29"/>
      <c r="AB29" s="5">
        <f t="shared" si="88"/>
        <v>0</v>
      </c>
      <c r="AC29" s="5">
        <f t="shared" si="12"/>
        <v>0</v>
      </c>
      <c r="AD29" s="5">
        <f t="shared" si="13"/>
        <v>0</v>
      </c>
      <c r="AE29" s="35">
        <f t="shared" si="14"/>
        <v>0</v>
      </c>
      <c r="AF29"/>
      <c r="AG29" s="5">
        <f t="shared" si="89"/>
        <v>0</v>
      </c>
      <c r="AH29" s="5">
        <f t="shared" si="15"/>
        <v>0</v>
      </c>
      <c r="AI29" s="5">
        <f t="shared" si="16"/>
        <v>0</v>
      </c>
      <c r="AJ29" s="35">
        <f t="shared" si="17"/>
        <v>0</v>
      </c>
      <c r="AK29"/>
      <c r="AL29" s="5">
        <f t="shared" si="90"/>
        <v>0</v>
      </c>
      <c r="AM29" s="5">
        <f t="shared" si="18"/>
        <v>0</v>
      </c>
      <c r="AN29" s="5">
        <f t="shared" si="19"/>
        <v>0</v>
      </c>
      <c r="AO29" s="35">
        <f t="shared" si="20"/>
        <v>0</v>
      </c>
      <c r="AP29"/>
      <c r="AQ29" s="5">
        <f t="shared" si="91"/>
        <v>0</v>
      </c>
      <c r="AR29" s="5">
        <f t="shared" si="21"/>
        <v>0</v>
      </c>
      <c r="AS29" s="5">
        <f t="shared" si="22"/>
        <v>0</v>
      </c>
      <c r="AT29" s="35">
        <f t="shared" si="23"/>
        <v>0</v>
      </c>
      <c r="AU29"/>
      <c r="AV29" s="5">
        <f t="shared" si="92"/>
        <v>0</v>
      </c>
      <c r="AW29" s="5">
        <f t="shared" si="24"/>
        <v>0</v>
      </c>
      <c r="AX29" s="5">
        <f t="shared" si="25"/>
        <v>0</v>
      </c>
      <c r="AY29" s="35">
        <f t="shared" si="26"/>
        <v>0</v>
      </c>
      <c r="AZ29"/>
      <c r="BA29" s="5">
        <f t="shared" si="93"/>
        <v>0</v>
      </c>
      <c r="BB29" s="5">
        <f t="shared" si="27"/>
        <v>0</v>
      </c>
      <c r="BC29" s="35">
        <f t="shared" si="28"/>
        <v>0</v>
      </c>
      <c r="BD29" s="35">
        <f t="shared" si="29"/>
        <v>0</v>
      </c>
      <c r="BE29"/>
      <c r="BF29" s="5">
        <f t="shared" si="94"/>
        <v>0</v>
      </c>
      <c r="BG29" s="5">
        <f t="shared" si="30"/>
        <v>0</v>
      </c>
      <c r="BH29" s="5">
        <f t="shared" si="31"/>
        <v>0</v>
      </c>
      <c r="BI29" s="35">
        <f t="shared" si="32"/>
        <v>0</v>
      </c>
      <c r="BJ29"/>
      <c r="BK29" s="5">
        <f t="shared" si="95"/>
        <v>0</v>
      </c>
      <c r="BL29" s="5">
        <f t="shared" si="33"/>
        <v>0</v>
      </c>
      <c r="BM29" s="5">
        <f t="shared" si="34"/>
        <v>0</v>
      </c>
      <c r="BN29" s="35">
        <f t="shared" si="35"/>
        <v>0</v>
      </c>
      <c r="BO29"/>
      <c r="BP29" s="5">
        <f t="shared" si="96"/>
        <v>0</v>
      </c>
      <c r="BQ29" s="5">
        <f t="shared" si="36"/>
        <v>0</v>
      </c>
      <c r="BR29" s="5">
        <f t="shared" si="37"/>
        <v>0</v>
      </c>
      <c r="BS29" s="35">
        <f t="shared" si="38"/>
        <v>0</v>
      </c>
      <c r="BT29"/>
      <c r="BU29" s="5">
        <f t="shared" si="97"/>
        <v>0</v>
      </c>
      <c r="BV29" s="5">
        <f t="shared" si="39"/>
        <v>0</v>
      </c>
      <c r="BW29" s="5">
        <f t="shared" si="40"/>
        <v>0</v>
      </c>
      <c r="BX29" s="35">
        <f t="shared" si="41"/>
        <v>0</v>
      </c>
      <c r="BY29"/>
      <c r="BZ29" s="5">
        <f t="shared" si="98"/>
        <v>0</v>
      </c>
      <c r="CA29" s="5">
        <f t="shared" si="42"/>
        <v>0</v>
      </c>
      <c r="CB29" s="5">
        <f t="shared" si="43"/>
        <v>0</v>
      </c>
      <c r="CC29" s="35">
        <f t="shared" si="44"/>
        <v>0</v>
      </c>
      <c r="CD29"/>
      <c r="CE29" s="5">
        <f t="shared" si="99"/>
        <v>0</v>
      </c>
      <c r="CF29" s="5">
        <f t="shared" si="45"/>
        <v>0</v>
      </c>
      <c r="CG29" s="5">
        <f t="shared" si="46"/>
        <v>0</v>
      </c>
      <c r="CH29" s="35">
        <f t="shared" si="47"/>
        <v>0</v>
      </c>
      <c r="CI29"/>
      <c r="CJ29" s="5">
        <f t="shared" si="100"/>
        <v>0</v>
      </c>
      <c r="CK29" s="5">
        <f t="shared" si="48"/>
        <v>0</v>
      </c>
      <c r="CL29" s="5">
        <f t="shared" si="49"/>
        <v>0</v>
      </c>
      <c r="CM29" s="35">
        <f t="shared" si="50"/>
        <v>0</v>
      </c>
      <c r="CN29"/>
      <c r="CO29" s="5">
        <f t="shared" si="101"/>
        <v>0</v>
      </c>
      <c r="CP29" s="5">
        <f t="shared" si="51"/>
        <v>0</v>
      </c>
      <c r="CQ29" s="35">
        <f t="shared" si="52"/>
        <v>0</v>
      </c>
      <c r="CR29" s="35">
        <f t="shared" si="53"/>
        <v>0</v>
      </c>
      <c r="CT29" s="5">
        <f t="shared" si="102"/>
        <v>0</v>
      </c>
      <c r="CU29" s="5">
        <f t="shared" si="54"/>
        <v>0</v>
      </c>
      <c r="CV29" s="5">
        <f t="shared" si="55"/>
        <v>0</v>
      </c>
      <c r="CW29" s="35">
        <f t="shared" si="56"/>
        <v>0</v>
      </c>
      <c r="CY29" s="5">
        <f t="shared" si="103"/>
        <v>0</v>
      </c>
      <c r="CZ29" s="5">
        <f t="shared" si="57"/>
        <v>0</v>
      </c>
      <c r="DA29" s="5">
        <f t="shared" si="58"/>
        <v>0</v>
      </c>
      <c r="DB29" s="35">
        <f t="shared" si="59"/>
        <v>0</v>
      </c>
      <c r="DD29" s="5">
        <f t="shared" si="104"/>
        <v>0</v>
      </c>
      <c r="DE29" s="5">
        <f t="shared" si="60"/>
        <v>0</v>
      </c>
      <c r="DF29" s="5">
        <f t="shared" si="61"/>
        <v>0</v>
      </c>
      <c r="DG29" s="35">
        <f t="shared" si="62"/>
        <v>0</v>
      </c>
      <c r="DI29" s="5">
        <f t="shared" si="105"/>
        <v>0</v>
      </c>
      <c r="DJ29" s="5">
        <f t="shared" si="63"/>
        <v>0</v>
      </c>
      <c r="DK29" s="35">
        <f t="shared" si="64"/>
        <v>0</v>
      </c>
      <c r="DL29" s="35">
        <f t="shared" si="65"/>
        <v>0</v>
      </c>
      <c r="DN29" s="5">
        <f t="shared" si="106"/>
        <v>0</v>
      </c>
      <c r="DO29" s="5">
        <f t="shared" si="66"/>
        <v>0</v>
      </c>
      <c r="DP29" s="35">
        <f t="shared" si="67"/>
        <v>0</v>
      </c>
      <c r="DQ29" s="35">
        <f t="shared" si="68"/>
        <v>0</v>
      </c>
      <c r="DS29" s="5">
        <f t="shared" si="107"/>
        <v>0</v>
      </c>
      <c r="DT29" s="5">
        <f t="shared" si="69"/>
        <v>0</v>
      </c>
      <c r="DU29" s="35">
        <f t="shared" si="70"/>
        <v>0</v>
      </c>
      <c r="DV29" s="35">
        <f t="shared" si="71"/>
        <v>0</v>
      </c>
      <c r="DX29" s="5">
        <f t="shared" si="108"/>
        <v>0</v>
      </c>
      <c r="DY29" s="5">
        <f t="shared" si="72"/>
        <v>0</v>
      </c>
      <c r="DZ29" s="5">
        <f t="shared" si="73"/>
        <v>0</v>
      </c>
      <c r="EA29" s="35">
        <f t="shared" si="74"/>
        <v>0</v>
      </c>
      <c r="EC29" s="5">
        <f t="shared" si="109"/>
        <v>0</v>
      </c>
      <c r="ED29" s="5">
        <f t="shared" si="75"/>
        <v>0</v>
      </c>
      <c r="EE29" s="5">
        <f t="shared" si="76"/>
        <v>0</v>
      </c>
      <c r="EF29" s="35">
        <f t="shared" si="77"/>
        <v>0</v>
      </c>
      <c r="EH29" s="5">
        <f t="shared" si="110"/>
        <v>0</v>
      </c>
      <c r="EI29" s="5">
        <f t="shared" si="78"/>
        <v>0</v>
      </c>
      <c r="EJ29" s="5">
        <f t="shared" si="79"/>
        <v>0</v>
      </c>
      <c r="EK29" s="35">
        <f t="shared" si="80"/>
        <v>0</v>
      </c>
      <c r="EM29" s="5">
        <f t="shared" si="111"/>
        <v>0</v>
      </c>
      <c r="EN29" s="5">
        <f t="shared" si="81"/>
        <v>0</v>
      </c>
      <c r="EO29" s="5">
        <f t="shared" si="82"/>
        <v>0</v>
      </c>
      <c r="EP29" s="35">
        <f t="shared" si="83"/>
        <v>0</v>
      </c>
    </row>
    <row r="30" spans="2:94" ht="12.75">
      <c r="B30" s="33"/>
      <c r="C30" s="34"/>
      <c r="D30" s="34"/>
      <c r="E30" s="34"/>
      <c r="F30" s="34"/>
      <c r="H30"/>
      <c r="I30"/>
      <c r="J30"/>
      <c r="K30"/>
      <c r="L30"/>
      <c r="M30"/>
      <c r="N30"/>
      <c r="O30"/>
      <c r="Q30"/>
      <c r="R30"/>
      <c r="S30"/>
      <c r="T30"/>
      <c r="W30"/>
      <c r="X30"/>
      <c r="Y30"/>
      <c r="AA30"/>
      <c r="AB30"/>
      <c r="AC30"/>
      <c r="AD30"/>
      <c r="AF30"/>
      <c r="AG30"/>
      <c r="AH30"/>
      <c r="AI30"/>
      <c r="AK30"/>
      <c r="AL30"/>
      <c r="AM30"/>
      <c r="AP30"/>
      <c r="AQ30"/>
      <c r="AR30"/>
      <c r="AS30"/>
      <c r="AU30"/>
      <c r="AV30"/>
      <c r="AW30"/>
      <c r="AX30"/>
      <c r="AZ30"/>
      <c r="BA30"/>
      <c r="BB30"/>
      <c r="BC30"/>
      <c r="BE30"/>
      <c r="BF30"/>
      <c r="BG30"/>
      <c r="BH30"/>
      <c r="BJ30"/>
      <c r="BK30"/>
      <c r="BL30"/>
      <c r="BM30"/>
      <c r="BO30"/>
      <c r="BP30"/>
      <c r="BQ30"/>
      <c r="BR30"/>
      <c r="BT30"/>
      <c r="BU30"/>
      <c r="BV30"/>
      <c r="BW30"/>
      <c r="BY30"/>
      <c r="BZ30"/>
      <c r="CA30"/>
      <c r="CB30"/>
      <c r="CD30"/>
      <c r="CE30"/>
      <c r="CF30"/>
      <c r="CG30"/>
      <c r="CI30"/>
      <c r="CJ30"/>
      <c r="CK30"/>
      <c r="CL30"/>
      <c r="CN30"/>
      <c r="CO30"/>
      <c r="CP30"/>
    </row>
    <row r="31" spans="1:146" ht="13.5" thickBot="1">
      <c r="A31" s="37" t="s">
        <v>18</v>
      </c>
      <c r="C31" s="38">
        <f>SUM(C8:C30)</f>
        <v>11850000</v>
      </c>
      <c r="D31" s="38">
        <f>SUM(D8:D30)</f>
        <v>1568924</v>
      </c>
      <c r="E31" s="38">
        <f>SUM(E8:E30)</f>
        <v>13418924</v>
      </c>
      <c r="F31" s="38">
        <f>SUM(F8:F30)</f>
        <v>343170</v>
      </c>
      <c r="H31" s="38">
        <f>SUM(H8:H30)</f>
        <v>2645287.3500000006</v>
      </c>
      <c r="I31" s="38">
        <f>SUM(I8:I30)</f>
        <v>350232.473444</v>
      </c>
      <c r="J31" s="38">
        <f>SUM(J8:J30)</f>
        <v>2995519.8234440004</v>
      </c>
      <c r="K31" s="38">
        <f>SUM(K8:K30)</f>
        <v>76606.18226999999</v>
      </c>
      <c r="M31" s="38">
        <f>SUM(M8:M30)</f>
        <v>554600.145</v>
      </c>
      <c r="N31" s="38">
        <f>SUM(N8:N30)</f>
        <v>73428.3103708</v>
      </c>
      <c r="O31" s="38">
        <f>SUM(O8:O30)</f>
        <v>628028.4553708001</v>
      </c>
      <c r="P31" s="38">
        <f>SUM(P8:P30)</f>
        <v>16060.939389</v>
      </c>
      <c r="R31" s="38">
        <f>SUM(R8:R30)</f>
        <v>77187.345</v>
      </c>
      <c r="S31" s="38">
        <f>SUM(S8:S30)</f>
        <v>10219.5002588</v>
      </c>
      <c r="T31" s="38">
        <f>SUM(T8:T30)</f>
        <v>87406.8452588</v>
      </c>
      <c r="U31" s="38">
        <f>SUM(U8:U30)</f>
        <v>2235.3064289999998</v>
      </c>
      <c r="V31" s="34"/>
      <c r="W31" s="38">
        <f>SUM(W8:W30)</f>
        <v>11091.599999999999</v>
      </c>
      <c r="X31" s="38">
        <f>SUM(X8:X30)</f>
        <v>1468.512864</v>
      </c>
      <c r="Y31" s="38">
        <f>SUM(Y8:Y30)</f>
        <v>12560.112863999999</v>
      </c>
      <c r="Z31" s="38">
        <f>SUM(Z8:Z30)</f>
        <v>321.20712</v>
      </c>
      <c r="AB31" s="38">
        <f>SUM(AB8:AB30)</f>
        <v>65270.985</v>
      </c>
      <c r="AC31" s="38">
        <f>SUM(AC8:AC30)</f>
        <v>8641.7902844</v>
      </c>
      <c r="AD31" s="38">
        <f>SUM(AD8:AD30)</f>
        <v>73912.7752844</v>
      </c>
      <c r="AE31" s="38">
        <f>SUM(AE8:AE30)</f>
        <v>1890.214677</v>
      </c>
      <c r="AG31" s="38">
        <f>SUM(AG8:AG30)</f>
        <v>29000.504999999997</v>
      </c>
      <c r="AH31" s="38">
        <f>SUM(AH8:AH30)</f>
        <v>3839.6277051999996</v>
      </c>
      <c r="AI31" s="38">
        <f>SUM(AI8:AI30)</f>
        <v>32840.1327052</v>
      </c>
      <c r="AJ31" s="38">
        <f>SUM(AJ8:AJ30)</f>
        <v>839.8399410000001</v>
      </c>
      <c r="AL31" s="38">
        <f>SUM(AL8:AL30)</f>
        <v>18437.415</v>
      </c>
      <c r="AM31" s="38">
        <f>SUM(AM8:AM30)</f>
        <v>2441.0888516</v>
      </c>
      <c r="AN31" s="38">
        <f>SUM(AN8:AN30)</f>
        <v>20878.5038516</v>
      </c>
      <c r="AO31" s="38">
        <f>SUM(AO8:AO30)</f>
        <v>533.938203</v>
      </c>
      <c r="AQ31" s="38">
        <f>SUM(AQ8:AQ30)</f>
        <v>49752.225</v>
      </c>
      <c r="AR31" s="38">
        <f>SUM(AR8:AR30)</f>
        <v>6587.127414</v>
      </c>
      <c r="AS31" s="38">
        <f>SUM(AS8:AS30)</f>
        <v>56339.35241399999</v>
      </c>
      <c r="AT31" s="38">
        <f>SUM(AT8:AT30)</f>
        <v>1440.799245</v>
      </c>
      <c r="AV31" s="38">
        <f>SUM(AV8:AV30)</f>
        <v>9.48</v>
      </c>
      <c r="AW31" s="38">
        <f>SUM(AW8:AW30)</f>
        <v>1.2551392</v>
      </c>
      <c r="AX31" s="38">
        <f>SUM(AX8:AX30)</f>
        <v>10.735139199999999</v>
      </c>
      <c r="AY31" s="38">
        <f>SUM(AY8:AY30)</f>
        <v>0.274536</v>
      </c>
      <c r="BA31" s="38">
        <f>SUM(BA8:BA30)</f>
        <v>30778.004999999997</v>
      </c>
      <c r="BB31" s="38">
        <f>SUM(BB8:BB30)</f>
        <v>4074.9663052</v>
      </c>
      <c r="BC31" s="38">
        <f>SUM(BC8:BC30)</f>
        <v>34852.9713052</v>
      </c>
      <c r="BD31" s="38">
        <f>SUM(BD8:BD30)</f>
        <v>891.315441</v>
      </c>
      <c r="BF31" s="38">
        <f>SUM(BF8:BF30)</f>
        <v>56653.66500000001</v>
      </c>
      <c r="BG31" s="38">
        <f>SUM(BG8:BG30)</f>
        <v>7500.868751599999</v>
      </c>
      <c r="BH31" s="38">
        <f>SUM(BH8:BH30)</f>
        <v>64154.53375160001</v>
      </c>
      <c r="BI31" s="38">
        <f>SUM(BI8:BI30)</f>
        <v>1640.6614530000002</v>
      </c>
      <c r="BK31" s="38">
        <f>SUM(BK8:BK30)</f>
        <v>147466.13999999998</v>
      </c>
      <c r="BL31" s="38">
        <f>SUM(BL8:BL30)</f>
        <v>19524.317825600003</v>
      </c>
      <c r="BM31" s="38">
        <f>SUM(BM8:BM30)</f>
        <v>166990.4578256</v>
      </c>
      <c r="BN31" s="38">
        <f>SUM(BN8:BN30)</f>
        <v>4270.544747999999</v>
      </c>
      <c r="BP31" s="38">
        <f>SUM(BP8:BP30)</f>
        <v>15000.914999999999</v>
      </c>
      <c r="BQ31" s="38">
        <f>SUM(BQ8:BQ30)</f>
        <v>1986.1008916</v>
      </c>
      <c r="BR31" s="38">
        <f>SUM(BR8:BR30)</f>
        <v>16987.0158916</v>
      </c>
      <c r="BS31" s="38">
        <f>SUM(BS8:BS30)</f>
        <v>434.418903</v>
      </c>
      <c r="BU31" s="38">
        <f>SUM(BU8:BU30)</f>
        <v>1874.67</v>
      </c>
      <c r="BV31" s="38">
        <f>SUM(BV8:BV30)</f>
        <v>248.2037768</v>
      </c>
      <c r="BW31" s="38">
        <f>SUM(BW8:BW30)</f>
        <v>2122.8737768</v>
      </c>
      <c r="BX31" s="38">
        <f>SUM(BX8:BX30)</f>
        <v>54.289494</v>
      </c>
      <c r="BZ31" s="38">
        <f>SUM(BZ8:BZ30)</f>
        <v>1693.365</v>
      </c>
      <c r="CA31" s="38">
        <f>SUM(CA8:CA30)</f>
        <v>224.1992396</v>
      </c>
      <c r="CB31" s="38">
        <f>SUM(CB8:CB30)</f>
        <v>1917.5642396000003</v>
      </c>
      <c r="CC31" s="38">
        <f>SUM(CC8:CC30)</f>
        <v>49.038993000000005</v>
      </c>
      <c r="CE31" s="38">
        <f>SUM(CE8:CE30)</f>
        <v>42104.235</v>
      </c>
      <c r="CF31" s="38">
        <f>SUM(CF8:CF30)</f>
        <v>5574.5438644000005</v>
      </c>
      <c r="CG31" s="38">
        <f>SUM(CG8:CG30)</f>
        <v>47678.778864399996</v>
      </c>
      <c r="CH31" s="38">
        <f>SUM(CH8:CH30)</f>
        <v>1219.3173270000002</v>
      </c>
      <c r="CJ31" s="38">
        <f>SUM(CJ8:CJ30)</f>
        <v>3268.2299999999996</v>
      </c>
      <c r="CK31" s="38">
        <f>SUM(CK8:CK30)</f>
        <v>432.70923919999996</v>
      </c>
      <c r="CL31" s="38">
        <f>SUM(CL8:CL30)</f>
        <v>3700.9392391999995</v>
      </c>
      <c r="CM31" s="38">
        <f>SUM(CM8:CM30)</f>
        <v>94.646286</v>
      </c>
      <c r="CO31" s="38">
        <f>SUM(CO8:CO30)</f>
        <v>25850.774999999998</v>
      </c>
      <c r="CP31" s="38">
        <f>SUM(CP8:CP30)</f>
        <v>3422.607706</v>
      </c>
      <c r="CQ31" s="38">
        <f>SUM(CQ8:CQ30)</f>
        <v>29273.382705999997</v>
      </c>
      <c r="CR31" s="38">
        <f>SUM(CR8:CR30)</f>
        <v>748.6253549999999</v>
      </c>
      <c r="CT31" s="38">
        <f>SUM(CT8:CT30)</f>
        <v>133479.58500000002</v>
      </c>
      <c r="CU31" s="38">
        <f>SUM(CU8:CU30)</f>
        <v>17672.516828400003</v>
      </c>
      <c r="CV31" s="38">
        <f>SUM(CV8:CV30)</f>
        <v>151152.1018284</v>
      </c>
      <c r="CW31" s="38">
        <f>SUM(CW8:CW30)</f>
        <v>3865.5011970000005</v>
      </c>
      <c r="CY31" s="38">
        <f>SUM(CY8:CY30)</f>
        <v>10590.345</v>
      </c>
      <c r="CZ31" s="38">
        <f>SUM(CZ8:CZ30)</f>
        <v>1402.1473787999998</v>
      </c>
      <c r="DA31" s="38">
        <f>SUM(DA8:DA30)</f>
        <v>11992.492378799998</v>
      </c>
      <c r="DB31" s="38">
        <f>SUM(DB8:DB30)</f>
        <v>306.69102899999996</v>
      </c>
      <c r="DD31" s="38">
        <f>SUM(DD8:DD30)</f>
        <v>28752.84</v>
      </c>
      <c r="DE31" s="38">
        <f>SUM(DE8:DE30)</f>
        <v>3806.8371935999994</v>
      </c>
      <c r="DF31" s="38">
        <f>SUM(DF8:DF30)</f>
        <v>32559.6771936</v>
      </c>
      <c r="DG31" s="38">
        <f>SUM(DG8:DG30)</f>
        <v>832.667688</v>
      </c>
      <c r="DI31" s="38">
        <f>SUM(DI8:DI30)</f>
        <v>32241.480000000003</v>
      </c>
      <c r="DJ31" s="38">
        <f>SUM(DJ8:DJ30)</f>
        <v>4268.728419200001</v>
      </c>
      <c r="DK31" s="38">
        <f>SUM(DK8:DK30)</f>
        <v>36510.208419200004</v>
      </c>
      <c r="DL31" s="38">
        <f>SUM(DL8:DL30)</f>
        <v>933.696936</v>
      </c>
      <c r="DN31" s="38">
        <f>SUM(DN8:DN30)</f>
        <v>81237.67499999999</v>
      </c>
      <c r="DO31" s="38">
        <f>SUM(DO8:DO30)</f>
        <v>10755.758482</v>
      </c>
      <c r="DP31" s="38">
        <f>SUM(DP8:DP30)</f>
        <v>91993.433482</v>
      </c>
      <c r="DQ31" s="38">
        <f>SUM(DQ8:DQ30)</f>
        <v>2352.6019349999997</v>
      </c>
      <c r="DS31" s="38">
        <f>SUM(DS8:DS30)</f>
        <v>124812.49500000001</v>
      </c>
      <c r="DT31" s="38">
        <f>SUM(DT8:DT30)</f>
        <v>16525.005814800003</v>
      </c>
      <c r="DU31" s="38">
        <f>SUM(DU8:DU30)</f>
        <v>141337.5008148</v>
      </c>
      <c r="DV31" s="38">
        <f>SUM(DV8:DV30)</f>
        <v>3614.5066590000006</v>
      </c>
      <c r="DX31" s="38">
        <f>SUM(DX8:DX30)</f>
        <v>591669.315</v>
      </c>
      <c r="DY31" s="38">
        <f>SUM(DY8:DY30)</f>
        <v>78336.21842759999</v>
      </c>
      <c r="DZ31" s="38">
        <f>SUM(DZ8:DZ30)</f>
        <v>670005.5334276</v>
      </c>
      <c r="EA31" s="38">
        <f>SUM(EA8:EA30)</f>
        <v>17134.443783</v>
      </c>
      <c r="EC31" s="38">
        <f>SUM(EC8:EC30)</f>
        <v>500480.00999999995</v>
      </c>
      <c r="ED31" s="38">
        <f>SUM(ED8:ED30)</f>
        <v>66262.8775704</v>
      </c>
      <c r="EE31" s="38">
        <f>SUM(EE8:EE30)</f>
        <v>566742.8875704</v>
      </c>
      <c r="EF31" s="38">
        <f>SUM(EF8:EF30)</f>
        <v>14493.647681999999</v>
      </c>
      <c r="EH31" s="38">
        <f>SUM(EH8:EH30)</f>
        <v>3140.25</v>
      </c>
      <c r="EI31" s="38">
        <f>SUM(EI8:EI30)</f>
        <v>415.76486</v>
      </c>
      <c r="EJ31" s="38">
        <f>SUM(EJ8:EJ30)</f>
        <v>3556.01486</v>
      </c>
      <c r="EK31" s="38">
        <f>SUM(EK8:EK30)</f>
        <v>90.94004999999999</v>
      </c>
      <c r="EM31" s="38">
        <f>SUM(EM8:EM30)</f>
        <v>8843.654999999999</v>
      </c>
      <c r="EN31" s="38">
        <f>SUM(EN8:EN30)</f>
        <v>1170.8879811999998</v>
      </c>
      <c r="EO31" s="38">
        <f>SUM(EO8:EO30)</f>
        <v>10014.5429812</v>
      </c>
      <c r="EP31" s="38">
        <f>SUM(EP8:EP30)</f>
        <v>256.107771</v>
      </c>
    </row>
    <row r="32" spans="8:94" ht="13.5" thickTop="1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8:94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8:94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8:94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8:94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8:94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8:94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2.75">
      <c r="A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2.75">
      <c r="A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6" ht="12.75">
      <c r="A45"/>
      <c r="C45"/>
      <c r="D45"/>
      <c r="E45"/>
      <c r="F45"/>
    </row>
    <row r="46" spans="1:6" ht="12.75">
      <c r="A46"/>
      <c r="C46"/>
      <c r="D46"/>
      <c r="E46"/>
      <c r="F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</sheetData>
  <sheetProtection/>
  <printOptions/>
  <pageMargins left="0.25" right="0" top="0" bottom="0.25" header="0.5" footer="0"/>
  <pageSetup horizontalDpi="600" verticalDpi="600" orientation="landscape" scale="80" r:id="rId1"/>
  <headerFooter alignWithMargins="0">
    <oddFooter>&amp;CPage &amp;P of &amp;N&amp;R&amp;D</oddFooter>
  </headerFooter>
  <colBreaks count="2" manualBreakCount="2">
    <brk id="6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V561"/>
  <sheetViews>
    <sheetView zoomScale="150" zoomScaleNormal="15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0" sqref="D30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0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0" customWidth="1"/>
    <col min="56" max="56" width="3.7109375" style="5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6" customWidth="1"/>
    <col min="69" max="73" width="13.7109375" style="0" customWidth="1"/>
    <col min="74" max="74" width="3.7109375" style="0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3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9" width="12.7109375" style="6" customWidth="1"/>
    <col min="140" max="140" width="3.7109375" style="6" customWidth="1"/>
    <col min="141" max="145" width="13.7109375" style="6" customWidth="1"/>
    <col min="146" max="146" width="3.7109375" style="6" customWidth="1"/>
    <col min="147" max="151" width="13.7109375" style="6" customWidth="1"/>
    <col min="152" max="152" width="3.7109375" style="6" customWidth="1"/>
    <col min="153" max="157" width="13.7109375" style="6" customWidth="1"/>
    <col min="158" max="158" width="3.7109375" style="6" customWidth="1"/>
    <col min="159" max="163" width="13.7109375" style="6" customWidth="1"/>
    <col min="164" max="164" width="3.7109375" style="6" customWidth="1"/>
    <col min="165" max="169" width="13.7109375" style="6" customWidth="1"/>
    <col min="170" max="170" width="3.7109375" style="6" customWidth="1"/>
    <col min="171" max="175" width="13.7109375" style="6" customWidth="1"/>
    <col min="176" max="176" width="3.7109375" style="6" customWidth="1"/>
    <col min="177" max="181" width="13.7109375" style="6" customWidth="1"/>
    <col min="182" max="182" width="3.7109375" style="6" customWidth="1"/>
    <col min="183" max="187" width="13.7109375" style="6" customWidth="1"/>
    <col min="188" max="188" width="3.7109375" style="6" customWidth="1"/>
    <col min="189" max="191" width="13.7109375" style="6" customWidth="1"/>
    <col min="192" max="192" width="3.7109375" style="0" customWidth="1"/>
  </cols>
  <sheetData>
    <row r="1" spans="1:183" ht="12.75">
      <c r="A1" s="1"/>
      <c r="B1" s="2"/>
      <c r="C1" s="4" t="s">
        <v>98</v>
      </c>
      <c r="D1" s="4"/>
      <c r="I1" s="4"/>
      <c r="O1" s="4" t="s">
        <v>98</v>
      </c>
      <c r="AG1" s="4" t="s">
        <v>98</v>
      </c>
      <c r="AY1" s="4" t="s">
        <v>98</v>
      </c>
      <c r="BW1" s="4" t="s">
        <v>98</v>
      </c>
      <c r="CC1" s="4"/>
      <c r="CI1" s="4"/>
      <c r="CO1" s="4" t="s">
        <v>98</v>
      </c>
      <c r="DM1" s="4" t="s">
        <v>98</v>
      </c>
      <c r="EE1" s="4" t="s">
        <v>98</v>
      </c>
      <c r="EW1" s="4" t="s">
        <v>98</v>
      </c>
      <c r="FI1" s="4"/>
      <c r="GA1" s="4" t="s">
        <v>98</v>
      </c>
    </row>
    <row r="2" spans="1:183" ht="12.75">
      <c r="A2" s="1"/>
      <c r="B2" s="2"/>
      <c r="C2" s="4" t="s">
        <v>99</v>
      </c>
      <c r="D2" s="4"/>
      <c r="I2" s="4"/>
      <c r="O2" s="4" t="s">
        <v>99</v>
      </c>
      <c r="AG2" s="4" t="s">
        <v>99</v>
      </c>
      <c r="AY2" s="4" t="s">
        <v>99</v>
      </c>
      <c r="BW2" s="4" t="s">
        <v>99</v>
      </c>
      <c r="CC2" s="4"/>
      <c r="CI2" s="4"/>
      <c r="CO2" s="4" t="s">
        <v>99</v>
      </c>
      <c r="DM2" s="4" t="s">
        <v>99</v>
      </c>
      <c r="EE2" s="4" t="s">
        <v>99</v>
      </c>
      <c r="EW2" s="4" t="s">
        <v>99</v>
      </c>
      <c r="FI2" s="4"/>
      <c r="GA2" s="4" t="s">
        <v>99</v>
      </c>
    </row>
    <row r="3" spans="1:183" ht="12.75">
      <c r="A3" s="1"/>
      <c r="B3" s="2"/>
      <c r="C3" s="4" t="s">
        <v>180</v>
      </c>
      <c r="D3" s="7"/>
      <c r="I3" s="4"/>
      <c r="O3" s="4" t="s">
        <v>116</v>
      </c>
      <c r="P3" s="8"/>
      <c r="AG3" s="4" t="s">
        <v>116</v>
      </c>
      <c r="AY3" s="4" t="s">
        <v>116</v>
      </c>
      <c r="BW3" s="4" t="s">
        <v>116</v>
      </c>
      <c r="CC3" s="4"/>
      <c r="CI3" s="4"/>
      <c r="CO3" s="4" t="s">
        <v>116</v>
      </c>
      <c r="DM3" s="4" t="s">
        <v>116</v>
      </c>
      <c r="EE3" s="4" t="s">
        <v>116</v>
      </c>
      <c r="EW3" s="4" t="s">
        <v>116</v>
      </c>
      <c r="FI3" s="4"/>
      <c r="GA3" s="4" t="s">
        <v>116</v>
      </c>
    </row>
    <row r="4" spans="1:4" ht="12.75">
      <c r="A4" s="1"/>
      <c r="B4" s="2"/>
      <c r="C4" s="4"/>
      <c r="D4" s="4"/>
    </row>
    <row r="5" spans="1:191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2"/>
      <c r="K5" s="13"/>
      <c r="L5" s="81"/>
      <c r="M5" s="30"/>
      <c r="O5" s="11" t="s">
        <v>172</v>
      </c>
      <c r="P5" s="14"/>
      <c r="Q5" s="13"/>
      <c r="R5" s="81"/>
      <c r="S5" s="30"/>
      <c r="U5" s="18" t="s">
        <v>170</v>
      </c>
      <c r="V5" s="16"/>
      <c r="W5" s="17"/>
      <c r="X5" s="81"/>
      <c r="Y5" s="30"/>
      <c r="AA5" s="15" t="s">
        <v>1</v>
      </c>
      <c r="AB5" s="16"/>
      <c r="AC5" s="17"/>
      <c r="AD5" s="81"/>
      <c r="AE5" s="30"/>
      <c r="AG5" s="18" t="s">
        <v>2</v>
      </c>
      <c r="AH5" s="16"/>
      <c r="AI5" s="17"/>
      <c r="AJ5" s="81"/>
      <c r="AK5" s="30"/>
      <c r="AM5" s="18" t="s">
        <v>3</v>
      </c>
      <c r="AN5" s="16"/>
      <c r="AO5" s="17"/>
      <c r="AP5" s="81"/>
      <c r="AQ5" s="30"/>
      <c r="AS5" s="18" t="s">
        <v>97</v>
      </c>
      <c r="AT5" s="16"/>
      <c r="AU5" s="17"/>
      <c r="AV5" s="81"/>
      <c r="AW5" s="30"/>
      <c r="AY5" s="18" t="s">
        <v>137</v>
      </c>
      <c r="AZ5" s="16"/>
      <c r="BA5" s="17"/>
      <c r="BB5" s="81"/>
      <c r="BC5" s="30"/>
      <c r="BE5" s="15" t="s">
        <v>4</v>
      </c>
      <c r="BF5" s="16"/>
      <c r="BG5" s="17"/>
      <c r="BH5" s="81"/>
      <c r="BI5" s="30"/>
      <c r="BK5" s="15" t="s">
        <v>5</v>
      </c>
      <c r="BL5" s="16"/>
      <c r="BM5" s="17"/>
      <c r="BN5" s="81"/>
      <c r="BO5" s="30"/>
      <c r="BQ5" s="18" t="s">
        <v>138</v>
      </c>
      <c r="BR5" s="16"/>
      <c r="BS5" s="17"/>
      <c r="BT5" s="81"/>
      <c r="BU5" s="30"/>
      <c r="BV5" s="19"/>
      <c r="BW5" s="18" t="s">
        <v>140</v>
      </c>
      <c r="BX5" s="16"/>
      <c r="BY5" s="17"/>
      <c r="BZ5" s="81"/>
      <c r="CA5" s="30"/>
      <c r="CC5" s="18" t="s">
        <v>6</v>
      </c>
      <c r="CD5" s="16"/>
      <c r="CE5" s="17"/>
      <c r="CF5" s="81"/>
      <c r="CG5" s="30"/>
      <c r="CI5" s="18" t="s">
        <v>141</v>
      </c>
      <c r="CJ5" s="16"/>
      <c r="CK5" s="17"/>
      <c r="CL5" s="81"/>
      <c r="CM5" s="30"/>
      <c r="CO5" s="15" t="s">
        <v>7</v>
      </c>
      <c r="CP5" s="16"/>
      <c r="CQ5" s="17"/>
      <c r="CR5" s="81"/>
      <c r="CS5" s="30"/>
      <c r="CU5" s="15" t="s">
        <v>8</v>
      </c>
      <c r="CV5" s="16"/>
      <c r="CW5" s="17"/>
      <c r="CX5" s="81"/>
      <c r="CY5" s="30"/>
      <c r="DA5" s="84" t="s">
        <v>177</v>
      </c>
      <c r="DB5" s="16"/>
      <c r="DC5" s="17"/>
      <c r="DD5" s="81"/>
      <c r="DE5" s="30"/>
      <c r="DG5" s="15" t="s">
        <v>9</v>
      </c>
      <c r="DH5" s="16"/>
      <c r="DI5" s="17"/>
      <c r="DJ5" s="81"/>
      <c r="DK5" s="30"/>
      <c r="DM5" s="15" t="s">
        <v>10</v>
      </c>
      <c r="DN5" s="16"/>
      <c r="DO5" s="17"/>
      <c r="DP5" s="81"/>
      <c r="DQ5" s="30"/>
      <c r="DS5" s="15" t="s">
        <v>11</v>
      </c>
      <c r="DT5" s="16"/>
      <c r="DU5" s="17"/>
      <c r="DV5" s="81"/>
      <c r="DW5" s="30"/>
      <c r="DY5" s="15" t="s">
        <v>12</v>
      </c>
      <c r="DZ5" s="16"/>
      <c r="EA5" s="17"/>
      <c r="EB5" s="81"/>
      <c r="EC5" s="30"/>
      <c r="EE5" s="18" t="s">
        <v>142</v>
      </c>
      <c r="EF5" s="16"/>
      <c r="EG5" s="17"/>
      <c r="EH5" s="81"/>
      <c r="EI5" s="30"/>
      <c r="EK5" s="15" t="s">
        <v>143</v>
      </c>
      <c r="EL5" s="16"/>
      <c r="EM5" s="17"/>
      <c r="EN5" s="81"/>
      <c r="EO5" s="30"/>
      <c r="EQ5" s="15" t="s">
        <v>144</v>
      </c>
      <c r="ER5" s="16"/>
      <c r="ES5" s="17"/>
      <c r="ET5" s="81"/>
      <c r="EU5" s="30"/>
      <c r="EW5" s="15" t="s">
        <v>145</v>
      </c>
      <c r="EX5" s="16"/>
      <c r="EY5" s="17"/>
      <c r="EZ5" s="81"/>
      <c r="FA5" s="30"/>
      <c r="FC5" s="18" t="s">
        <v>13</v>
      </c>
      <c r="FD5" s="16"/>
      <c r="FE5" s="17"/>
      <c r="FF5" s="81"/>
      <c r="FG5" s="30"/>
      <c r="FI5" s="18" t="s">
        <v>148</v>
      </c>
      <c r="FJ5" s="16"/>
      <c r="FK5" s="17"/>
      <c r="FL5" s="81"/>
      <c r="FM5" s="30"/>
      <c r="FO5" s="18" t="s">
        <v>146</v>
      </c>
      <c r="FP5" s="16"/>
      <c r="FQ5" s="17"/>
      <c r="FR5" s="81"/>
      <c r="FS5" s="30"/>
      <c r="FU5" s="18" t="s">
        <v>147</v>
      </c>
      <c r="FV5" s="16"/>
      <c r="FW5" s="17"/>
      <c r="FX5" s="81"/>
      <c r="FY5" s="30"/>
      <c r="GA5" s="18" t="s">
        <v>139</v>
      </c>
      <c r="GB5" s="16"/>
      <c r="GC5" s="17"/>
      <c r="GD5" s="81"/>
      <c r="GE5" s="30"/>
      <c r="GF5" s="19"/>
      <c r="GG5" s="18" t="s">
        <v>14</v>
      </c>
      <c r="GH5" s="16"/>
      <c r="GI5" s="17"/>
    </row>
    <row r="6" spans="1:191" s="8" customFormat="1" ht="12.75">
      <c r="A6" s="20" t="s">
        <v>15</v>
      </c>
      <c r="C6" s="40"/>
      <c r="D6" s="41" t="s">
        <v>181</v>
      </c>
      <c r="E6" s="13"/>
      <c r="F6" s="80" t="s">
        <v>174</v>
      </c>
      <c r="G6" s="30" t="s">
        <v>174</v>
      </c>
      <c r="H6" s="5"/>
      <c r="I6" s="21">
        <v>0.1422725</v>
      </c>
      <c r="J6" s="22">
        <v>0.223231</v>
      </c>
      <c r="K6" s="23"/>
      <c r="L6" s="80" t="s">
        <v>174</v>
      </c>
      <c r="M6" s="30" t="s">
        <v>174</v>
      </c>
      <c r="N6" s="5"/>
      <c r="O6" s="21">
        <f>AA6+AG6+AM6+AS6+AY6+BE6+BK6+BQ6+BW6+CC6+CI6+CO6+CU6+DG6+DM6+DS6+DY6+EE6+EK6+EQ6+EW6+FC6+FI6+FO6+FU6+GA6+GG6</f>
        <v>0.8577275</v>
      </c>
      <c r="P6" s="24">
        <f>V6+AB6+AH6+AN6+AT6+AZ6+BF6+BL6+BR6+BX6+CD6+CJ6+CP6+CV6+DH6+DN6+DT6+DZ6+EF6+EL6+ER6+EX6+FD6+FJ6+DB6+FP6+FV6+GB6</f>
        <v>0.7767690000000002</v>
      </c>
      <c r="Q6" s="23"/>
      <c r="R6" s="80" t="s">
        <v>174</v>
      </c>
      <c r="S6" s="30" t="s">
        <v>174</v>
      </c>
      <c r="T6" s="5"/>
      <c r="U6" s="25">
        <v>0</v>
      </c>
      <c r="V6" s="26">
        <v>0.0002172</v>
      </c>
      <c r="W6" s="23"/>
      <c r="X6" s="80" t="s">
        <v>174</v>
      </c>
      <c r="Y6" s="30" t="s">
        <v>174</v>
      </c>
      <c r="Z6" s="5"/>
      <c r="AA6" s="25">
        <v>0.0028932</v>
      </c>
      <c r="AB6" s="26">
        <v>0.0231145</v>
      </c>
      <c r="AC6" s="23"/>
      <c r="AD6" s="80" t="s">
        <v>174</v>
      </c>
      <c r="AE6" s="30" t="s">
        <v>174</v>
      </c>
      <c r="AF6" s="5"/>
      <c r="AG6" s="25">
        <v>0.0013944</v>
      </c>
      <c r="AH6" s="26">
        <v>0.0014183</v>
      </c>
      <c r="AI6" s="23"/>
      <c r="AJ6" s="80" t="s">
        <v>174</v>
      </c>
      <c r="AK6" s="30" t="s">
        <v>174</v>
      </c>
      <c r="AL6" s="5"/>
      <c r="AM6" s="25">
        <v>0.0093135</v>
      </c>
      <c r="AN6" s="26">
        <v>0.0102579</v>
      </c>
      <c r="AO6" s="23"/>
      <c r="AP6" s="80" t="s">
        <v>174</v>
      </c>
      <c r="AQ6" s="30" t="s">
        <v>174</v>
      </c>
      <c r="AR6" s="5"/>
      <c r="AS6" s="25">
        <v>0.0039354</v>
      </c>
      <c r="AT6" s="26">
        <v>0.0081136</v>
      </c>
      <c r="AU6" s="23"/>
      <c r="AV6" s="80" t="s">
        <v>174</v>
      </c>
      <c r="AW6" s="30" t="s">
        <v>174</v>
      </c>
      <c r="AX6" s="5"/>
      <c r="AY6" s="25">
        <v>0.0021448</v>
      </c>
      <c r="AZ6" s="26">
        <v>0.0021644</v>
      </c>
      <c r="BA6" s="23"/>
      <c r="BB6" s="80" t="s">
        <v>174</v>
      </c>
      <c r="BC6" s="30" t="s">
        <v>174</v>
      </c>
      <c r="BD6" s="5"/>
      <c r="BE6" s="25">
        <v>0.0242511</v>
      </c>
      <c r="BF6" s="26">
        <v>0.0244732</v>
      </c>
      <c r="BG6" s="23"/>
      <c r="BH6" s="80" t="s">
        <v>174</v>
      </c>
      <c r="BI6" s="30" t="s">
        <v>174</v>
      </c>
      <c r="BK6" s="25">
        <v>0.0004264</v>
      </c>
      <c r="BL6" s="26">
        <v>0.0004303</v>
      </c>
      <c r="BM6" s="23"/>
      <c r="BN6" s="80" t="s">
        <v>174</v>
      </c>
      <c r="BO6" s="30" t="s">
        <v>174</v>
      </c>
      <c r="BQ6" s="25">
        <v>9.1E-05</v>
      </c>
      <c r="BR6" s="26">
        <v>9.19E-05</v>
      </c>
      <c r="BS6" s="23"/>
      <c r="BT6" s="80" t="s">
        <v>174</v>
      </c>
      <c r="BU6" s="30" t="s">
        <v>174</v>
      </c>
      <c r="BV6" s="71"/>
      <c r="BW6" s="25">
        <v>0.0835219</v>
      </c>
      <c r="BX6" s="26">
        <v>0.087894</v>
      </c>
      <c r="BY6" s="23"/>
      <c r="BZ6" s="80" t="s">
        <v>174</v>
      </c>
      <c r="CA6" s="30" t="s">
        <v>174</v>
      </c>
      <c r="CC6" s="25">
        <v>0.000168</v>
      </c>
      <c r="CD6" s="26">
        <v>0.0001695</v>
      </c>
      <c r="CE6" s="23"/>
      <c r="CF6" s="80" t="s">
        <v>174</v>
      </c>
      <c r="CG6" s="30" t="s">
        <v>174</v>
      </c>
      <c r="CI6" s="25">
        <v>9.98E-05</v>
      </c>
      <c r="CJ6" s="26">
        <v>0.0001007</v>
      </c>
      <c r="CK6" s="23"/>
      <c r="CL6" s="80" t="s">
        <v>174</v>
      </c>
      <c r="CM6" s="30" t="s">
        <v>174</v>
      </c>
      <c r="CO6" s="25">
        <v>0.0062262</v>
      </c>
      <c r="CP6" s="26">
        <v>0.0062832</v>
      </c>
      <c r="CQ6" s="23"/>
      <c r="CR6" s="80" t="s">
        <v>174</v>
      </c>
      <c r="CS6" s="30" t="s">
        <v>174</v>
      </c>
      <c r="CU6" s="25">
        <v>3.24E-05</v>
      </c>
      <c r="CV6" s="26">
        <v>0.0006637</v>
      </c>
      <c r="CW6" s="23"/>
      <c r="CX6" s="80" t="s">
        <v>174</v>
      </c>
      <c r="CY6" s="30" t="s">
        <v>174</v>
      </c>
      <c r="DA6" s="25">
        <v>0</v>
      </c>
      <c r="DB6" s="26">
        <v>0.0018131</v>
      </c>
      <c r="DC6" s="23"/>
      <c r="DD6" s="80" t="s">
        <v>174</v>
      </c>
      <c r="DE6" s="30" t="s">
        <v>174</v>
      </c>
      <c r="DG6" s="25">
        <v>0.0122709</v>
      </c>
      <c r="DH6" s="26">
        <v>0.0177351</v>
      </c>
      <c r="DI6" s="23"/>
      <c r="DJ6" s="80" t="s">
        <v>174</v>
      </c>
      <c r="DK6" s="30" t="s">
        <v>174</v>
      </c>
      <c r="DM6" s="25">
        <v>5.78E-05</v>
      </c>
      <c r="DN6" s="26">
        <v>0.0024492</v>
      </c>
      <c r="DO6" s="23"/>
      <c r="DP6" s="80" t="s">
        <v>174</v>
      </c>
      <c r="DQ6" s="30" t="s">
        <v>174</v>
      </c>
      <c r="DS6" s="25">
        <v>0.0096951</v>
      </c>
      <c r="DT6" s="26">
        <v>0.009784</v>
      </c>
      <c r="DU6" s="23"/>
      <c r="DV6" s="80" t="s">
        <v>174</v>
      </c>
      <c r="DW6" s="30" t="s">
        <v>174</v>
      </c>
      <c r="DY6" s="25">
        <v>0.0662914</v>
      </c>
      <c r="DZ6" s="26">
        <v>0.078675</v>
      </c>
      <c r="EA6" s="23"/>
      <c r="EB6" s="80" t="s">
        <v>174</v>
      </c>
      <c r="EC6" s="30" t="s">
        <v>174</v>
      </c>
      <c r="EE6" s="25">
        <v>0.08456</v>
      </c>
      <c r="EF6" s="26">
        <v>0.1175335</v>
      </c>
      <c r="EG6" s="23"/>
      <c r="EH6" s="80" t="s">
        <v>174</v>
      </c>
      <c r="EI6" s="30" t="s">
        <v>174</v>
      </c>
      <c r="EK6" s="25">
        <v>0.0005018</v>
      </c>
      <c r="EL6" s="26">
        <v>0.0009796</v>
      </c>
      <c r="EM6" s="23"/>
      <c r="EN6" s="80" t="s">
        <v>174</v>
      </c>
      <c r="EO6" s="30" t="s">
        <v>174</v>
      </c>
      <c r="EQ6" s="25">
        <v>0.0224714</v>
      </c>
      <c r="ER6" s="26">
        <v>0.0375623</v>
      </c>
      <c r="ES6" s="23"/>
      <c r="ET6" s="80" t="s">
        <v>174</v>
      </c>
      <c r="EU6" s="30" t="s">
        <v>174</v>
      </c>
      <c r="EW6" s="25">
        <v>0.0498319</v>
      </c>
      <c r="EX6" s="26">
        <v>0.0626721</v>
      </c>
      <c r="EY6" s="23"/>
      <c r="EZ6" s="80" t="s">
        <v>174</v>
      </c>
      <c r="FA6" s="30" t="s">
        <v>174</v>
      </c>
      <c r="FC6" s="25">
        <v>0.0149322</v>
      </c>
      <c r="FD6" s="26">
        <v>0.0536561</v>
      </c>
      <c r="FE6" s="23"/>
      <c r="FF6" s="80" t="s">
        <v>174</v>
      </c>
      <c r="FG6" s="30" t="s">
        <v>174</v>
      </c>
      <c r="FI6" s="25">
        <v>0.0231774</v>
      </c>
      <c r="FJ6" s="26">
        <v>0.0532049</v>
      </c>
      <c r="FK6" s="23"/>
      <c r="FL6" s="80" t="s">
        <v>174</v>
      </c>
      <c r="FM6" s="30" t="s">
        <v>174</v>
      </c>
      <c r="FO6" s="25">
        <v>0.0657351</v>
      </c>
      <c r="FP6" s="26">
        <v>0.0771446</v>
      </c>
      <c r="FQ6" s="23"/>
      <c r="FR6" s="80" t="s">
        <v>174</v>
      </c>
      <c r="FS6" s="30" t="s">
        <v>174</v>
      </c>
      <c r="FU6" s="25">
        <v>0.0583439</v>
      </c>
      <c r="FV6" s="26">
        <v>0.0977162</v>
      </c>
      <c r="FW6" s="23"/>
      <c r="FX6" s="80" t="s">
        <v>174</v>
      </c>
      <c r="FY6" s="30" t="s">
        <v>174</v>
      </c>
      <c r="GA6" s="25">
        <v>0.000332</v>
      </c>
      <c r="GB6" s="26">
        <v>0.0004509</v>
      </c>
      <c r="GC6" s="23"/>
      <c r="GD6" s="80" t="s">
        <v>174</v>
      </c>
      <c r="GE6" s="30" t="s">
        <v>174</v>
      </c>
      <c r="GF6" s="27"/>
      <c r="GG6" s="25">
        <v>0.3150285</v>
      </c>
      <c r="GH6" s="26"/>
      <c r="GI6" s="28"/>
    </row>
    <row r="7" spans="1:191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182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182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182</v>
      </c>
      <c r="U7" s="31" t="s">
        <v>16</v>
      </c>
      <c r="V7" s="31" t="s">
        <v>17</v>
      </c>
      <c r="W7" s="31" t="s">
        <v>18</v>
      </c>
      <c r="X7" s="30" t="s">
        <v>175</v>
      </c>
      <c r="Y7" s="30" t="s">
        <v>182</v>
      </c>
      <c r="AA7" s="31" t="s">
        <v>16</v>
      </c>
      <c r="AB7" s="31" t="s">
        <v>17</v>
      </c>
      <c r="AC7" s="31" t="s">
        <v>18</v>
      </c>
      <c r="AD7" s="30" t="s">
        <v>175</v>
      </c>
      <c r="AE7" s="30" t="s">
        <v>182</v>
      </c>
      <c r="AG7" s="31" t="s">
        <v>16</v>
      </c>
      <c r="AH7" s="31" t="s">
        <v>17</v>
      </c>
      <c r="AI7" s="31" t="s">
        <v>18</v>
      </c>
      <c r="AJ7" s="30" t="s">
        <v>175</v>
      </c>
      <c r="AK7" s="30" t="s">
        <v>182</v>
      </c>
      <c r="AM7" s="31" t="s">
        <v>16</v>
      </c>
      <c r="AN7" s="31" t="s">
        <v>17</v>
      </c>
      <c r="AO7" s="31" t="s">
        <v>18</v>
      </c>
      <c r="AP7" s="30" t="s">
        <v>175</v>
      </c>
      <c r="AQ7" s="30" t="s">
        <v>182</v>
      </c>
      <c r="AS7" s="31" t="s">
        <v>16</v>
      </c>
      <c r="AT7" s="31" t="s">
        <v>17</v>
      </c>
      <c r="AU7" s="31" t="s">
        <v>18</v>
      </c>
      <c r="AV7" s="30" t="s">
        <v>175</v>
      </c>
      <c r="AW7" s="30" t="s">
        <v>182</v>
      </c>
      <c r="AY7" s="31" t="s">
        <v>16</v>
      </c>
      <c r="AZ7" s="31" t="s">
        <v>17</v>
      </c>
      <c r="BA7" s="31" t="s">
        <v>18</v>
      </c>
      <c r="BB7" s="30" t="s">
        <v>175</v>
      </c>
      <c r="BC7" s="30" t="s">
        <v>182</v>
      </c>
      <c r="BE7" s="31" t="s">
        <v>16</v>
      </c>
      <c r="BF7" s="31" t="s">
        <v>17</v>
      </c>
      <c r="BG7" s="31" t="s">
        <v>18</v>
      </c>
      <c r="BH7" s="30" t="s">
        <v>175</v>
      </c>
      <c r="BI7" s="30" t="s">
        <v>182</v>
      </c>
      <c r="BK7" s="31" t="s">
        <v>16</v>
      </c>
      <c r="BL7" s="31" t="s">
        <v>17</v>
      </c>
      <c r="BM7" s="31" t="s">
        <v>18</v>
      </c>
      <c r="BN7" s="30" t="s">
        <v>175</v>
      </c>
      <c r="BO7" s="30" t="s">
        <v>182</v>
      </c>
      <c r="BQ7" s="31" t="s">
        <v>16</v>
      </c>
      <c r="BR7" s="31" t="s">
        <v>17</v>
      </c>
      <c r="BS7" s="31" t="s">
        <v>18</v>
      </c>
      <c r="BT7" s="30" t="s">
        <v>175</v>
      </c>
      <c r="BU7" s="30" t="s">
        <v>182</v>
      </c>
      <c r="BV7" s="32"/>
      <c r="BW7" s="31" t="s">
        <v>16</v>
      </c>
      <c r="BX7" s="31" t="s">
        <v>17</v>
      </c>
      <c r="BY7" s="31" t="s">
        <v>18</v>
      </c>
      <c r="BZ7" s="30" t="s">
        <v>175</v>
      </c>
      <c r="CA7" s="30" t="s">
        <v>182</v>
      </c>
      <c r="CC7" s="31" t="s">
        <v>16</v>
      </c>
      <c r="CD7" s="31" t="s">
        <v>17</v>
      </c>
      <c r="CE7" s="31" t="s">
        <v>18</v>
      </c>
      <c r="CF7" s="30" t="s">
        <v>175</v>
      </c>
      <c r="CG7" s="30" t="s">
        <v>182</v>
      </c>
      <c r="CI7" s="31" t="s">
        <v>16</v>
      </c>
      <c r="CJ7" s="31" t="s">
        <v>17</v>
      </c>
      <c r="CK7" s="31" t="s">
        <v>18</v>
      </c>
      <c r="CL7" s="30" t="s">
        <v>175</v>
      </c>
      <c r="CM7" s="30" t="s">
        <v>182</v>
      </c>
      <c r="CO7" s="31" t="s">
        <v>16</v>
      </c>
      <c r="CP7" s="31" t="s">
        <v>17</v>
      </c>
      <c r="CQ7" s="31" t="s">
        <v>18</v>
      </c>
      <c r="CR7" s="30" t="s">
        <v>175</v>
      </c>
      <c r="CS7" s="30" t="s">
        <v>182</v>
      </c>
      <c r="CU7" s="31" t="s">
        <v>16</v>
      </c>
      <c r="CV7" s="31" t="s">
        <v>17</v>
      </c>
      <c r="CW7" s="31" t="s">
        <v>18</v>
      </c>
      <c r="CX7" s="30" t="s">
        <v>175</v>
      </c>
      <c r="CY7" s="30" t="s">
        <v>182</v>
      </c>
      <c r="DA7" s="31" t="s">
        <v>16</v>
      </c>
      <c r="DB7" s="31" t="s">
        <v>17</v>
      </c>
      <c r="DC7" s="31" t="s">
        <v>18</v>
      </c>
      <c r="DD7" s="30" t="s">
        <v>175</v>
      </c>
      <c r="DE7" s="30" t="s">
        <v>182</v>
      </c>
      <c r="DG7" s="31" t="s">
        <v>16</v>
      </c>
      <c r="DH7" s="31" t="s">
        <v>17</v>
      </c>
      <c r="DI7" s="31" t="s">
        <v>18</v>
      </c>
      <c r="DJ7" s="30" t="s">
        <v>175</v>
      </c>
      <c r="DK7" s="30" t="s">
        <v>182</v>
      </c>
      <c r="DM7" s="31" t="s">
        <v>16</v>
      </c>
      <c r="DN7" s="31" t="s">
        <v>17</v>
      </c>
      <c r="DO7" s="31" t="s">
        <v>18</v>
      </c>
      <c r="DP7" s="30" t="s">
        <v>175</v>
      </c>
      <c r="DQ7" s="30" t="s">
        <v>182</v>
      </c>
      <c r="DS7" s="31" t="s">
        <v>16</v>
      </c>
      <c r="DT7" s="31" t="s">
        <v>17</v>
      </c>
      <c r="DU7" s="31" t="s">
        <v>18</v>
      </c>
      <c r="DV7" s="30" t="s">
        <v>175</v>
      </c>
      <c r="DW7" s="30" t="s">
        <v>182</v>
      </c>
      <c r="DY7" s="31" t="s">
        <v>16</v>
      </c>
      <c r="DZ7" s="31" t="s">
        <v>17</v>
      </c>
      <c r="EA7" s="31" t="s">
        <v>18</v>
      </c>
      <c r="EB7" s="30" t="s">
        <v>175</v>
      </c>
      <c r="EC7" s="30" t="s">
        <v>182</v>
      </c>
      <c r="EE7" s="31" t="s">
        <v>16</v>
      </c>
      <c r="EF7" s="31" t="s">
        <v>17</v>
      </c>
      <c r="EG7" s="31" t="s">
        <v>18</v>
      </c>
      <c r="EH7" s="30" t="s">
        <v>175</v>
      </c>
      <c r="EI7" s="30" t="s">
        <v>182</v>
      </c>
      <c r="EK7" s="31" t="s">
        <v>16</v>
      </c>
      <c r="EL7" s="31" t="s">
        <v>17</v>
      </c>
      <c r="EM7" s="31" t="s">
        <v>18</v>
      </c>
      <c r="EN7" s="30" t="s">
        <v>175</v>
      </c>
      <c r="EO7" s="30" t="s">
        <v>182</v>
      </c>
      <c r="EQ7" s="31" t="s">
        <v>16</v>
      </c>
      <c r="ER7" s="31" t="s">
        <v>17</v>
      </c>
      <c r="ES7" s="31" t="s">
        <v>18</v>
      </c>
      <c r="ET7" s="30" t="s">
        <v>175</v>
      </c>
      <c r="EU7" s="30" t="s">
        <v>182</v>
      </c>
      <c r="EW7" s="31" t="s">
        <v>16</v>
      </c>
      <c r="EX7" s="31" t="s">
        <v>17</v>
      </c>
      <c r="EY7" s="31" t="s">
        <v>18</v>
      </c>
      <c r="EZ7" s="30" t="s">
        <v>175</v>
      </c>
      <c r="FA7" s="30" t="s">
        <v>182</v>
      </c>
      <c r="FC7" s="31" t="s">
        <v>16</v>
      </c>
      <c r="FD7" s="31" t="s">
        <v>17</v>
      </c>
      <c r="FE7" s="31" t="s">
        <v>18</v>
      </c>
      <c r="FF7" s="30" t="s">
        <v>175</v>
      </c>
      <c r="FG7" s="30" t="s">
        <v>182</v>
      </c>
      <c r="FI7" s="31" t="s">
        <v>16</v>
      </c>
      <c r="FJ7" s="31" t="s">
        <v>17</v>
      </c>
      <c r="FK7" s="31" t="s">
        <v>18</v>
      </c>
      <c r="FL7" s="30" t="s">
        <v>175</v>
      </c>
      <c r="FM7" s="30" t="s">
        <v>182</v>
      </c>
      <c r="FO7" s="31" t="s">
        <v>16</v>
      </c>
      <c r="FP7" s="31" t="s">
        <v>17</v>
      </c>
      <c r="FQ7" s="31" t="s">
        <v>18</v>
      </c>
      <c r="FR7" s="30" t="s">
        <v>175</v>
      </c>
      <c r="FS7" s="30" t="s">
        <v>182</v>
      </c>
      <c r="FU7" s="31" t="s">
        <v>16</v>
      </c>
      <c r="FV7" s="31" t="s">
        <v>17</v>
      </c>
      <c r="FW7" s="31" t="s">
        <v>18</v>
      </c>
      <c r="FX7" s="30" t="s">
        <v>175</v>
      </c>
      <c r="FY7" s="30" t="s">
        <v>182</v>
      </c>
      <c r="GA7" s="31" t="s">
        <v>16</v>
      </c>
      <c r="GB7" s="31" t="s">
        <v>17</v>
      </c>
      <c r="GC7" s="31" t="s">
        <v>18</v>
      </c>
      <c r="GD7" s="30" t="s">
        <v>175</v>
      </c>
      <c r="GE7" s="30" t="s">
        <v>182</v>
      </c>
      <c r="GF7" s="32"/>
      <c r="GG7" s="31" t="s">
        <v>16</v>
      </c>
      <c r="GH7" s="31" t="s">
        <v>17</v>
      </c>
      <c r="GI7" s="31" t="s">
        <v>18</v>
      </c>
    </row>
    <row r="8" spans="1:230" ht="12.75">
      <c r="A8" s="36">
        <v>43739</v>
      </c>
      <c r="E8" s="34">
        <f aca="true" t="shared" si="0" ref="E8:E29">C8+D8</f>
        <v>0</v>
      </c>
      <c r="F8" s="34"/>
      <c r="G8" s="34"/>
      <c r="I8" s="35">
        <f>'2019C Academic'!I8</f>
        <v>0</v>
      </c>
      <c r="J8" s="35">
        <f>'2019C Academic'!J8</f>
        <v>0</v>
      </c>
      <c r="K8" s="35">
        <f>I8+J8</f>
        <v>0</v>
      </c>
      <c r="L8" s="35">
        <f>'2019C Academic'!L8</f>
        <v>0</v>
      </c>
      <c r="M8" s="35">
        <f>'2019C Academic'!M8</f>
        <v>0</v>
      </c>
      <c r="O8" s="35"/>
      <c r="P8" s="34">
        <f aca="true" t="shared" si="1" ref="P8:P29">V8+AB8+AH8+AN8+AT8+AZ8+BF8+BL8+BR8+BX8+CD8+CJ8+CP8+CV8+DH8+DN8+DT8+DZ8+EF8+EL8+ER8+EX8+FD8+FJ8+DB8+FP8+FV8+GB8+GH8</f>
        <v>0</v>
      </c>
      <c r="Q8" s="5">
        <f aca="true" t="shared" si="2" ref="Q8:Q29">O8+P8</f>
        <v>0</v>
      </c>
      <c r="R8" s="34">
        <f aca="true" t="shared" si="3" ref="R8:S29">X8+AD8+AJ8+AP8+AV8+BB8+BH8+BN8+BT8+BZ8+CF8+CL8+CR8+CX8+DJ8+DP8+DV8+EB8+EH8+EN8+ET8+EZ8+FF8+FL8+DD8+FR8+FX8+GD8+GJ8</f>
        <v>0</v>
      </c>
      <c r="S8" s="34">
        <f t="shared" si="3"/>
        <v>0</v>
      </c>
      <c r="U8" s="35"/>
      <c r="V8" s="35">
        <f aca="true" t="shared" si="4" ref="V8:V29">$D8*V$6</f>
        <v>0</v>
      </c>
      <c r="W8" s="5">
        <f aca="true" t="shared" si="5" ref="W8:W29">U8+V8</f>
        <v>0</v>
      </c>
      <c r="X8" s="35">
        <f aca="true" t="shared" si="6" ref="X8:X29">$F8*V$6</f>
        <v>0</v>
      </c>
      <c r="Y8" s="35">
        <f>$G8*V$6</f>
        <v>0</v>
      </c>
      <c r="AA8" s="35"/>
      <c r="AB8" s="35">
        <f aca="true" t="shared" si="7" ref="AB8:AB29">$D8*AB$6</f>
        <v>0</v>
      </c>
      <c r="AC8" s="5">
        <f aca="true" t="shared" si="8" ref="AC8:AC29">AA8+AB8</f>
        <v>0</v>
      </c>
      <c r="AD8" s="35">
        <f aca="true" t="shared" si="9" ref="AD8:AD29">$F8*AB$6</f>
        <v>0</v>
      </c>
      <c r="AE8" s="35">
        <f>$G8*AB$6</f>
        <v>0</v>
      </c>
      <c r="AG8" s="35"/>
      <c r="AH8" s="35">
        <f aca="true" t="shared" si="10" ref="AH8:AH29">$D8*AH$6</f>
        <v>0</v>
      </c>
      <c r="AI8" s="35">
        <f aca="true" t="shared" si="11" ref="AI8:AI29">AG8+AH8</f>
        <v>0</v>
      </c>
      <c r="AJ8" s="35">
        <f aca="true" t="shared" si="12" ref="AJ8:AJ29">$F8*AH$6</f>
        <v>0</v>
      </c>
      <c r="AK8" s="35">
        <f>$G8*AH$6</f>
        <v>0</v>
      </c>
      <c r="AM8" s="35"/>
      <c r="AN8" s="35">
        <f aca="true" t="shared" si="13" ref="AN8:AN29">$D8*AN$6</f>
        <v>0</v>
      </c>
      <c r="AO8" s="5">
        <f aca="true" t="shared" si="14" ref="AO8:AO29">AM8+AN8</f>
        <v>0</v>
      </c>
      <c r="AP8" s="35">
        <f aca="true" t="shared" si="15" ref="AP8:AP29">$F8*AN$6</f>
        <v>0</v>
      </c>
      <c r="AQ8" s="35">
        <f>$G8*AN$6</f>
        <v>0</v>
      </c>
      <c r="AS8" s="35"/>
      <c r="AT8" s="35">
        <f aca="true" t="shared" si="16" ref="AT8:AT29">$D8*AT$6</f>
        <v>0</v>
      </c>
      <c r="AU8" s="5">
        <f aca="true" t="shared" si="17" ref="AU8:AU29">AS8+AT8</f>
        <v>0</v>
      </c>
      <c r="AV8" s="35">
        <f aca="true" t="shared" si="18" ref="AV8:AV29">$F8*AT$6</f>
        <v>0</v>
      </c>
      <c r="AW8" s="35">
        <f>$G8*AT$6</f>
        <v>0</v>
      </c>
      <c r="AY8" s="35"/>
      <c r="AZ8" s="35">
        <f aca="true" t="shared" si="19" ref="AZ8:AZ29">$D8*AZ$6</f>
        <v>0</v>
      </c>
      <c r="BA8" s="5">
        <f aca="true" t="shared" si="20" ref="BA8:BA29">AY8+AZ8</f>
        <v>0</v>
      </c>
      <c r="BB8" s="35">
        <f aca="true" t="shared" si="21" ref="BB8:BB29">$F8*AZ$6</f>
        <v>0</v>
      </c>
      <c r="BC8" s="35">
        <f>$G8*AZ$6</f>
        <v>0</v>
      </c>
      <c r="BE8" s="35"/>
      <c r="BF8" s="35">
        <f aca="true" t="shared" si="22" ref="BF8:BF29">$D8*BF$6</f>
        <v>0</v>
      </c>
      <c r="BG8" s="5">
        <f aca="true" t="shared" si="23" ref="BG8:BG29">BE8+BF8</f>
        <v>0</v>
      </c>
      <c r="BH8" s="35">
        <f aca="true" t="shared" si="24" ref="BH8:BH29">$F8*BF$6</f>
        <v>0</v>
      </c>
      <c r="BI8" s="35">
        <f>$G8*BF$6</f>
        <v>0</v>
      </c>
      <c r="BJ8" s="5"/>
      <c r="BK8" s="35"/>
      <c r="BL8" s="35">
        <f aca="true" t="shared" si="25" ref="BL8:BL29">$D8*BL$6</f>
        <v>0</v>
      </c>
      <c r="BM8" s="5">
        <f aca="true" t="shared" si="26" ref="BM8:BM29">BK8+BL8</f>
        <v>0</v>
      </c>
      <c r="BN8" s="35">
        <f aca="true" t="shared" si="27" ref="BN8:BN29">$F8*BL$6</f>
        <v>0</v>
      </c>
      <c r="BO8" s="35">
        <f>$G8*BL$6</f>
        <v>0</v>
      </c>
      <c r="BP8" s="5"/>
      <c r="BQ8" s="35"/>
      <c r="BR8" s="35">
        <f aca="true" t="shared" si="28" ref="BR8:BR29">$D8*BR$6</f>
        <v>0</v>
      </c>
      <c r="BS8" s="5">
        <f aca="true" t="shared" si="29" ref="BS8:BS29">BQ8+BR8</f>
        <v>0</v>
      </c>
      <c r="BT8" s="35">
        <f aca="true" t="shared" si="30" ref="BT8:BT29">$F8*BR$6</f>
        <v>0</v>
      </c>
      <c r="BU8" s="35">
        <f>$G8*BR$6</f>
        <v>0</v>
      </c>
      <c r="BV8" s="5"/>
      <c r="BW8" s="35"/>
      <c r="BX8" s="35">
        <f aca="true" t="shared" si="31" ref="BX8:BX29">$D8*BX$6</f>
        <v>0</v>
      </c>
      <c r="BY8" s="5">
        <f aca="true" t="shared" si="32" ref="BY8:BY29">BW8+BX8</f>
        <v>0</v>
      </c>
      <c r="BZ8" s="35">
        <f aca="true" t="shared" si="33" ref="BZ8:BZ29">$F8*BX$6</f>
        <v>0</v>
      </c>
      <c r="CA8" s="35">
        <f>$G8*BX$6</f>
        <v>0</v>
      </c>
      <c r="CB8" s="5"/>
      <c r="CC8" s="35"/>
      <c r="CD8" s="35">
        <f aca="true" t="shared" si="34" ref="CD8:CD29">$D8*CD$6</f>
        <v>0</v>
      </c>
      <c r="CE8" s="5">
        <f aca="true" t="shared" si="35" ref="CE8:CE29">CC8+CD8</f>
        <v>0</v>
      </c>
      <c r="CF8" s="35">
        <f aca="true" t="shared" si="36" ref="CF8:CF29">$F8*CD$6</f>
        <v>0</v>
      </c>
      <c r="CG8" s="35">
        <f>$G8*CD$6</f>
        <v>0</v>
      </c>
      <c r="CH8" s="5"/>
      <c r="CI8" s="35"/>
      <c r="CJ8" s="35">
        <f aca="true" t="shared" si="37" ref="CJ8:CJ29">$D8*CJ$6</f>
        <v>0</v>
      </c>
      <c r="CK8" s="5">
        <f aca="true" t="shared" si="38" ref="CK8:CK29">CI8+CJ8</f>
        <v>0</v>
      </c>
      <c r="CL8" s="35">
        <f aca="true" t="shared" si="39" ref="CL8:CL29">$F8*CJ$6</f>
        <v>0</v>
      </c>
      <c r="CM8" s="35">
        <f>$G8*CJ$6</f>
        <v>0</v>
      </c>
      <c r="CN8" s="5"/>
      <c r="CO8" s="35"/>
      <c r="CP8" s="35">
        <f aca="true" t="shared" si="40" ref="CP8:CP29">$D8*CP$6</f>
        <v>0</v>
      </c>
      <c r="CQ8" s="5">
        <f aca="true" t="shared" si="41" ref="CQ8:CQ29">CO8+CP8</f>
        <v>0</v>
      </c>
      <c r="CR8" s="35">
        <f aca="true" t="shared" si="42" ref="CR8:CR29">$F8*CP$6</f>
        <v>0</v>
      </c>
      <c r="CS8" s="35">
        <f>$G8*CP$6</f>
        <v>0</v>
      </c>
      <c r="CT8" s="5"/>
      <c r="CU8" s="35"/>
      <c r="CV8" s="35">
        <f aca="true" t="shared" si="43" ref="CV8:CV29">$D8*CV$6</f>
        <v>0</v>
      </c>
      <c r="CW8" s="5">
        <f aca="true" t="shared" si="44" ref="CW8:CW29">CU8+CV8</f>
        <v>0</v>
      </c>
      <c r="CX8" s="35">
        <f aca="true" t="shared" si="45" ref="CX8:CX29">$F8*CV$6</f>
        <v>0</v>
      </c>
      <c r="CY8" s="35">
        <f>$G8*CV$6</f>
        <v>0</v>
      </c>
      <c r="CZ8" s="5"/>
      <c r="DA8" s="35"/>
      <c r="DB8" s="35">
        <f aca="true" t="shared" si="46" ref="DB8:DB29">$D8*DB$6</f>
        <v>0</v>
      </c>
      <c r="DC8" s="5">
        <f aca="true" t="shared" si="47" ref="DC8:DC29">DA8+DB8</f>
        <v>0</v>
      </c>
      <c r="DD8" s="35">
        <f aca="true" t="shared" si="48" ref="DD8:DD29">$F8*DB$6</f>
        <v>0</v>
      </c>
      <c r="DE8" s="35">
        <f>$G8*DB$6</f>
        <v>0</v>
      </c>
      <c r="DF8" s="5"/>
      <c r="DG8" s="35"/>
      <c r="DH8" s="35">
        <f aca="true" t="shared" si="49" ref="DH8:DH29">$D8*DH$6</f>
        <v>0</v>
      </c>
      <c r="DI8" s="35">
        <f aca="true" t="shared" si="50" ref="DI8:DI29">DG8+DH8</f>
        <v>0</v>
      </c>
      <c r="DJ8" s="35">
        <f aca="true" t="shared" si="51" ref="DJ8:DJ29">$F8*DH$6</f>
        <v>0</v>
      </c>
      <c r="DK8" s="35">
        <f>$G8*DH$6</f>
        <v>0</v>
      </c>
      <c r="DL8" s="5"/>
      <c r="DM8" s="35"/>
      <c r="DN8" s="35">
        <f aca="true" t="shared" si="52" ref="DN8:DN29">$D8*DN$6</f>
        <v>0</v>
      </c>
      <c r="DO8" s="35">
        <f aca="true" t="shared" si="53" ref="DO8:DO29">DM8+DN8</f>
        <v>0</v>
      </c>
      <c r="DP8" s="35">
        <f aca="true" t="shared" si="54" ref="DP8:DP29">$F8*DN$6</f>
        <v>0</v>
      </c>
      <c r="DQ8" s="35">
        <f>$G8*DN$6</f>
        <v>0</v>
      </c>
      <c r="DR8" s="5"/>
      <c r="DS8" s="35"/>
      <c r="DT8" s="35">
        <f aca="true" t="shared" si="55" ref="DT8:DT29">$D8*DT$6</f>
        <v>0</v>
      </c>
      <c r="DU8" s="5">
        <f aca="true" t="shared" si="56" ref="DU8:DU29">DS8+DT8</f>
        <v>0</v>
      </c>
      <c r="DV8" s="35">
        <f aca="true" t="shared" si="57" ref="DV8:DV29">$F8*DT$6</f>
        <v>0</v>
      </c>
      <c r="DW8" s="35">
        <f>$G8*DT$6</f>
        <v>0</v>
      </c>
      <c r="DX8" s="5"/>
      <c r="DY8" s="35"/>
      <c r="DZ8" s="35">
        <f aca="true" t="shared" si="58" ref="DZ8:DZ29">$D8*DZ$6</f>
        <v>0</v>
      </c>
      <c r="EA8" s="35">
        <f aca="true" t="shared" si="59" ref="EA8:EA29">DY8+DZ8</f>
        <v>0</v>
      </c>
      <c r="EB8" s="35">
        <f aca="true" t="shared" si="60" ref="EB8:EB29">$F8*DZ$6</f>
        <v>0</v>
      </c>
      <c r="EC8" s="35">
        <f>$G8*DZ$6</f>
        <v>0</v>
      </c>
      <c r="ED8" s="5"/>
      <c r="EE8" s="35"/>
      <c r="EF8" s="35">
        <f aca="true" t="shared" si="61" ref="EF8:EF29">$D8*EF$6</f>
        <v>0</v>
      </c>
      <c r="EG8" s="5">
        <f aca="true" t="shared" si="62" ref="EG8:EG29">EE8+EF8</f>
        <v>0</v>
      </c>
      <c r="EH8" s="35">
        <f aca="true" t="shared" si="63" ref="EH8:EH29">$F8*EF$6</f>
        <v>0</v>
      </c>
      <c r="EI8" s="35">
        <f>$G8*EF$6</f>
        <v>0</v>
      </c>
      <c r="EJ8" s="5"/>
      <c r="EK8" s="35"/>
      <c r="EL8" s="35">
        <f aca="true" t="shared" si="64" ref="EL8:EL29">$D8*EL$6</f>
        <v>0</v>
      </c>
      <c r="EM8" s="5">
        <f aca="true" t="shared" si="65" ref="EM8:EM29">EK8+EL8</f>
        <v>0</v>
      </c>
      <c r="EN8" s="35">
        <f aca="true" t="shared" si="66" ref="EN8:EN29">$F8*EL$6</f>
        <v>0</v>
      </c>
      <c r="EO8" s="35">
        <f>$G8*EL$6</f>
        <v>0</v>
      </c>
      <c r="EP8" s="5"/>
      <c r="EQ8" s="35"/>
      <c r="ER8" s="35">
        <f aca="true" t="shared" si="67" ref="ER8:ER29">$D8*ER$6</f>
        <v>0</v>
      </c>
      <c r="ES8" s="5">
        <f aca="true" t="shared" si="68" ref="ES8:ES29">EQ8+ER8</f>
        <v>0</v>
      </c>
      <c r="ET8" s="35">
        <f aca="true" t="shared" si="69" ref="ET8:ET29">$F8*ER$6</f>
        <v>0</v>
      </c>
      <c r="EU8" s="35">
        <f>$G8*ER$6</f>
        <v>0</v>
      </c>
      <c r="EV8" s="5"/>
      <c r="EW8" s="35"/>
      <c r="EX8" s="35">
        <f aca="true" t="shared" si="70" ref="EX8:EX29">$D8*EX$6</f>
        <v>0</v>
      </c>
      <c r="EY8" s="5">
        <f aca="true" t="shared" si="71" ref="EY8:EY29">EW8+EX8</f>
        <v>0</v>
      </c>
      <c r="EZ8" s="35">
        <f aca="true" t="shared" si="72" ref="EZ8:EZ29">$F8*EX$6</f>
        <v>0</v>
      </c>
      <c r="FA8" s="35">
        <f>$G8*EX$6</f>
        <v>0</v>
      </c>
      <c r="FB8" s="5"/>
      <c r="FC8" s="35"/>
      <c r="FD8" s="35">
        <f aca="true" t="shared" si="73" ref="FD8:FD29">$D8*FD$6</f>
        <v>0</v>
      </c>
      <c r="FE8" s="5">
        <f aca="true" t="shared" si="74" ref="FE8:FE29">FC8+FD8</f>
        <v>0</v>
      </c>
      <c r="FF8" s="35">
        <f aca="true" t="shared" si="75" ref="FF8:FF29">$F8*FD$6</f>
        <v>0</v>
      </c>
      <c r="FG8" s="35">
        <f>$G8*FD$6</f>
        <v>0</v>
      </c>
      <c r="FH8" s="5"/>
      <c r="FI8" s="35"/>
      <c r="FJ8" s="35">
        <f aca="true" t="shared" si="76" ref="FJ8:FJ29">$D8*FJ$6</f>
        <v>0</v>
      </c>
      <c r="FK8" s="5">
        <f aca="true" t="shared" si="77" ref="FK8:FK29">FI8+FJ8</f>
        <v>0</v>
      </c>
      <c r="FL8" s="35">
        <f aca="true" t="shared" si="78" ref="FL8:FL29">$F8*FJ$6</f>
        <v>0</v>
      </c>
      <c r="FM8" s="35">
        <f>$G8*FJ$6</f>
        <v>0</v>
      </c>
      <c r="FN8" s="5"/>
      <c r="FO8" s="35"/>
      <c r="FP8" s="35">
        <f aca="true" t="shared" si="79" ref="FP8:FP29">$D8*FP$6</f>
        <v>0</v>
      </c>
      <c r="FQ8" s="35">
        <f aca="true" t="shared" si="80" ref="FQ8:FQ29">FO8+FP8</f>
        <v>0</v>
      </c>
      <c r="FR8" s="35">
        <f aca="true" t="shared" si="81" ref="FR8:FR29">$F8*FP$6</f>
        <v>0</v>
      </c>
      <c r="FS8" s="35">
        <f>$G8*FP$6</f>
        <v>0</v>
      </c>
      <c r="FT8" s="5"/>
      <c r="FU8" s="35"/>
      <c r="FV8" s="35">
        <f aca="true" t="shared" si="82" ref="FV8:FV29">$D8*FV$6</f>
        <v>0</v>
      </c>
      <c r="FW8" s="35">
        <f aca="true" t="shared" si="83" ref="FW8:FW29">FU8+FV8</f>
        <v>0</v>
      </c>
      <c r="FX8" s="35">
        <f aca="true" t="shared" si="84" ref="FX8:FX29">$F8*FV$6</f>
        <v>0</v>
      </c>
      <c r="FY8" s="35">
        <f>$G8*FV$6</f>
        <v>0</v>
      </c>
      <c r="FZ8" s="5"/>
      <c r="GA8" s="35"/>
      <c r="GB8" s="35">
        <f aca="true" t="shared" si="85" ref="GB8:GB29">$D8*GB$6</f>
        <v>0</v>
      </c>
      <c r="GC8" s="5">
        <f aca="true" t="shared" si="86" ref="GC8:GC29">GA8+GB8</f>
        <v>0</v>
      </c>
      <c r="GD8" s="35">
        <f aca="true" t="shared" si="87" ref="GD8:GD29">$F8*GB$6</f>
        <v>0</v>
      </c>
      <c r="GE8" s="35">
        <f>$G8*GB$6</f>
        <v>0</v>
      </c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ht="12.75">
      <c r="A9" s="36">
        <v>43922</v>
      </c>
      <c r="D9" s="3">
        <v>1205938</v>
      </c>
      <c r="E9" s="34">
        <f t="shared" si="0"/>
        <v>1205938</v>
      </c>
      <c r="F9" s="34">
        <v>522679</v>
      </c>
      <c r="G9" s="34">
        <v>5425</v>
      </c>
      <c r="I9" s="35">
        <f>'2019C Academic'!I9</f>
        <v>0</v>
      </c>
      <c r="J9" s="35">
        <f>'2019C Academic'!J9</f>
        <v>269202.74567800004</v>
      </c>
      <c r="K9" s="35">
        <f aca="true" t="shared" si="88" ref="K9:K29">I9+J9</f>
        <v>269202.74567800004</v>
      </c>
      <c r="L9" s="35">
        <f>'2019C Academic'!L9</f>
        <v>116678.15584899997</v>
      </c>
      <c r="M9" s="35">
        <f>'2019C Academic'!M9</f>
        <v>1211.0281750000001</v>
      </c>
      <c r="O9" s="35">
        <f>U9+AA9+AG9+AM9+AS9+AY9+BE9+BK9+BQ9+BW9+CC9+CI9+CO9+CU9+DG9+DM9+DS9+DY9+EE9+EK9+EQ9+EW9+FC9+FI9+DA9+FO9+FU9+GA9+GG9</f>
        <v>0</v>
      </c>
      <c r="P9" s="34">
        <f t="shared" si="1"/>
        <v>936735.2543219998</v>
      </c>
      <c r="Q9" s="5">
        <f t="shared" si="2"/>
        <v>936735.2543219998</v>
      </c>
      <c r="R9" s="34">
        <f t="shared" si="3"/>
        <v>406000.84415099997</v>
      </c>
      <c r="S9" s="34">
        <f t="shared" si="3"/>
        <v>4223.4732675000005</v>
      </c>
      <c r="U9" s="35">
        <f aca="true" t="shared" si="89" ref="U9:U29">$C9*V$6</f>
        <v>0</v>
      </c>
      <c r="V9" s="35">
        <f t="shared" si="4"/>
        <v>261.9297336</v>
      </c>
      <c r="W9" s="5">
        <f t="shared" si="5"/>
        <v>261.9297336</v>
      </c>
      <c r="X9" s="35">
        <f t="shared" si="6"/>
        <v>113.5258788</v>
      </c>
      <c r="Y9" s="35">
        <f aca="true" t="shared" si="90" ref="Y9:Y29">$G9*V$6</f>
        <v>1.17831</v>
      </c>
      <c r="AA9" s="35">
        <f aca="true" t="shared" si="91" ref="AA9:AA29">$C9*AB$6</f>
        <v>0</v>
      </c>
      <c r="AB9" s="35">
        <f t="shared" si="7"/>
        <v>27874.653900999998</v>
      </c>
      <c r="AC9" s="5">
        <f t="shared" si="8"/>
        <v>27874.653900999998</v>
      </c>
      <c r="AD9" s="35">
        <f t="shared" si="9"/>
        <v>12081.4637455</v>
      </c>
      <c r="AE9" s="35">
        <f aca="true" t="shared" si="92" ref="AE9:AE29">$G9*AB$6</f>
        <v>125.3961625</v>
      </c>
      <c r="AG9" s="35">
        <f aca="true" t="shared" si="93" ref="AG9:AG29">$C9*AH$6</f>
        <v>0</v>
      </c>
      <c r="AH9" s="35">
        <f t="shared" si="10"/>
        <v>1710.3818654</v>
      </c>
      <c r="AI9" s="35">
        <f t="shared" si="11"/>
        <v>1710.3818654</v>
      </c>
      <c r="AJ9" s="35">
        <f t="shared" si="12"/>
        <v>741.3156256999999</v>
      </c>
      <c r="AK9" s="35">
        <f aca="true" t="shared" si="94" ref="AK9:AK29">$G9*AH$6</f>
        <v>7.6942775</v>
      </c>
      <c r="AM9" s="35">
        <f aca="true" t="shared" si="95" ref="AM9:AM29">$C9*AN$6</f>
        <v>0</v>
      </c>
      <c r="AN9" s="35">
        <f t="shared" si="13"/>
        <v>12370.3914102</v>
      </c>
      <c r="AO9" s="5">
        <f t="shared" si="14"/>
        <v>12370.3914102</v>
      </c>
      <c r="AP9" s="35">
        <f t="shared" si="15"/>
        <v>5361.5889141</v>
      </c>
      <c r="AQ9" s="35">
        <f aca="true" t="shared" si="96" ref="AQ9:AQ29">$G9*AN$6</f>
        <v>55.6491075</v>
      </c>
      <c r="AS9" s="35">
        <f aca="true" t="shared" si="97" ref="AS9:AS29">$C9*AT$6</f>
        <v>0</v>
      </c>
      <c r="AT9" s="35">
        <f t="shared" si="16"/>
        <v>9784.498556800001</v>
      </c>
      <c r="AU9" s="5">
        <f t="shared" si="17"/>
        <v>9784.498556800001</v>
      </c>
      <c r="AV9" s="35">
        <f t="shared" si="18"/>
        <v>4240.808334400001</v>
      </c>
      <c r="AW9" s="35">
        <f aca="true" t="shared" si="98" ref="AW9:AW29">$G9*AT$6</f>
        <v>44.01628</v>
      </c>
      <c r="AY9" s="35">
        <f aca="true" t="shared" si="99" ref="AY9:AY29">$C9*AZ$6</f>
        <v>0</v>
      </c>
      <c r="AZ9" s="35">
        <f t="shared" si="19"/>
        <v>2610.1322072</v>
      </c>
      <c r="BA9" s="5">
        <f t="shared" si="20"/>
        <v>2610.1322072</v>
      </c>
      <c r="BB9" s="35">
        <f t="shared" si="21"/>
        <v>1131.2864276</v>
      </c>
      <c r="BC9" s="35">
        <f aca="true" t="shared" si="100" ref="BC9:BC29">$G9*AZ$6</f>
        <v>11.741869999999999</v>
      </c>
      <c r="BE9" s="35">
        <f aca="true" t="shared" si="101" ref="BE9:BE29">$C9*BF$6</f>
        <v>0</v>
      </c>
      <c r="BF9" s="35">
        <f t="shared" si="22"/>
        <v>29513.1618616</v>
      </c>
      <c r="BG9" s="5">
        <f t="shared" si="23"/>
        <v>29513.1618616</v>
      </c>
      <c r="BH9" s="35">
        <f t="shared" si="24"/>
        <v>12791.6277028</v>
      </c>
      <c r="BI9" s="35">
        <f aca="true" t="shared" si="102" ref="BI9:BI29">$G9*BF$6</f>
        <v>132.76711</v>
      </c>
      <c r="BJ9" s="5"/>
      <c r="BK9" s="35">
        <f aca="true" t="shared" si="103" ref="BK9:BK29">$C9*BL$6</f>
        <v>0</v>
      </c>
      <c r="BL9" s="35">
        <f t="shared" si="25"/>
        <v>518.9151214</v>
      </c>
      <c r="BM9" s="5">
        <f t="shared" si="26"/>
        <v>518.9151214</v>
      </c>
      <c r="BN9" s="35">
        <f t="shared" si="27"/>
        <v>224.9087737</v>
      </c>
      <c r="BO9" s="35">
        <f aca="true" t="shared" si="104" ref="BO9:BO29">$G9*BL$6</f>
        <v>2.3343775</v>
      </c>
      <c r="BP9" s="5"/>
      <c r="BQ9" s="35">
        <f aca="true" t="shared" si="105" ref="BQ9:BQ29">$C9*BR$6</f>
        <v>0</v>
      </c>
      <c r="BR9" s="35">
        <f t="shared" si="28"/>
        <v>110.8257022</v>
      </c>
      <c r="BS9" s="5">
        <f t="shared" si="29"/>
        <v>110.8257022</v>
      </c>
      <c r="BT9" s="35">
        <f t="shared" si="30"/>
        <v>48.0342001</v>
      </c>
      <c r="BU9" s="35">
        <v>10</v>
      </c>
      <c r="BV9" s="5"/>
      <c r="BW9" s="35">
        <f aca="true" t="shared" si="106" ref="BW9:BW29">$C9*BX$6</f>
        <v>0</v>
      </c>
      <c r="BX9" s="35">
        <f t="shared" si="31"/>
        <v>105994.714572</v>
      </c>
      <c r="BY9" s="5">
        <f t="shared" si="32"/>
        <v>105994.714572</v>
      </c>
      <c r="BZ9" s="35">
        <f t="shared" si="33"/>
        <v>45940.348026</v>
      </c>
      <c r="CA9" s="35">
        <f aca="true" t="shared" si="107" ref="CA9:CA29">$G9*BX$6</f>
        <v>476.82495</v>
      </c>
      <c r="CB9" s="5"/>
      <c r="CC9" s="35">
        <f aca="true" t="shared" si="108" ref="CC9:CC29">$C9*CD$6</f>
        <v>0</v>
      </c>
      <c r="CD9" s="35">
        <f t="shared" si="34"/>
        <v>204.406491</v>
      </c>
      <c r="CE9" s="5">
        <f t="shared" si="35"/>
        <v>204.406491</v>
      </c>
      <c r="CF9" s="35">
        <f t="shared" si="36"/>
        <v>88.5940905</v>
      </c>
      <c r="CG9" s="35">
        <f aca="true" t="shared" si="109" ref="CG9:CG29">$G9*CD$6</f>
        <v>0.9195375</v>
      </c>
      <c r="CH9" s="5"/>
      <c r="CI9" s="35">
        <f aca="true" t="shared" si="110" ref="CI9:CI29">$C9*CJ$6</f>
        <v>0</v>
      </c>
      <c r="CJ9" s="35">
        <f t="shared" si="37"/>
        <v>121.43795659999999</v>
      </c>
      <c r="CK9" s="5">
        <f t="shared" si="38"/>
        <v>121.43795659999999</v>
      </c>
      <c r="CL9" s="35">
        <f t="shared" si="39"/>
        <v>52.633775299999996</v>
      </c>
      <c r="CM9" s="35">
        <f aca="true" t="shared" si="111" ref="CM9:CM29">$G9*CJ$6</f>
        <v>0.5462975</v>
      </c>
      <c r="CN9" s="5"/>
      <c r="CO9" s="35">
        <f aca="true" t="shared" si="112" ref="CO9:CO29">$C9*CP$6</f>
        <v>0</v>
      </c>
      <c r="CP9" s="35">
        <f t="shared" si="40"/>
        <v>7577.1496416</v>
      </c>
      <c r="CQ9" s="5">
        <f t="shared" si="41"/>
        <v>7577.1496416</v>
      </c>
      <c r="CR9" s="35">
        <f t="shared" si="42"/>
        <v>3284.0966928000003</v>
      </c>
      <c r="CS9" s="35">
        <f aca="true" t="shared" si="113" ref="CS9:CS29">$G9*CP$6</f>
        <v>34.08636</v>
      </c>
      <c r="CT9" s="5"/>
      <c r="CU9" s="35">
        <f aca="true" t="shared" si="114" ref="CU9:CU29">$C9*CV$6</f>
        <v>0</v>
      </c>
      <c r="CV9" s="35">
        <f t="shared" si="43"/>
        <v>800.3810506000001</v>
      </c>
      <c r="CW9" s="5">
        <f t="shared" si="44"/>
        <v>800.3810506000001</v>
      </c>
      <c r="CX9" s="35">
        <f t="shared" si="45"/>
        <v>346.90205230000004</v>
      </c>
      <c r="CY9" s="35">
        <f aca="true" t="shared" si="115" ref="CY9:CY29">$G9*CV$6</f>
        <v>3.6005725</v>
      </c>
      <c r="CZ9" s="5"/>
      <c r="DA9" s="35">
        <f>$C9*DB$6</f>
        <v>0</v>
      </c>
      <c r="DB9" s="35">
        <f t="shared" si="46"/>
        <v>2186.4861878</v>
      </c>
      <c r="DC9" s="5">
        <f t="shared" si="47"/>
        <v>2186.4861878</v>
      </c>
      <c r="DD9" s="35">
        <f t="shared" si="48"/>
        <v>947.6692949</v>
      </c>
      <c r="DE9" s="35">
        <f aca="true" t="shared" si="116" ref="DE9:DE29">$G9*DB$6</f>
        <v>9.8360675</v>
      </c>
      <c r="DF9" s="5"/>
      <c r="DG9" s="35">
        <f aca="true" t="shared" si="117" ref="DG9:DG29">$C9*DH$6</f>
        <v>0</v>
      </c>
      <c r="DH9" s="35">
        <f t="shared" si="49"/>
        <v>21387.4310238</v>
      </c>
      <c r="DI9" s="35">
        <f t="shared" si="50"/>
        <v>21387.4310238</v>
      </c>
      <c r="DJ9" s="35">
        <f t="shared" si="51"/>
        <v>9269.7643329</v>
      </c>
      <c r="DK9" s="35">
        <f aca="true" t="shared" si="118" ref="DK9:DK29">$G9*DH$6</f>
        <v>96.2129175</v>
      </c>
      <c r="DL9" s="5"/>
      <c r="DM9" s="35">
        <f aca="true" t="shared" si="119" ref="DM9:DM29">$C9*DN$6</f>
        <v>0</v>
      </c>
      <c r="DN9" s="35">
        <f t="shared" si="52"/>
        <v>2953.5833496</v>
      </c>
      <c r="DO9" s="35">
        <f t="shared" si="53"/>
        <v>2953.5833496</v>
      </c>
      <c r="DP9" s="35">
        <f t="shared" si="54"/>
        <v>1280.1454068</v>
      </c>
      <c r="DQ9" s="35">
        <f aca="true" t="shared" si="120" ref="DQ9:DQ29">$G9*DN$6</f>
        <v>13.286909999999999</v>
      </c>
      <c r="DR9" s="5"/>
      <c r="DS9" s="35">
        <f aca="true" t="shared" si="121" ref="DS9:DS29">$C9*DT$6</f>
        <v>0</v>
      </c>
      <c r="DT9" s="35">
        <f t="shared" si="55"/>
        <v>11798.897391999999</v>
      </c>
      <c r="DU9" s="5">
        <f t="shared" si="56"/>
        <v>11798.897391999999</v>
      </c>
      <c r="DV9" s="35">
        <f t="shared" si="57"/>
        <v>5113.891336</v>
      </c>
      <c r="DW9" s="35">
        <f aca="true" t="shared" si="122" ref="DW9:DW29">$G9*DT$6</f>
        <v>53.078199999999995</v>
      </c>
      <c r="DX9" s="5"/>
      <c r="DY9" s="35">
        <f aca="true" t="shared" si="123" ref="DY9:DY29">$C9*DZ$6</f>
        <v>0</v>
      </c>
      <c r="DZ9" s="35">
        <f t="shared" si="58"/>
        <v>94877.17215</v>
      </c>
      <c r="EA9" s="35">
        <f t="shared" si="59"/>
        <v>94877.17215</v>
      </c>
      <c r="EB9" s="35">
        <f t="shared" si="60"/>
        <v>41121.770325</v>
      </c>
      <c r="EC9" s="35">
        <f aca="true" t="shared" si="124" ref="EC9:EC29">$G9*DZ$6</f>
        <v>426.811875</v>
      </c>
      <c r="ED9" s="5"/>
      <c r="EE9" s="35">
        <f aca="true" t="shared" si="125" ref="EE9:EE29">$C9*EF$6</f>
        <v>0</v>
      </c>
      <c r="EF9" s="35">
        <f t="shared" si="61"/>
        <v>141738.113923</v>
      </c>
      <c r="EG9" s="5">
        <f t="shared" si="62"/>
        <v>141738.113923</v>
      </c>
      <c r="EH9" s="35">
        <f t="shared" si="63"/>
        <v>61432.2922465</v>
      </c>
      <c r="EI9" s="35">
        <f aca="true" t="shared" si="126" ref="EI9:EI29">$G9*EF$6</f>
        <v>637.6192374999999</v>
      </c>
      <c r="EJ9" s="5"/>
      <c r="EK9" s="35">
        <f aca="true" t="shared" si="127" ref="EK9:EK29">$C9*EL$6</f>
        <v>0</v>
      </c>
      <c r="EL9" s="35">
        <f t="shared" si="64"/>
        <v>1181.3368648</v>
      </c>
      <c r="EM9" s="5">
        <f t="shared" si="65"/>
        <v>1181.3368648</v>
      </c>
      <c r="EN9" s="35">
        <f t="shared" si="66"/>
        <v>512.0163484</v>
      </c>
      <c r="EO9" s="35">
        <f aca="true" t="shared" si="128" ref="EO9:EO29">$G9*EL$6</f>
        <v>5.31433</v>
      </c>
      <c r="EP9" s="5"/>
      <c r="EQ9" s="35">
        <f aca="true" t="shared" si="129" ref="EQ9:EQ29">$C9*ER$6</f>
        <v>0</v>
      </c>
      <c r="ER9" s="35">
        <f t="shared" si="67"/>
        <v>45297.8049374</v>
      </c>
      <c r="ES9" s="5">
        <f t="shared" si="68"/>
        <v>45297.8049374</v>
      </c>
      <c r="ET9" s="35">
        <f t="shared" si="69"/>
        <v>19633.0254017</v>
      </c>
      <c r="EU9" s="35">
        <f aca="true" t="shared" si="130" ref="EU9:EU29">$G9*ER$6</f>
        <v>203.7754775</v>
      </c>
      <c r="EV9" s="5"/>
      <c r="EW9" s="35">
        <f aca="true" t="shared" si="131" ref="EW9:EW29">$C9*EX$6</f>
        <v>0</v>
      </c>
      <c r="EX9" s="35">
        <f t="shared" si="70"/>
        <v>75578.66692979999</v>
      </c>
      <c r="EY9" s="5">
        <f t="shared" si="71"/>
        <v>75578.66692979999</v>
      </c>
      <c r="EZ9" s="35">
        <f t="shared" si="72"/>
        <v>32757.390555899998</v>
      </c>
      <c r="FA9" s="35">
        <f aca="true" t="shared" si="132" ref="FA9:FA29">$G9*EX$6</f>
        <v>339.99614249999996</v>
      </c>
      <c r="FB9" s="5"/>
      <c r="FC9" s="35">
        <f aca="true" t="shared" si="133" ref="FC9:FC29">$C9*FD$6</f>
        <v>0</v>
      </c>
      <c r="FD9" s="35">
        <f t="shared" si="73"/>
        <v>64705.9299218</v>
      </c>
      <c r="FE9" s="5">
        <f t="shared" si="74"/>
        <v>64705.9299218</v>
      </c>
      <c r="FF9" s="35">
        <f t="shared" si="75"/>
        <v>28044.916691899998</v>
      </c>
      <c r="FG9" s="35">
        <f aca="true" t="shared" si="134" ref="FG9:FG29">$G9*FD$6</f>
        <v>291.0843425</v>
      </c>
      <c r="FH9" s="5"/>
      <c r="FI9" s="35">
        <f aca="true" t="shared" si="135" ref="FI9:FI29">$C9*FJ$6</f>
        <v>0</v>
      </c>
      <c r="FJ9" s="35">
        <f t="shared" si="76"/>
        <v>64161.8106962</v>
      </c>
      <c r="FK9" s="5">
        <f t="shared" si="77"/>
        <v>64161.8106962</v>
      </c>
      <c r="FL9" s="35">
        <f t="shared" si="78"/>
        <v>27809.0839271</v>
      </c>
      <c r="FM9" s="35">
        <f aca="true" t="shared" si="136" ref="FM9:FM29">$G9*FJ$6</f>
        <v>288.6365825</v>
      </c>
      <c r="FN9" s="5"/>
      <c r="FO9" s="35">
        <f aca="true" t="shared" si="137" ref="FO9:FO29">$C9*FP$6</f>
        <v>0</v>
      </c>
      <c r="FP9" s="35">
        <f t="shared" si="79"/>
        <v>93031.6046348</v>
      </c>
      <c r="FQ9" s="35">
        <f t="shared" si="80"/>
        <v>93031.6046348</v>
      </c>
      <c r="FR9" s="35">
        <f t="shared" si="81"/>
        <v>40321.862383399995</v>
      </c>
      <c r="FS9" s="35">
        <f aca="true" t="shared" si="138" ref="FS9:FS29">$G9*FP$6</f>
        <v>418.50945499999995</v>
      </c>
      <c r="FT9" s="5"/>
      <c r="FU9" s="35">
        <f aca="true" t="shared" si="139" ref="FU9:FU29">$C9*FV$6</f>
        <v>0</v>
      </c>
      <c r="FV9" s="35">
        <f t="shared" si="82"/>
        <v>117839.6787956</v>
      </c>
      <c r="FW9" s="35">
        <f t="shared" si="83"/>
        <v>117839.6787956</v>
      </c>
      <c r="FX9" s="35">
        <f t="shared" si="84"/>
        <v>51074.205699800004</v>
      </c>
      <c r="FY9" s="35">
        <f aca="true" t="shared" si="140" ref="FY9:FY29">$G9*FV$6</f>
        <v>530.1103850000001</v>
      </c>
      <c r="FZ9" s="5"/>
      <c r="GA9" s="35">
        <f aca="true" t="shared" si="141" ref="GA9:GA29">$C9*GB$6</f>
        <v>0</v>
      </c>
      <c r="GB9" s="35">
        <f t="shared" si="85"/>
        <v>543.7574442</v>
      </c>
      <c r="GC9" s="5">
        <f t="shared" si="86"/>
        <v>543.7574442</v>
      </c>
      <c r="GD9" s="35">
        <f t="shared" si="87"/>
        <v>235.6759611</v>
      </c>
      <c r="GE9" s="35">
        <f aca="true" t="shared" si="142" ref="GE9:GE29">$G9*GB$6</f>
        <v>2.4461325</v>
      </c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</row>
    <row r="10" spans="1:230" ht="12.75">
      <c r="A10" s="36">
        <v>44105</v>
      </c>
      <c r="D10" s="3">
        <v>1212675</v>
      </c>
      <c r="E10" s="34">
        <f t="shared" si="0"/>
        <v>1212675</v>
      </c>
      <c r="F10" s="34">
        <v>522689</v>
      </c>
      <c r="G10" s="34">
        <v>5431</v>
      </c>
      <c r="I10" s="35">
        <f>'2019C Academic'!I10</f>
        <v>0</v>
      </c>
      <c r="J10" s="35">
        <f>'2019C Academic'!J10</f>
        <v>270706.652925</v>
      </c>
      <c r="K10" s="35">
        <f t="shared" si="88"/>
        <v>270706.652925</v>
      </c>
      <c r="L10" s="35">
        <f>'2019C Academic'!L10</f>
        <v>116680.38815900001</v>
      </c>
      <c r="M10" s="35">
        <f>'2019C Academic'!M10</f>
        <v>1212.3675610000003</v>
      </c>
      <c r="O10" s="35"/>
      <c r="P10" s="34">
        <f t="shared" si="1"/>
        <v>941968.3470749999</v>
      </c>
      <c r="Q10" s="5">
        <f t="shared" si="2"/>
        <v>941968.3470749999</v>
      </c>
      <c r="R10" s="34">
        <f t="shared" si="3"/>
        <v>406008.61184100003</v>
      </c>
      <c r="S10" s="34">
        <f t="shared" si="3"/>
        <v>4218.1333301</v>
      </c>
      <c r="U10" s="35"/>
      <c r="V10" s="35">
        <f t="shared" si="4"/>
        <v>263.39301</v>
      </c>
      <c r="W10" s="5">
        <f t="shared" si="5"/>
        <v>263.39301</v>
      </c>
      <c r="X10" s="35">
        <f t="shared" si="6"/>
        <v>113.5280508</v>
      </c>
      <c r="Y10" s="35">
        <f t="shared" si="90"/>
        <v>1.1796132</v>
      </c>
      <c r="AA10" s="35"/>
      <c r="AB10" s="35">
        <f t="shared" si="7"/>
        <v>28030.3762875</v>
      </c>
      <c r="AC10" s="5">
        <f t="shared" si="8"/>
        <v>28030.3762875</v>
      </c>
      <c r="AD10" s="35">
        <f t="shared" si="9"/>
        <v>12081.694890499999</v>
      </c>
      <c r="AE10" s="35">
        <f t="shared" si="92"/>
        <v>125.53484949999999</v>
      </c>
      <c r="AG10" s="35"/>
      <c r="AH10" s="35">
        <f t="shared" si="10"/>
        <v>1719.9369525</v>
      </c>
      <c r="AI10" s="35">
        <f t="shared" si="11"/>
        <v>1719.9369525</v>
      </c>
      <c r="AJ10" s="35">
        <f t="shared" si="12"/>
        <v>741.3298087</v>
      </c>
      <c r="AK10" s="35">
        <f t="shared" si="94"/>
        <v>7.7027873</v>
      </c>
      <c r="AM10" s="35"/>
      <c r="AN10" s="35">
        <f t="shared" si="13"/>
        <v>12439.4988825</v>
      </c>
      <c r="AO10" s="5">
        <f t="shared" si="14"/>
        <v>12439.4988825</v>
      </c>
      <c r="AP10" s="35">
        <f t="shared" si="15"/>
        <v>5361.6914931</v>
      </c>
      <c r="AQ10" s="35">
        <f t="shared" si="96"/>
        <v>55.7106549</v>
      </c>
      <c r="AS10" s="35"/>
      <c r="AT10" s="35">
        <f t="shared" si="16"/>
        <v>9839.159880000001</v>
      </c>
      <c r="AU10" s="5">
        <f t="shared" si="17"/>
        <v>9839.159880000001</v>
      </c>
      <c r="AV10" s="35">
        <f t="shared" si="18"/>
        <v>4240.8894704</v>
      </c>
      <c r="AW10" s="35">
        <f t="shared" si="98"/>
        <v>44.064961600000004</v>
      </c>
      <c r="AY10" s="35"/>
      <c r="AZ10" s="35">
        <f t="shared" si="19"/>
        <v>2624.71377</v>
      </c>
      <c r="BA10" s="5">
        <f t="shared" si="20"/>
        <v>2624.71377</v>
      </c>
      <c r="BB10" s="35">
        <f t="shared" si="21"/>
        <v>1131.3080716</v>
      </c>
      <c r="BC10" s="35">
        <f t="shared" si="100"/>
        <v>11.7548564</v>
      </c>
      <c r="BE10" s="35"/>
      <c r="BF10" s="35">
        <f t="shared" si="22"/>
        <v>29678.03781</v>
      </c>
      <c r="BG10" s="5">
        <f t="shared" si="23"/>
        <v>29678.03781</v>
      </c>
      <c r="BH10" s="35">
        <f t="shared" si="24"/>
        <v>12791.8724348</v>
      </c>
      <c r="BI10" s="35">
        <f t="shared" si="102"/>
        <v>132.9139492</v>
      </c>
      <c r="BJ10" s="5"/>
      <c r="BK10" s="35"/>
      <c r="BL10" s="35">
        <f t="shared" si="25"/>
        <v>521.8140525</v>
      </c>
      <c r="BM10" s="5">
        <f t="shared" si="26"/>
        <v>521.8140525</v>
      </c>
      <c r="BN10" s="35">
        <f t="shared" si="27"/>
        <v>224.9130767</v>
      </c>
      <c r="BO10" s="35">
        <f t="shared" si="104"/>
        <v>2.3369593</v>
      </c>
      <c r="BP10" s="5"/>
      <c r="BQ10" s="35"/>
      <c r="BR10" s="35">
        <f t="shared" si="28"/>
        <v>111.4448325</v>
      </c>
      <c r="BS10" s="5">
        <f t="shared" si="29"/>
        <v>111.4448325</v>
      </c>
      <c r="BT10" s="35">
        <f t="shared" si="30"/>
        <v>48.035119099999996</v>
      </c>
      <c r="BU10" s="35"/>
      <c r="BV10" s="5"/>
      <c r="BW10" s="35"/>
      <c r="BX10" s="35">
        <f t="shared" si="31"/>
        <v>106586.85645</v>
      </c>
      <c r="BY10" s="5">
        <f t="shared" si="32"/>
        <v>106586.85645</v>
      </c>
      <c r="BZ10" s="35">
        <f t="shared" si="33"/>
        <v>45941.226966</v>
      </c>
      <c r="CA10" s="35">
        <f t="shared" si="107"/>
        <v>477.352314</v>
      </c>
      <c r="CB10" s="5"/>
      <c r="CC10" s="35"/>
      <c r="CD10" s="35">
        <f t="shared" si="34"/>
        <v>205.5484125</v>
      </c>
      <c r="CE10" s="5">
        <f t="shared" si="35"/>
        <v>205.5484125</v>
      </c>
      <c r="CF10" s="35">
        <f t="shared" si="36"/>
        <v>88.5957855</v>
      </c>
      <c r="CG10" s="35">
        <f t="shared" si="109"/>
        <v>0.9205545</v>
      </c>
      <c r="CH10" s="5"/>
      <c r="CI10" s="35"/>
      <c r="CJ10" s="35">
        <f t="shared" si="37"/>
        <v>122.1163725</v>
      </c>
      <c r="CK10" s="5">
        <f t="shared" si="38"/>
        <v>122.1163725</v>
      </c>
      <c r="CL10" s="35">
        <f t="shared" si="39"/>
        <v>52.6347823</v>
      </c>
      <c r="CM10" s="35">
        <f t="shared" si="111"/>
        <v>0.5469016999999999</v>
      </c>
      <c r="CN10" s="5"/>
      <c r="CO10" s="35"/>
      <c r="CP10" s="35">
        <f t="shared" si="40"/>
        <v>7619.47956</v>
      </c>
      <c r="CQ10" s="5">
        <f t="shared" si="41"/>
        <v>7619.47956</v>
      </c>
      <c r="CR10" s="35">
        <f t="shared" si="42"/>
        <v>3284.1595248</v>
      </c>
      <c r="CS10" s="35">
        <f t="shared" si="113"/>
        <v>34.1240592</v>
      </c>
      <c r="CT10" s="5"/>
      <c r="CU10" s="35"/>
      <c r="CV10" s="35">
        <f t="shared" si="43"/>
        <v>804.8523975</v>
      </c>
      <c r="CW10" s="5">
        <f t="shared" si="44"/>
        <v>804.8523975</v>
      </c>
      <c r="CX10" s="35">
        <f t="shared" si="45"/>
        <v>346.9086893</v>
      </c>
      <c r="CY10" s="35">
        <f t="shared" si="115"/>
        <v>3.6045547</v>
      </c>
      <c r="CZ10" s="5"/>
      <c r="DA10" s="35"/>
      <c r="DB10" s="35">
        <f t="shared" si="46"/>
        <v>2198.7010425</v>
      </c>
      <c r="DC10" s="5">
        <f t="shared" si="47"/>
        <v>2198.7010425</v>
      </c>
      <c r="DD10" s="35">
        <f t="shared" si="48"/>
        <v>947.6874259</v>
      </c>
      <c r="DE10" s="35">
        <f t="shared" si="116"/>
        <v>9.8469461</v>
      </c>
      <c r="DF10" s="5"/>
      <c r="DG10" s="35"/>
      <c r="DH10" s="35">
        <f t="shared" si="49"/>
        <v>21506.9123925</v>
      </c>
      <c r="DI10" s="35">
        <f t="shared" si="50"/>
        <v>21506.9123925</v>
      </c>
      <c r="DJ10" s="35">
        <f t="shared" si="51"/>
        <v>9269.9416839</v>
      </c>
      <c r="DK10" s="35">
        <f t="shared" si="118"/>
        <v>96.3193281</v>
      </c>
      <c r="DL10" s="5"/>
      <c r="DM10" s="35"/>
      <c r="DN10" s="35">
        <f t="shared" si="52"/>
        <v>2970.0836099999997</v>
      </c>
      <c r="DO10" s="35">
        <f t="shared" si="53"/>
        <v>2970.0836099999997</v>
      </c>
      <c r="DP10" s="35">
        <f t="shared" si="54"/>
        <v>1280.1698988</v>
      </c>
      <c r="DQ10" s="35">
        <f t="shared" si="120"/>
        <v>13.3016052</v>
      </c>
      <c r="DR10" s="5"/>
      <c r="DS10" s="35"/>
      <c r="DT10" s="35">
        <f t="shared" si="55"/>
        <v>11864.812199999998</v>
      </c>
      <c r="DU10" s="5">
        <f t="shared" si="56"/>
        <v>11864.812199999998</v>
      </c>
      <c r="DV10" s="35">
        <f t="shared" si="57"/>
        <v>5113.989176</v>
      </c>
      <c r="DW10" s="35">
        <f t="shared" si="122"/>
        <v>53.136903999999994</v>
      </c>
      <c r="DX10" s="5"/>
      <c r="DY10" s="35"/>
      <c r="DZ10" s="35">
        <f t="shared" si="58"/>
        <v>95407.20562499999</v>
      </c>
      <c r="EA10" s="35">
        <f t="shared" si="59"/>
        <v>95407.20562499999</v>
      </c>
      <c r="EB10" s="35">
        <f t="shared" si="60"/>
        <v>41122.557075</v>
      </c>
      <c r="EC10" s="35">
        <f t="shared" si="124"/>
        <v>427.28392499999995</v>
      </c>
      <c r="ED10" s="5"/>
      <c r="EE10" s="35"/>
      <c r="EF10" s="35">
        <f t="shared" si="61"/>
        <v>142529.9371125</v>
      </c>
      <c r="EG10" s="5">
        <f t="shared" si="62"/>
        <v>142529.9371125</v>
      </c>
      <c r="EH10" s="35">
        <f t="shared" si="63"/>
        <v>61433.4675815</v>
      </c>
      <c r="EI10" s="35">
        <f t="shared" si="126"/>
        <v>638.3244385</v>
      </c>
      <c r="EJ10" s="5"/>
      <c r="EK10" s="35"/>
      <c r="EL10" s="35">
        <f t="shared" si="64"/>
        <v>1187.93643</v>
      </c>
      <c r="EM10" s="5">
        <f t="shared" si="65"/>
        <v>1187.93643</v>
      </c>
      <c r="EN10" s="35">
        <f t="shared" si="66"/>
        <v>512.0261444</v>
      </c>
      <c r="EO10" s="35">
        <f t="shared" si="128"/>
        <v>5.3202076</v>
      </c>
      <c r="EP10" s="5"/>
      <c r="EQ10" s="35"/>
      <c r="ER10" s="35">
        <f t="shared" si="67"/>
        <v>45550.8621525</v>
      </c>
      <c r="ES10" s="5">
        <f t="shared" si="68"/>
        <v>45550.8621525</v>
      </c>
      <c r="ET10" s="35">
        <f t="shared" si="69"/>
        <v>19633.4010247</v>
      </c>
      <c r="EU10" s="35">
        <f t="shared" si="130"/>
        <v>204.0008513</v>
      </c>
      <c r="EV10" s="5"/>
      <c r="EW10" s="35"/>
      <c r="EX10" s="35">
        <f t="shared" si="70"/>
        <v>76000.88886749999</v>
      </c>
      <c r="EY10" s="5">
        <f t="shared" si="71"/>
        <v>76000.88886749999</v>
      </c>
      <c r="EZ10" s="35">
        <f t="shared" si="72"/>
        <v>32758.0172769</v>
      </c>
      <c r="FA10" s="35">
        <f t="shared" si="132"/>
        <v>340.3721751</v>
      </c>
      <c r="FB10" s="5"/>
      <c r="FC10" s="35"/>
      <c r="FD10" s="35">
        <f t="shared" si="73"/>
        <v>65067.4110675</v>
      </c>
      <c r="FE10" s="5">
        <f t="shared" si="74"/>
        <v>65067.4110675</v>
      </c>
      <c r="FF10" s="35">
        <f t="shared" si="75"/>
        <v>28045.4532529</v>
      </c>
      <c r="FG10" s="35">
        <f t="shared" si="134"/>
        <v>291.4062791</v>
      </c>
      <c r="FH10" s="5"/>
      <c r="FI10" s="35"/>
      <c r="FJ10" s="35">
        <f t="shared" si="76"/>
        <v>64520.2521075</v>
      </c>
      <c r="FK10" s="5">
        <f t="shared" si="77"/>
        <v>64520.2521075</v>
      </c>
      <c r="FL10" s="35">
        <f t="shared" si="78"/>
        <v>27809.615976099998</v>
      </c>
      <c r="FM10" s="35">
        <f t="shared" si="136"/>
        <v>288.9558119</v>
      </c>
      <c r="FN10" s="5"/>
      <c r="FO10" s="35"/>
      <c r="FP10" s="35">
        <f t="shared" si="79"/>
        <v>93551.327805</v>
      </c>
      <c r="FQ10" s="35">
        <f t="shared" si="80"/>
        <v>93551.327805</v>
      </c>
      <c r="FR10" s="35">
        <f t="shared" si="81"/>
        <v>40322.633829399994</v>
      </c>
      <c r="FS10" s="35">
        <f t="shared" si="138"/>
        <v>418.9723226</v>
      </c>
      <c r="FT10" s="5"/>
      <c r="FU10" s="35"/>
      <c r="FV10" s="35">
        <f t="shared" si="82"/>
        <v>118497.992835</v>
      </c>
      <c r="FW10" s="35">
        <f t="shared" si="83"/>
        <v>118497.992835</v>
      </c>
      <c r="FX10" s="35">
        <f t="shared" si="84"/>
        <v>51075.1828618</v>
      </c>
      <c r="FY10" s="35">
        <f t="shared" si="140"/>
        <v>530.6966822</v>
      </c>
      <c r="FZ10" s="5"/>
      <c r="GA10" s="35"/>
      <c r="GB10" s="35">
        <f t="shared" si="85"/>
        <v>546.7951575</v>
      </c>
      <c r="GC10" s="5">
        <f t="shared" si="86"/>
        <v>546.7951575</v>
      </c>
      <c r="GD10" s="35">
        <f t="shared" si="87"/>
        <v>235.6804701</v>
      </c>
      <c r="GE10" s="35">
        <f t="shared" si="142"/>
        <v>2.4488379</v>
      </c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:230" ht="12.75">
      <c r="A11" s="36">
        <v>44287</v>
      </c>
      <c r="D11" s="3">
        <v>1212675</v>
      </c>
      <c r="E11" s="34">
        <f t="shared" si="0"/>
        <v>1212675</v>
      </c>
      <c r="F11" s="34">
        <v>522689</v>
      </c>
      <c r="G11" s="34">
        <v>5431</v>
      </c>
      <c r="I11" s="35">
        <f>'2019C Academic'!I11</f>
        <v>0</v>
      </c>
      <c r="J11" s="35">
        <f>'2019C Academic'!J11</f>
        <v>270706.652925</v>
      </c>
      <c r="K11" s="35">
        <f t="shared" si="88"/>
        <v>270706.652925</v>
      </c>
      <c r="L11" s="35">
        <f>'2019C Academic'!L11</f>
        <v>116680.38815900001</v>
      </c>
      <c r="M11" s="35">
        <f>'2019C Academic'!M11</f>
        <v>1212.3675610000003</v>
      </c>
      <c r="O11" s="35">
        <f>U11+AA11+AG11+AM11+AS11+AY11+BE11+BK11+BQ11+BW11+CC11+CI11+CO11+CU11+DG11+DM11+DS11+DY11+EE11+EK11+EQ11+EW11+FC11+FI11+DA11+FO11+FU11+GA11+GG11</f>
        <v>0</v>
      </c>
      <c r="P11" s="34">
        <f t="shared" si="1"/>
        <v>941968.3470749999</v>
      </c>
      <c r="Q11" s="5">
        <f t="shared" si="2"/>
        <v>941968.3470749999</v>
      </c>
      <c r="R11" s="34">
        <f t="shared" si="3"/>
        <v>406008.61184100003</v>
      </c>
      <c r="S11" s="34">
        <f t="shared" si="3"/>
        <v>4218.1333301</v>
      </c>
      <c r="U11" s="35">
        <f t="shared" si="89"/>
        <v>0</v>
      </c>
      <c r="V11" s="35">
        <f t="shared" si="4"/>
        <v>263.39301</v>
      </c>
      <c r="W11" s="5">
        <f t="shared" si="5"/>
        <v>263.39301</v>
      </c>
      <c r="X11" s="35">
        <f t="shared" si="6"/>
        <v>113.5280508</v>
      </c>
      <c r="Y11" s="35">
        <f t="shared" si="90"/>
        <v>1.1796132</v>
      </c>
      <c r="AA11" s="35">
        <f t="shared" si="91"/>
        <v>0</v>
      </c>
      <c r="AB11" s="35">
        <f t="shared" si="7"/>
        <v>28030.3762875</v>
      </c>
      <c r="AC11" s="5">
        <f t="shared" si="8"/>
        <v>28030.3762875</v>
      </c>
      <c r="AD11" s="35">
        <f t="shared" si="9"/>
        <v>12081.694890499999</v>
      </c>
      <c r="AE11" s="35">
        <f t="shared" si="92"/>
        <v>125.53484949999999</v>
      </c>
      <c r="AG11" s="35">
        <f t="shared" si="93"/>
        <v>0</v>
      </c>
      <c r="AH11" s="35">
        <f t="shared" si="10"/>
        <v>1719.9369525</v>
      </c>
      <c r="AI11" s="35">
        <f t="shared" si="11"/>
        <v>1719.9369525</v>
      </c>
      <c r="AJ11" s="35">
        <f t="shared" si="12"/>
        <v>741.3298087</v>
      </c>
      <c r="AK11" s="35">
        <f t="shared" si="94"/>
        <v>7.7027873</v>
      </c>
      <c r="AM11" s="35">
        <f t="shared" si="95"/>
        <v>0</v>
      </c>
      <c r="AN11" s="35">
        <f t="shared" si="13"/>
        <v>12439.4988825</v>
      </c>
      <c r="AO11" s="5">
        <f t="shared" si="14"/>
        <v>12439.4988825</v>
      </c>
      <c r="AP11" s="35">
        <f t="shared" si="15"/>
        <v>5361.6914931</v>
      </c>
      <c r="AQ11" s="35">
        <f t="shared" si="96"/>
        <v>55.7106549</v>
      </c>
      <c r="AS11" s="35">
        <f t="shared" si="97"/>
        <v>0</v>
      </c>
      <c r="AT11" s="35">
        <f t="shared" si="16"/>
        <v>9839.159880000001</v>
      </c>
      <c r="AU11" s="5">
        <f t="shared" si="17"/>
        <v>9839.159880000001</v>
      </c>
      <c r="AV11" s="35">
        <f t="shared" si="18"/>
        <v>4240.8894704</v>
      </c>
      <c r="AW11" s="35">
        <f t="shared" si="98"/>
        <v>44.064961600000004</v>
      </c>
      <c r="AY11" s="35">
        <f t="shared" si="99"/>
        <v>0</v>
      </c>
      <c r="AZ11" s="35">
        <f t="shared" si="19"/>
        <v>2624.71377</v>
      </c>
      <c r="BA11" s="5">
        <f t="shared" si="20"/>
        <v>2624.71377</v>
      </c>
      <c r="BB11" s="35">
        <f t="shared" si="21"/>
        <v>1131.3080716</v>
      </c>
      <c r="BC11" s="35">
        <f t="shared" si="100"/>
        <v>11.7548564</v>
      </c>
      <c r="BE11" s="35">
        <f t="shared" si="101"/>
        <v>0</v>
      </c>
      <c r="BF11" s="35">
        <f t="shared" si="22"/>
        <v>29678.03781</v>
      </c>
      <c r="BG11" s="5">
        <f t="shared" si="23"/>
        <v>29678.03781</v>
      </c>
      <c r="BH11" s="35">
        <f t="shared" si="24"/>
        <v>12791.8724348</v>
      </c>
      <c r="BI11" s="35">
        <f t="shared" si="102"/>
        <v>132.9139492</v>
      </c>
      <c r="BJ11" s="5"/>
      <c r="BK11" s="35">
        <f t="shared" si="103"/>
        <v>0</v>
      </c>
      <c r="BL11" s="35">
        <f t="shared" si="25"/>
        <v>521.8140525</v>
      </c>
      <c r="BM11" s="5">
        <f t="shared" si="26"/>
        <v>521.8140525</v>
      </c>
      <c r="BN11" s="35">
        <f t="shared" si="27"/>
        <v>224.9130767</v>
      </c>
      <c r="BO11" s="35">
        <f t="shared" si="104"/>
        <v>2.3369593</v>
      </c>
      <c r="BP11" s="5"/>
      <c r="BQ11" s="35">
        <f t="shared" si="105"/>
        <v>0</v>
      </c>
      <c r="BR11" s="35">
        <f t="shared" si="28"/>
        <v>111.4448325</v>
      </c>
      <c r="BS11" s="5">
        <f t="shared" si="29"/>
        <v>111.4448325</v>
      </c>
      <c r="BT11" s="35">
        <f t="shared" si="30"/>
        <v>48.035119099999996</v>
      </c>
      <c r="BU11" s="35"/>
      <c r="BV11" s="5"/>
      <c r="BW11" s="35">
        <f t="shared" si="106"/>
        <v>0</v>
      </c>
      <c r="BX11" s="35">
        <f t="shared" si="31"/>
        <v>106586.85645</v>
      </c>
      <c r="BY11" s="5">
        <f t="shared" si="32"/>
        <v>106586.85645</v>
      </c>
      <c r="BZ11" s="35">
        <f t="shared" si="33"/>
        <v>45941.226966</v>
      </c>
      <c r="CA11" s="35">
        <f t="shared" si="107"/>
        <v>477.352314</v>
      </c>
      <c r="CB11" s="5"/>
      <c r="CC11" s="35">
        <f t="shared" si="108"/>
        <v>0</v>
      </c>
      <c r="CD11" s="35">
        <f t="shared" si="34"/>
        <v>205.5484125</v>
      </c>
      <c r="CE11" s="5">
        <f t="shared" si="35"/>
        <v>205.5484125</v>
      </c>
      <c r="CF11" s="35">
        <f t="shared" si="36"/>
        <v>88.5957855</v>
      </c>
      <c r="CG11" s="35">
        <f t="shared" si="109"/>
        <v>0.9205545</v>
      </c>
      <c r="CH11" s="5"/>
      <c r="CI11" s="35">
        <f t="shared" si="110"/>
        <v>0</v>
      </c>
      <c r="CJ11" s="35">
        <f t="shared" si="37"/>
        <v>122.1163725</v>
      </c>
      <c r="CK11" s="5">
        <f t="shared" si="38"/>
        <v>122.1163725</v>
      </c>
      <c r="CL11" s="35">
        <f t="shared" si="39"/>
        <v>52.6347823</v>
      </c>
      <c r="CM11" s="35">
        <f t="shared" si="111"/>
        <v>0.5469016999999999</v>
      </c>
      <c r="CN11" s="5"/>
      <c r="CO11" s="35">
        <f t="shared" si="112"/>
        <v>0</v>
      </c>
      <c r="CP11" s="35">
        <f t="shared" si="40"/>
        <v>7619.47956</v>
      </c>
      <c r="CQ11" s="5">
        <f t="shared" si="41"/>
        <v>7619.47956</v>
      </c>
      <c r="CR11" s="35">
        <f t="shared" si="42"/>
        <v>3284.1595248</v>
      </c>
      <c r="CS11" s="35">
        <f t="shared" si="113"/>
        <v>34.1240592</v>
      </c>
      <c r="CT11" s="5"/>
      <c r="CU11" s="35">
        <f t="shared" si="114"/>
        <v>0</v>
      </c>
      <c r="CV11" s="35">
        <f t="shared" si="43"/>
        <v>804.8523975</v>
      </c>
      <c r="CW11" s="5">
        <f t="shared" si="44"/>
        <v>804.8523975</v>
      </c>
      <c r="CX11" s="35">
        <f t="shared" si="45"/>
        <v>346.9086893</v>
      </c>
      <c r="CY11" s="35">
        <f t="shared" si="115"/>
        <v>3.6045547</v>
      </c>
      <c r="CZ11" s="5"/>
      <c r="DA11" s="35">
        <f>$C11*DB$6</f>
        <v>0</v>
      </c>
      <c r="DB11" s="35">
        <f t="shared" si="46"/>
        <v>2198.7010425</v>
      </c>
      <c r="DC11" s="5">
        <f t="shared" si="47"/>
        <v>2198.7010425</v>
      </c>
      <c r="DD11" s="35">
        <f t="shared" si="48"/>
        <v>947.6874259</v>
      </c>
      <c r="DE11" s="35">
        <f t="shared" si="116"/>
        <v>9.8469461</v>
      </c>
      <c r="DF11" s="5"/>
      <c r="DG11" s="35">
        <f t="shared" si="117"/>
        <v>0</v>
      </c>
      <c r="DH11" s="35">
        <f t="shared" si="49"/>
        <v>21506.9123925</v>
      </c>
      <c r="DI11" s="35">
        <f t="shared" si="50"/>
        <v>21506.9123925</v>
      </c>
      <c r="DJ11" s="35">
        <f t="shared" si="51"/>
        <v>9269.9416839</v>
      </c>
      <c r="DK11" s="35">
        <f t="shared" si="118"/>
        <v>96.3193281</v>
      </c>
      <c r="DL11" s="5"/>
      <c r="DM11" s="35">
        <f t="shared" si="119"/>
        <v>0</v>
      </c>
      <c r="DN11" s="35">
        <f t="shared" si="52"/>
        <v>2970.0836099999997</v>
      </c>
      <c r="DO11" s="35">
        <f t="shared" si="53"/>
        <v>2970.0836099999997</v>
      </c>
      <c r="DP11" s="35">
        <f t="shared" si="54"/>
        <v>1280.1698988</v>
      </c>
      <c r="DQ11" s="35">
        <f t="shared" si="120"/>
        <v>13.3016052</v>
      </c>
      <c r="DR11" s="5"/>
      <c r="DS11" s="35">
        <f t="shared" si="121"/>
        <v>0</v>
      </c>
      <c r="DT11" s="35">
        <f t="shared" si="55"/>
        <v>11864.812199999998</v>
      </c>
      <c r="DU11" s="5">
        <f t="shared" si="56"/>
        <v>11864.812199999998</v>
      </c>
      <c r="DV11" s="35">
        <f t="shared" si="57"/>
        <v>5113.989176</v>
      </c>
      <c r="DW11" s="35">
        <f t="shared" si="122"/>
        <v>53.136903999999994</v>
      </c>
      <c r="DX11" s="5"/>
      <c r="DY11" s="35">
        <f t="shared" si="123"/>
        <v>0</v>
      </c>
      <c r="DZ11" s="35">
        <f t="shared" si="58"/>
        <v>95407.20562499999</v>
      </c>
      <c r="EA11" s="35">
        <f t="shared" si="59"/>
        <v>95407.20562499999</v>
      </c>
      <c r="EB11" s="35">
        <f t="shared" si="60"/>
        <v>41122.557075</v>
      </c>
      <c r="EC11" s="35">
        <f t="shared" si="124"/>
        <v>427.28392499999995</v>
      </c>
      <c r="ED11" s="5"/>
      <c r="EE11" s="35">
        <f t="shared" si="125"/>
        <v>0</v>
      </c>
      <c r="EF11" s="35">
        <f t="shared" si="61"/>
        <v>142529.9371125</v>
      </c>
      <c r="EG11" s="5">
        <f t="shared" si="62"/>
        <v>142529.9371125</v>
      </c>
      <c r="EH11" s="35">
        <f t="shared" si="63"/>
        <v>61433.4675815</v>
      </c>
      <c r="EI11" s="35">
        <f t="shared" si="126"/>
        <v>638.3244385</v>
      </c>
      <c r="EJ11" s="5"/>
      <c r="EK11" s="35">
        <f t="shared" si="127"/>
        <v>0</v>
      </c>
      <c r="EL11" s="35">
        <f t="shared" si="64"/>
        <v>1187.93643</v>
      </c>
      <c r="EM11" s="5">
        <f t="shared" si="65"/>
        <v>1187.93643</v>
      </c>
      <c r="EN11" s="35">
        <f t="shared" si="66"/>
        <v>512.0261444</v>
      </c>
      <c r="EO11" s="35">
        <f t="shared" si="128"/>
        <v>5.3202076</v>
      </c>
      <c r="EP11" s="5"/>
      <c r="EQ11" s="35">
        <f t="shared" si="129"/>
        <v>0</v>
      </c>
      <c r="ER11" s="35">
        <f t="shared" si="67"/>
        <v>45550.8621525</v>
      </c>
      <c r="ES11" s="5">
        <f t="shared" si="68"/>
        <v>45550.8621525</v>
      </c>
      <c r="ET11" s="35">
        <f t="shared" si="69"/>
        <v>19633.4010247</v>
      </c>
      <c r="EU11" s="35">
        <f t="shared" si="130"/>
        <v>204.0008513</v>
      </c>
      <c r="EV11" s="5"/>
      <c r="EW11" s="35">
        <f t="shared" si="131"/>
        <v>0</v>
      </c>
      <c r="EX11" s="35">
        <f t="shared" si="70"/>
        <v>76000.88886749999</v>
      </c>
      <c r="EY11" s="5">
        <f t="shared" si="71"/>
        <v>76000.88886749999</v>
      </c>
      <c r="EZ11" s="35">
        <f t="shared" si="72"/>
        <v>32758.0172769</v>
      </c>
      <c r="FA11" s="35">
        <f t="shared" si="132"/>
        <v>340.3721751</v>
      </c>
      <c r="FB11" s="5"/>
      <c r="FC11" s="35">
        <f t="shared" si="133"/>
        <v>0</v>
      </c>
      <c r="FD11" s="35">
        <f t="shared" si="73"/>
        <v>65067.4110675</v>
      </c>
      <c r="FE11" s="5">
        <f t="shared" si="74"/>
        <v>65067.4110675</v>
      </c>
      <c r="FF11" s="35">
        <f t="shared" si="75"/>
        <v>28045.4532529</v>
      </c>
      <c r="FG11" s="35">
        <f t="shared" si="134"/>
        <v>291.4062791</v>
      </c>
      <c r="FH11" s="5"/>
      <c r="FI11" s="35">
        <f t="shared" si="135"/>
        <v>0</v>
      </c>
      <c r="FJ11" s="35">
        <f t="shared" si="76"/>
        <v>64520.2521075</v>
      </c>
      <c r="FK11" s="5">
        <f t="shared" si="77"/>
        <v>64520.2521075</v>
      </c>
      <c r="FL11" s="35">
        <f t="shared" si="78"/>
        <v>27809.615976099998</v>
      </c>
      <c r="FM11" s="35">
        <f t="shared" si="136"/>
        <v>288.9558119</v>
      </c>
      <c r="FN11" s="5"/>
      <c r="FO11" s="35">
        <f t="shared" si="137"/>
        <v>0</v>
      </c>
      <c r="FP11" s="35">
        <f t="shared" si="79"/>
        <v>93551.327805</v>
      </c>
      <c r="FQ11" s="35">
        <f t="shared" si="80"/>
        <v>93551.327805</v>
      </c>
      <c r="FR11" s="35">
        <f t="shared" si="81"/>
        <v>40322.633829399994</v>
      </c>
      <c r="FS11" s="35">
        <f t="shared" si="138"/>
        <v>418.9723226</v>
      </c>
      <c r="FT11" s="5"/>
      <c r="FU11" s="35">
        <f t="shared" si="139"/>
        <v>0</v>
      </c>
      <c r="FV11" s="35">
        <f t="shared" si="82"/>
        <v>118497.992835</v>
      </c>
      <c r="FW11" s="35">
        <f t="shared" si="83"/>
        <v>118497.992835</v>
      </c>
      <c r="FX11" s="35">
        <f t="shared" si="84"/>
        <v>51075.1828618</v>
      </c>
      <c r="FY11" s="35">
        <f t="shared" si="140"/>
        <v>530.6966822</v>
      </c>
      <c r="FZ11" s="5"/>
      <c r="GA11" s="35">
        <f t="shared" si="141"/>
        <v>0</v>
      </c>
      <c r="GB11" s="35">
        <f t="shared" si="85"/>
        <v>546.7951575</v>
      </c>
      <c r="GC11" s="5">
        <f t="shared" si="86"/>
        <v>546.7951575</v>
      </c>
      <c r="GD11" s="35">
        <f t="shared" si="87"/>
        <v>235.6804701</v>
      </c>
      <c r="GE11" s="35">
        <f t="shared" si="142"/>
        <v>2.4488379</v>
      </c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:230" ht="12.75">
      <c r="A12" s="36">
        <v>44470</v>
      </c>
      <c r="D12" s="3">
        <v>1212675</v>
      </c>
      <c r="E12" s="34">
        <f t="shared" si="0"/>
        <v>1212675</v>
      </c>
      <c r="F12" s="34">
        <v>522689</v>
      </c>
      <c r="G12" s="34">
        <v>5431</v>
      </c>
      <c r="I12" s="35">
        <f>'2019C Academic'!I12</f>
        <v>0</v>
      </c>
      <c r="J12" s="35">
        <f>'2019C Academic'!J12</f>
        <v>270706.652925</v>
      </c>
      <c r="K12" s="35">
        <f t="shared" si="88"/>
        <v>270706.652925</v>
      </c>
      <c r="L12" s="35">
        <f>'2019C Academic'!L12</f>
        <v>116680.38815900001</v>
      </c>
      <c r="M12" s="35">
        <f>'2019C Academic'!M12</f>
        <v>1212.3675610000003</v>
      </c>
      <c r="O12" s="35"/>
      <c r="P12" s="34">
        <f t="shared" si="1"/>
        <v>941968.3470749999</v>
      </c>
      <c r="Q12" s="5">
        <f t="shared" si="2"/>
        <v>941968.3470749999</v>
      </c>
      <c r="R12" s="34">
        <f t="shared" si="3"/>
        <v>406008.61184100003</v>
      </c>
      <c r="S12" s="34">
        <f t="shared" si="3"/>
        <v>4218.1333301</v>
      </c>
      <c r="U12" s="35"/>
      <c r="V12" s="35">
        <f t="shared" si="4"/>
        <v>263.39301</v>
      </c>
      <c r="W12" s="5">
        <f t="shared" si="5"/>
        <v>263.39301</v>
      </c>
      <c r="X12" s="35">
        <f t="shared" si="6"/>
        <v>113.5280508</v>
      </c>
      <c r="Y12" s="35">
        <f t="shared" si="90"/>
        <v>1.1796132</v>
      </c>
      <c r="AA12" s="35"/>
      <c r="AB12" s="35">
        <f t="shared" si="7"/>
        <v>28030.3762875</v>
      </c>
      <c r="AC12" s="5">
        <f t="shared" si="8"/>
        <v>28030.3762875</v>
      </c>
      <c r="AD12" s="35">
        <f t="shared" si="9"/>
        <v>12081.694890499999</v>
      </c>
      <c r="AE12" s="35">
        <f t="shared" si="92"/>
        <v>125.53484949999999</v>
      </c>
      <c r="AG12" s="35"/>
      <c r="AH12" s="35">
        <f t="shared" si="10"/>
        <v>1719.9369525</v>
      </c>
      <c r="AI12" s="35">
        <f t="shared" si="11"/>
        <v>1719.9369525</v>
      </c>
      <c r="AJ12" s="35">
        <f t="shared" si="12"/>
        <v>741.3298087</v>
      </c>
      <c r="AK12" s="35">
        <f t="shared" si="94"/>
        <v>7.7027873</v>
      </c>
      <c r="AM12" s="35"/>
      <c r="AN12" s="35">
        <f t="shared" si="13"/>
        <v>12439.4988825</v>
      </c>
      <c r="AO12" s="5">
        <f t="shared" si="14"/>
        <v>12439.4988825</v>
      </c>
      <c r="AP12" s="35">
        <f t="shared" si="15"/>
        <v>5361.6914931</v>
      </c>
      <c r="AQ12" s="35">
        <f t="shared" si="96"/>
        <v>55.7106549</v>
      </c>
      <c r="AS12" s="35"/>
      <c r="AT12" s="35">
        <f t="shared" si="16"/>
        <v>9839.159880000001</v>
      </c>
      <c r="AU12" s="5">
        <f t="shared" si="17"/>
        <v>9839.159880000001</v>
      </c>
      <c r="AV12" s="35">
        <f t="shared" si="18"/>
        <v>4240.8894704</v>
      </c>
      <c r="AW12" s="35">
        <f t="shared" si="98"/>
        <v>44.064961600000004</v>
      </c>
      <c r="AY12" s="35"/>
      <c r="AZ12" s="35">
        <f t="shared" si="19"/>
        <v>2624.71377</v>
      </c>
      <c r="BA12" s="5">
        <f t="shared" si="20"/>
        <v>2624.71377</v>
      </c>
      <c r="BB12" s="35">
        <f t="shared" si="21"/>
        <v>1131.3080716</v>
      </c>
      <c r="BC12" s="35">
        <f t="shared" si="100"/>
        <v>11.7548564</v>
      </c>
      <c r="BE12" s="35"/>
      <c r="BF12" s="35">
        <f t="shared" si="22"/>
        <v>29678.03781</v>
      </c>
      <c r="BG12" s="5">
        <f t="shared" si="23"/>
        <v>29678.03781</v>
      </c>
      <c r="BH12" s="35">
        <f t="shared" si="24"/>
        <v>12791.8724348</v>
      </c>
      <c r="BI12" s="35">
        <f t="shared" si="102"/>
        <v>132.9139492</v>
      </c>
      <c r="BJ12" s="5"/>
      <c r="BK12" s="35"/>
      <c r="BL12" s="35">
        <f t="shared" si="25"/>
        <v>521.8140525</v>
      </c>
      <c r="BM12" s="5">
        <f t="shared" si="26"/>
        <v>521.8140525</v>
      </c>
      <c r="BN12" s="35">
        <f t="shared" si="27"/>
        <v>224.9130767</v>
      </c>
      <c r="BO12" s="35">
        <f t="shared" si="104"/>
        <v>2.3369593</v>
      </c>
      <c r="BP12" s="5"/>
      <c r="BQ12" s="35"/>
      <c r="BR12" s="35">
        <f t="shared" si="28"/>
        <v>111.4448325</v>
      </c>
      <c r="BS12" s="5">
        <f t="shared" si="29"/>
        <v>111.4448325</v>
      </c>
      <c r="BT12" s="35">
        <f t="shared" si="30"/>
        <v>48.035119099999996</v>
      </c>
      <c r="BU12" s="35"/>
      <c r="BV12" s="5"/>
      <c r="BW12" s="35"/>
      <c r="BX12" s="35">
        <f t="shared" si="31"/>
        <v>106586.85645</v>
      </c>
      <c r="BY12" s="5">
        <f t="shared" si="32"/>
        <v>106586.85645</v>
      </c>
      <c r="BZ12" s="35">
        <f t="shared" si="33"/>
        <v>45941.226966</v>
      </c>
      <c r="CA12" s="35">
        <f t="shared" si="107"/>
        <v>477.352314</v>
      </c>
      <c r="CB12" s="5"/>
      <c r="CC12" s="35"/>
      <c r="CD12" s="35">
        <f t="shared" si="34"/>
        <v>205.5484125</v>
      </c>
      <c r="CE12" s="5">
        <f t="shared" si="35"/>
        <v>205.5484125</v>
      </c>
      <c r="CF12" s="35">
        <f t="shared" si="36"/>
        <v>88.5957855</v>
      </c>
      <c r="CG12" s="35">
        <f t="shared" si="109"/>
        <v>0.9205545</v>
      </c>
      <c r="CH12" s="5"/>
      <c r="CI12" s="35"/>
      <c r="CJ12" s="35">
        <f t="shared" si="37"/>
        <v>122.1163725</v>
      </c>
      <c r="CK12" s="5">
        <f t="shared" si="38"/>
        <v>122.1163725</v>
      </c>
      <c r="CL12" s="35">
        <f t="shared" si="39"/>
        <v>52.6347823</v>
      </c>
      <c r="CM12" s="35">
        <f t="shared" si="111"/>
        <v>0.5469016999999999</v>
      </c>
      <c r="CN12" s="5"/>
      <c r="CO12" s="35"/>
      <c r="CP12" s="35">
        <f t="shared" si="40"/>
        <v>7619.47956</v>
      </c>
      <c r="CQ12" s="5">
        <f t="shared" si="41"/>
        <v>7619.47956</v>
      </c>
      <c r="CR12" s="35">
        <f t="shared" si="42"/>
        <v>3284.1595248</v>
      </c>
      <c r="CS12" s="35">
        <f t="shared" si="113"/>
        <v>34.1240592</v>
      </c>
      <c r="CT12" s="5"/>
      <c r="CU12" s="35"/>
      <c r="CV12" s="35">
        <f t="shared" si="43"/>
        <v>804.8523975</v>
      </c>
      <c r="CW12" s="5">
        <f t="shared" si="44"/>
        <v>804.8523975</v>
      </c>
      <c r="CX12" s="35">
        <f t="shared" si="45"/>
        <v>346.9086893</v>
      </c>
      <c r="CY12" s="35">
        <f t="shared" si="115"/>
        <v>3.6045547</v>
      </c>
      <c r="CZ12" s="5"/>
      <c r="DA12" s="35"/>
      <c r="DB12" s="35">
        <f t="shared" si="46"/>
        <v>2198.7010425</v>
      </c>
      <c r="DC12" s="5">
        <f t="shared" si="47"/>
        <v>2198.7010425</v>
      </c>
      <c r="DD12" s="35">
        <f t="shared" si="48"/>
        <v>947.6874259</v>
      </c>
      <c r="DE12" s="35">
        <f t="shared" si="116"/>
        <v>9.8469461</v>
      </c>
      <c r="DF12" s="5"/>
      <c r="DG12" s="35"/>
      <c r="DH12" s="35">
        <f t="shared" si="49"/>
        <v>21506.9123925</v>
      </c>
      <c r="DI12" s="35">
        <f t="shared" si="50"/>
        <v>21506.9123925</v>
      </c>
      <c r="DJ12" s="35">
        <f t="shared" si="51"/>
        <v>9269.9416839</v>
      </c>
      <c r="DK12" s="35">
        <f t="shared" si="118"/>
        <v>96.3193281</v>
      </c>
      <c r="DL12" s="5"/>
      <c r="DM12" s="35"/>
      <c r="DN12" s="35">
        <f t="shared" si="52"/>
        <v>2970.0836099999997</v>
      </c>
      <c r="DO12" s="35">
        <f t="shared" si="53"/>
        <v>2970.0836099999997</v>
      </c>
      <c r="DP12" s="35">
        <f t="shared" si="54"/>
        <v>1280.1698988</v>
      </c>
      <c r="DQ12" s="35">
        <f t="shared" si="120"/>
        <v>13.3016052</v>
      </c>
      <c r="DR12" s="5"/>
      <c r="DS12" s="35"/>
      <c r="DT12" s="35">
        <f t="shared" si="55"/>
        <v>11864.812199999998</v>
      </c>
      <c r="DU12" s="5">
        <f t="shared" si="56"/>
        <v>11864.812199999998</v>
      </c>
      <c r="DV12" s="35">
        <f t="shared" si="57"/>
        <v>5113.989176</v>
      </c>
      <c r="DW12" s="35">
        <f t="shared" si="122"/>
        <v>53.136903999999994</v>
      </c>
      <c r="DX12" s="5"/>
      <c r="DY12" s="35"/>
      <c r="DZ12" s="35">
        <f t="shared" si="58"/>
        <v>95407.20562499999</v>
      </c>
      <c r="EA12" s="35">
        <f t="shared" si="59"/>
        <v>95407.20562499999</v>
      </c>
      <c r="EB12" s="35">
        <f t="shared" si="60"/>
        <v>41122.557075</v>
      </c>
      <c r="EC12" s="35">
        <f t="shared" si="124"/>
        <v>427.28392499999995</v>
      </c>
      <c r="ED12" s="5"/>
      <c r="EE12" s="35"/>
      <c r="EF12" s="35">
        <f t="shared" si="61"/>
        <v>142529.9371125</v>
      </c>
      <c r="EG12" s="5">
        <f t="shared" si="62"/>
        <v>142529.9371125</v>
      </c>
      <c r="EH12" s="35">
        <f t="shared" si="63"/>
        <v>61433.4675815</v>
      </c>
      <c r="EI12" s="35">
        <f t="shared" si="126"/>
        <v>638.3244385</v>
      </c>
      <c r="EJ12" s="5"/>
      <c r="EK12" s="35"/>
      <c r="EL12" s="35">
        <f t="shared" si="64"/>
        <v>1187.93643</v>
      </c>
      <c r="EM12" s="5">
        <f t="shared" si="65"/>
        <v>1187.93643</v>
      </c>
      <c r="EN12" s="35">
        <f t="shared" si="66"/>
        <v>512.0261444</v>
      </c>
      <c r="EO12" s="35">
        <f t="shared" si="128"/>
        <v>5.3202076</v>
      </c>
      <c r="EP12" s="5"/>
      <c r="EQ12" s="35"/>
      <c r="ER12" s="35">
        <f t="shared" si="67"/>
        <v>45550.8621525</v>
      </c>
      <c r="ES12" s="5">
        <f t="shared" si="68"/>
        <v>45550.8621525</v>
      </c>
      <c r="ET12" s="35">
        <f t="shared" si="69"/>
        <v>19633.4010247</v>
      </c>
      <c r="EU12" s="35">
        <f t="shared" si="130"/>
        <v>204.0008513</v>
      </c>
      <c r="EV12" s="5"/>
      <c r="EW12" s="35"/>
      <c r="EX12" s="35">
        <f t="shared" si="70"/>
        <v>76000.88886749999</v>
      </c>
      <c r="EY12" s="5">
        <f t="shared" si="71"/>
        <v>76000.88886749999</v>
      </c>
      <c r="EZ12" s="35">
        <f t="shared" si="72"/>
        <v>32758.0172769</v>
      </c>
      <c r="FA12" s="35">
        <f t="shared" si="132"/>
        <v>340.3721751</v>
      </c>
      <c r="FB12" s="5"/>
      <c r="FC12" s="35"/>
      <c r="FD12" s="35">
        <f t="shared" si="73"/>
        <v>65067.4110675</v>
      </c>
      <c r="FE12" s="5">
        <f t="shared" si="74"/>
        <v>65067.4110675</v>
      </c>
      <c r="FF12" s="35">
        <f t="shared" si="75"/>
        <v>28045.4532529</v>
      </c>
      <c r="FG12" s="35">
        <f t="shared" si="134"/>
        <v>291.4062791</v>
      </c>
      <c r="FH12" s="5"/>
      <c r="FI12" s="35"/>
      <c r="FJ12" s="35">
        <f t="shared" si="76"/>
        <v>64520.2521075</v>
      </c>
      <c r="FK12" s="5">
        <f t="shared" si="77"/>
        <v>64520.2521075</v>
      </c>
      <c r="FL12" s="35">
        <f t="shared" si="78"/>
        <v>27809.615976099998</v>
      </c>
      <c r="FM12" s="35">
        <f t="shared" si="136"/>
        <v>288.9558119</v>
      </c>
      <c r="FN12" s="5"/>
      <c r="FO12" s="35"/>
      <c r="FP12" s="35">
        <f t="shared" si="79"/>
        <v>93551.327805</v>
      </c>
      <c r="FQ12" s="35">
        <f t="shared" si="80"/>
        <v>93551.327805</v>
      </c>
      <c r="FR12" s="35">
        <f t="shared" si="81"/>
        <v>40322.633829399994</v>
      </c>
      <c r="FS12" s="35">
        <f t="shared" si="138"/>
        <v>418.9723226</v>
      </c>
      <c r="FT12" s="5"/>
      <c r="FU12" s="35"/>
      <c r="FV12" s="35">
        <f t="shared" si="82"/>
        <v>118497.992835</v>
      </c>
      <c r="FW12" s="35">
        <f t="shared" si="83"/>
        <v>118497.992835</v>
      </c>
      <c r="FX12" s="35">
        <f t="shared" si="84"/>
        <v>51075.1828618</v>
      </c>
      <c r="FY12" s="35">
        <f t="shared" si="140"/>
        <v>530.6966822</v>
      </c>
      <c r="FZ12" s="5"/>
      <c r="GA12" s="35"/>
      <c r="GB12" s="35">
        <f t="shared" si="85"/>
        <v>546.7951575</v>
      </c>
      <c r="GC12" s="5">
        <f t="shared" si="86"/>
        <v>546.7951575</v>
      </c>
      <c r="GD12" s="35">
        <f t="shared" si="87"/>
        <v>235.6804701</v>
      </c>
      <c r="GE12" s="35">
        <f t="shared" si="142"/>
        <v>2.4488379</v>
      </c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:230" ht="12.75">
      <c r="A13" s="36">
        <v>44652</v>
      </c>
      <c r="C13" s="3">
        <v>5095000</v>
      </c>
      <c r="D13" s="3">
        <v>1212675</v>
      </c>
      <c r="E13" s="34">
        <f t="shared" si="0"/>
        <v>6307675</v>
      </c>
      <c r="F13" s="34">
        <v>522689</v>
      </c>
      <c r="G13" s="34">
        <v>5431</v>
      </c>
      <c r="I13" s="35">
        <f>'2019C Academic'!I13</f>
        <v>1137361.9449999998</v>
      </c>
      <c r="J13" s="35">
        <f>'2019C Academic'!J13</f>
        <v>270706.652925</v>
      </c>
      <c r="K13" s="35">
        <f t="shared" si="88"/>
        <v>1408068.597925</v>
      </c>
      <c r="L13" s="35">
        <f>'2019C Academic'!L13</f>
        <v>116680.38815900001</v>
      </c>
      <c r="M13" s="35">
        <f>'2019C Academic'!M13</f>
        <v>1212.3675610000003</v>
      </c>
      <c r="O13" s="35">
        <f>U13+AA13+AG13+AM13+AS13+AY13+BE13+BK13+BQ13+BW13+CC13+CI13+CO13+CU13+DG13+DM13+DS13+DY13+EE13+EK13+EQ13+EW13+FC13+FI13+DA13+FO13+FU13+GA13+GG13</f>
        <v>3957638.0549999997</v>
      </c>
      <c r="P13" s="34">
        <f t="shared" si="1"/>
        <v>941968.3470749999</v>
      </c>
      <c r="Q13" s="5">
        <f t="shared" si="2"/>
        <v>4899606.402075</v>
      </c>
      <c r="R13" s="34">
        <f t="shared" si="3"/>
        <v>406008.61184100003</v>
      </c>
      <c r="S13" s="34">
        <f t="shared" si="3"/>
        <v>4218.1333301</v>
      </c>
      <c r="U13" s="35">
        <f t="shared" si="89"/>
        <v>1106.634</v>
      </c>
      <c r="V13" s="35">
        <f t="shared" si="4"/>
        <v>263.39301</v>
      </c>
      <c r="W13" s="5">
        <f t="shared" si="5"/>
        <v>1370.02701</v>
      </c>
      <c r="X13" s="35">
        <f t="shared" si="6"/>
        <v>113.5280508</v>
      </c>
      <c r="Y13" s="35">
        <f t="shared" si="90"/>
        <v>1.1796132</v>
      </c>
      <c r="AA13" s="35">
        <f t="shared" si="91"/>
        <v>117768.3775</v>
      </c>
      <c r="AB13" s="35">
        <f t="shared" si="7"/>
        <v>28030.3762875</v>
      </c>
      <c r="AC13" s="5">
        <f t="shared" si="8"/>
        <v>145798.7537875</v>
      </c>
      <c r="AD13" s="35">
        <f t="shared" si="9"/>
        <v>12081.694890499999</v>
      </c>
      <c r="AE13" s="35">
        <f t="shared" si="92"/>
        <v>125.53484949999999</v>
      </c>
      <c r="AG13" s="35">
        <f t="shared" si="93"/>
        <v>7226.2384999999995</v>
      </c>
      <c r="AH13" s="35">
        <f t="shared" si="10"/>
        <v>1719.9369525</v>
      </c>
      <c r="AI13" s="35">
        <f t="shared" si="11"/>
        <v>8946.1754525</v>
      </c>
      <c r="AJ13" s="35">
        <f t="shared" si="12"/>
        <v>741.3298087</v>
      </c>
      <c r="AK13" s="35">
        <f t="shared" si="94"/>
        <v>7.7027873</v>
      </c>
      <c r="AM13" s="35">
        <f t="shared" si="95"/>
        <v>52264.0005</v>
      </c>
      <c r="AN13" s="35">
        <f t="shared" si="13"/>
        <v>12439.4988825</v>
      </c>
      <c r="AO13" s="5">
        <f t="shared" si="14"/>
        <v>64703.4993825</v>
      </c>
      <c r="AP13" s="35">
        <f t="shared" si="15"/>
        <v>5361.6914931</v>
      </c>
      <c r="AQ13" s="35">
        <f t="shared" si="96"/>
        <v>55.7106549</v>
      </c>
      <c r="AS13" s="35">
        <f t="shared" si="97"/>
        <v>41338.792</v>
      </c>
      <c r="AT13" s="35">
        <f t="shared" si="16"/>
        <v>9839.159880000001</v>
      </c>
      <c r="AU13" s="5">
        <f t="shared" si="17"/>
        <v>51177.95188</v>
      </c>
      <c r="AV13" s="35">
        <f t="shared" si="18"/>
        <v>4240.8894704</v>
      </c>
      <c r="AW13" s="35">
        <f t="shared" si="98"/>
        <v>44.064961600000004</v>
      </c>
      <c r="AY13" s="35">
        <f t="shared" si="99"/>
        <v>11027.618</v>
      </c>
      <c r="AZ13" s="35">
        <f t="shared" si="19"/>
        <v>2624.71377</v>
      </c>
      <c r="BA13" s="5">
        <f t="shared" si="20"/>
        <v>13652.33177</v>
      </c>
      <c r="BB13" s="35">
        <f t="shared" si="21"/>
        <v>1131.3080716</v>
      </c>
      <c r="BC13" s="35">
        <f t="shared" si="100"/>
        <v>11.7548564</v>
      </c>
      <c r="BE13" s="35">
        <f t="shared" si="101"/>
        <v>124690.954</v>
      </c>
      <c r="BF13" s="35">
        <f t="shared" si="22"/>
        <v>29678.03781</v>
      </c>
      <c r="BG13" s="5">
        <f t="shared" si="23"/>
        <v>154368.99181</v>
      </c>
      <c r="BH13" s="35">
        <f t="shared" si="24"/>
        <v>12791.8724348</v>
      </c>
      <c r="BI13" s="35">
        <f t="shared" si="102"/>
        <v>132.9139492</v>
      </c>
      <c r="BJ13" s="5"/>
      <c r="BK13" s="35">
        <f t="shared" si="103"/>
        <v>2192.3785</v>
      </c>
      <c r="BL13" s="35">
        <f t="shared" si="25"/>
        <v>521.8140525</v>
      </c>
      <c r="BM13" s="5">
        <f t="shared" si="26"/>
        <v>2714.1925524999997</v>
      </c>
      <c r="BN13" s="35">
        <f t="shared" si="27"/>
        <v>224.9130767</v>
      </c>
      <c r="BO13" s="35">
        <f t="shared" si="104"/>
        <v>2.3369593</v>
      </c>
      <c r="BP13" s="5"/>
      <c r="BQ13" s="35">
        <f t="shared" si="105"/>
        <v>468.2305</v>
      </c>
      <c r="BR13" s="35">
        <f t="shared" si="28"/>
        <v>111.4448325</v>
      </c>
      <c r="BS13" s="5">
        <f t="shared" si="29"/>
        <v>579.6753325</v>
      </c>
      <c r="BT13" s="35">
        <f t="shared" si="30"/>
        <v>48.035119099999996</v>
      </c>
      <c r="BU13" s="35"/>
      <c r="BV13" s="5"/>
      <c r="BW13" s="35">
        <f t="shared" si="106"/>
        <v>447819.93</v>
      </c>
      <c r="BX13" s="35">
        <f t="shared" si="31"/>
        <v>106586.85645</v>
      </c>
      <c r="BY13" s="5">
        <f t="shared" si="32"/>
        <v>554406.78645</v>
      </c>
      <c r="BZ13" s="35">
        <f t="shared" si="33"/>
        <v>45941.226966</v>
      </c>
      <c r="CA13" s="35">
        <f t="shared" si="107"/>
        <v>477.352314</v>
      </c>
      <c r="CB13" s="5"/>
      <c r="CC13" s="35">
        <f t="shared" si="108"/>
        <v>863.6025</v>
      </c>
      <c r="CD13" s="35">
        <f t="shared" si="34"/>
        <v>205.5484125</v>
      </c>
      <c r="CE13" s="5">
        <f t="shared" si="35"/>
        <v>1069.1509125</v>
      </c>
      <c r="CF13" s="35">
        <f t="shared" si="36"/>
        <v>88.5957855</v>
      </c>
      <c r="CG13" s="35">
        <f t="shared" si="109"/>
        <v>0.9205545</v>
      </c>
      <c r="CH13" s="5"/>
      <c r="CI13" s="35">
        <f t="shared" si="110"/>
        <v>513.0665</v>
      </c>
      <c r="CJ13" s="35">
        <f t="shared" si="37"/>
        <v>122.1163725</v>
      </c>
      <c r="CK13" s="5">
        <f t="shared" si="38"/>
        <v>635.1828725</v>
      </c>
      <c r="CL13" s="35">
        <f t="shared" si="39"/>
        <v>52.6347823</v>
      </c>
      <c r="CM13" s="35">
        <f t="shared" si="111"/>
        <v>0.5469016999999999</v>
      </c>
      <c r="CN13" s="5"/>
      <c r="CO13" s="35">
        <f t="shared" si="112"/>
        <v>32012.904</v>
      </c>
      <c r="CP13" s="35">
        <f t="shared" si="40"/>
        <v>7619.47956</v>
      </c>
      <c r="CQ13" s="5">
        <f t="shared" si="41"/>
        <v>39632.38356</v>
      </c>
      <c r="CR13" s="35">
        <f t="shared" si="42"/>
        <v>3284.1595248</v>
      </c>
      <c r="CS13" s="35">
        <f t="shared" si="113"/>
        <v>34.1240592</v>
      </c>
      <c r="CT13" s="5"/>
      <c r="CU13" s="35">
        <f t="shared" si="114"/>
        <v>3381.5515</v>
      </c>
      <c r="CV13" s="35">
        <f t="shared" si="43"/>
        <v>804.8523975</v>
      </c>
      <c r="CW13" s="5">
        <f t="shared" si="44"/>
        <v>4186.4038975</v>
      </c>
      <c r="CX13" s="35">
        <f t="shared" si="45"/>
        <v>346.9086893</v>
      </c>
      <c r="CY13" s="35">
        <f t="shared" si="115"/>
        <v>3.6045547</v>
      </c>
      <c r="CZ13" s="5"/>
      <c r="DA13" s="35">
        <f>$C13*DB$6</f>
        <v>9237.7445</v>
      </c>
      <c r="DB13" s="35">
        <f t="shared" si="46"/>
        <v>2198.7010425</v>
      </c>
      <c r="DC13" s="5">
        <f t="shared" si="47"/>
        <v>11436.445542500001</v>
      </c>
      <c r="DD13" s="35">
        <f t="shared" si="48"/>
        <v>947.6874259</v>
      </c>
      <c r="DE13" s="35">
        <f t="shared" si="116"/>
        <v>9.8469461</v>
      </c>
      <c r="DF13" s="5"/>
      <c r="DG13" s="35">
        <f t="shared" si="117"/>
        <v>90360.3345</v>
      </c>
      <c r="DH13" s="35">
        <f t="shared" si="49"/>
        <v>21506.9123925</v>
      </c>
      <c r="DI13" s="35">
        <f t="shared" si="50"/>
        <v>111867.2468925</v>
      </c>
      <c r="DJ13" s="35">
        <f t="shared" si="51"/>
        <v>9269.9416839</v>
      </c>
      <c r="DK13" s="35">
        <f t="shared" si="118"/>
        <v>96.3193281</v>
      </c>
      <c r="DL13" s="5"/>
      <c r="DM13" s="35">
        <f t="shared" si="119"/>
        <v>12478.673999999999</v>
      </c>
      <c r="DN13" s="35">
        <f t="shared" si="52"/>
        <v>2970.0836099999997</v>
      </c>
      <c r="DO13" s="35">
        <f t="shared" si="53"/>
        <v>15448.757609999999</v>
      </c>
      <c r="DP13" s="35">
        <f t="shared" si="54"/>
        <v>1280.1698988</v>
      </c>
      <c r="DQ13" s="35">
        <f t="shared" si="120"/>
        <v>13.3016052</v>
      </c>
      <c r="DR13" s="5"/>
      <c r="DS13" s="35">
        <f t="shared" si="121"/>
        <v>49849.479999999996</v>
      </c>
      <c r="DT13" s="35">
        <f t="shared" si="55"/>
        <v>11864.812199999998</v>
      </c>
      <c r="DU13" s="5">
        <f t="shared" si="56"/>
        <v>61714.292199999996</v>
      </c>
      <c r="DV13" s="35">
        <f t="shared" si="57"/>
        <v>5113.989176</v>
      </c>
      <c r="DW13" s="35">
        <f t="shared" si="122"/>
        <v>53.136903999999994</v>
      </c>
      <c r="DX13" s="5"/>
      <c r="DY13" s="35">
        <f t="shared" si="123"/>
        <v>400849.125</v>
      </c>
      <c r="DZ13" s="35">
        <f t="shared" si="58"/>
        <v>95407.20562499999</v>
      </c>
      <c r="EA13" s="35">
        <f t="shared" si="59"/>
        <v>496256.330625</v>
      </c>
      <c r="EB13" s="35">
        <f t="shared" si="60"/>
        <v>41122.557075</v>
      </c>
      <c r="EC13" s="35">
        <f t="shared" si="124"/>
        <v>427.28392499999995</v>
      </c>
      <c r="ED13" s="5"/>
      <c r="EE13" s="35">
        <f t="shared" si="125"/>
        <v>598833.1825</v>
      </c>
      <c r="EF13" s="35">
        <f t="shared" si="61"/>
        <v>142529.9371125</v>
      </c>
      <c r="EG13" s="5">
        <f t="shared" si="62"/>
        <v>741363.1196125</v>
      </c>
      <c r="EH13" s="35">
        <f t="shared" si="63"/>
        <v>61433.4675815</v>
      </c>
      <c r="EI13" s="35">
        <f t="shared" si="126"/>
        <v>638.3244385</v>
      </c>
      <c r="EJ13" s="5"/>
      <c r="EK13" s="35">
        <f t="shared" si="127"/>
        <v>4991.062</v>
      </c>
      <c r="EL13" s="35">
        <f t="shared" si="64"/>
        <v>1187.93643</v>
      </c>
      <c r="EM13" s="5">
        <f t="shared" si="65"/>
        <v>6178.99843</v>
      </c>
      <c r="EN13" s="35">
        <f t="shared" si="66"/>
        <v>512.0261444</v>
      </c>
      <c r="EO13" s="35">
        <f t="shared" si="128"/>
        <v>5.3202076</v>
      </c>
      <c r="EP13" s="5"/>
      <c r="EQ13" s="35">
        <f t="shared" si="129"/>
        <v>191379.9185</v>
      </c>
      <c r="ER13" s="35">
        <f t="shared" si="67"/>
        <v>45550.8621525</v>
      </c>
      <c r="ES13" s="5">
        <f t="shared" si="68"/>
        <v>236930.7806525</v>
      </c>
      <c r="ET13" s="35">
        <f t="shared" si="69"/>
        <v>19633.4010247</v>
      </c>
      <c r="EU13" s="35">
        <f t="shared" si="130"/>
        <v>204.0008513</v>
      </c>
      <c r="EV13" s="5"/>
      <c r="EW13" s="35">
        <f t="shared" si="131"/>
        <v>319314.34949999995</v>
      </c>
      <c r="EX13" s="35">
        <f t="shared" si="70"/>
        <v>76000.88886749999</v>
      </c>
      <c r="EY13" s="5">
        <f t="shared" si="71"/>
        <v>395315.23836749996</v>
      </c>
      <c r="EZ13" s="35">
        <f t="shared" si="72"/>
        <v>32758.0172769</v>
      </c>
      <c r="FA13" s="35">
        <f t="shared" si="132"/>
        <v>340.3721751</v>
      </c>
      <c r="FB13" s="5"/>
      <c r="FC13" s="35">
        <f t="shared" si="133"/>
        <v>273377.8295</v>
      </c>
      <c r="FD13" s="35">
        <f t="shared" si="73"/>
        <v>65067.4110675</v>
      </c>
      <c r="FE13" s="5">
        <f t="shared" si="74"/>
        <v>338445.2405675</v>
      </c>
      <c r="FF13" s="35">
        <f t="shared" si="75"/>
        <v>28045.4532529</v>
      </c>
      <c r="FG13" s="35">
        <f t="shared" si="134"/>
        <v>291.4062791</v>
      </c>
      <c r="FH13" s="5"/>
      <c r="FI13" s="35">
        <f t="shared" si="135"/>
        <v>271078.9655</v>
      </c>
      <c r="FJ13" s="35">
        <f t="shared" si="76"/>
        <v>64520.2521075</v>
      </c>
      <c r="FK13" s="5">
        <f t="shared" si="77"/>
        <v>335599.2176075</v>
      </c>
      <c r="FL13" s="35">
        <f t="shared" si="78"/>
        <v>27809.615976099998</v>
      </c>
      <c r="FM13" s="35">
        <f t="shared" si="136"/>
        <v>288.9558119</v>
      </c>
      <c r="FN13" s="5"/>
      <c r="FO13" s="35">
        <f t="shared" si="137"/>
        <v>393051.73699999996</v>
      </c>
      <c r="FP13" s="35">
        <f t="shared" si="79"/>
        <v>93551.327805</v>
      </c>
      <c r="FQ13" s="35">
        <f t="shared" si="80"/>
        <v>486603.064805</v>
      </c>
      <c r="FR13" s="35">
        <f t="shared" si="81"/>
        <v>40322.633829399994</v>
      </c>
      <c r="FS13" s="35">
        <f t="shared" si="138"/>
        <v>418.9723226</v>
      </c>
      <c r="FT13" s="5"/>
      <c r="FU13" s="35">
        <f t="shared" si="139"/>
        <v>497864.039</v>
      </c>
      <c r="FV13" s="35">
        <f t="shared" si="82"/>
        <v>118497.992835</v>
      </c>
      <c r="FW13" s="35">
        <f t="shared" si="83"/>
        <v>616362.031835</v>
      </c>
      <c r="FX13" s="35">
        <f t="shared" si="84"/>
        <v>51075.1828618</v>
      </c>
      <c r="FY13" s="35">
        <f t="shared" si="140"/>
        <v>530.6966822</v>
      </c>
      <c r="FZ13" s="5"/>
      <c r="GA13" s="35">
        <f t="shared" si="141"/>
        <v>2297.3355</v>
      </c>
      <c r="GB13" s="35">
        <f t="shared" si="85"/>
        <v>546.7951575</v>
      </c>
      <c r="GC13" s="5">
        <f t="shared" si="86"/>
        <v>2844.1306575</v>
      </c>
      <c r="GD13" s="35">
        <f t="shared" si="87"/>
        <v>235.6804701</v>
      </c>
      <c r="GE13" s="35">
        <f t="shared" si="142"/>
        <v>2.4488379</v>
      </c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  <row r="14" spans="1:230" ht="12.75">
      <c r="A14" s="36">
        <v>44835</v>
      </c>
      <c r="D14" s="3">
        <v>1136250</v>
      </c>
      <c r="E14" s="34">
        <f t="shared" si="0"/>
        <v>1136250</v>
      </c>
      <c r="F14" s="34">
        <v>522689</v>
      </c>
      <c r="G14" s="34">
        <v>5431</v>
      </c>
      <c r="I14" s="35">
        <f>'2019C Academic'!I14</f>
        <v>0</v>
      </c>
      <c r="J14" s="35">
        <f>'2019C Academic'!J14</f>
        <v>253646.22375000003</v>
      </c>
      <c r="K14" s="35">
        <f t="shared" si="88"/>
        <v>253646.22375000003</v>
      </c>
      <c r="L14" s="35">
        <f>'2019C Academic'!L14</f>
        <v>116680.38815900001</v>
      </c>
      <c r="M14" s="35">
        <f>'2019C Academic'!M14</f>
        <v>1212.3675610000003</v>
      </c>
      <c r="O14" s="35"/>
      <c r="P14" s="34">
        <f t="shared" si="1"/>
        <v>882603.7762499999</v>
      </c>
      <c r="Q14" s="5">
        <f t="shared" si="2"/>
        <v>882603.7762499999</v>
      </c>
      <c r="R14" s="34">
        <f t="shared" si="3"/>
        <v>406008.61184100003</v>
      </c>
      <c r="S14" s="34">
        <f t="shared" si="3"/>
        <v>4218.1333301</v>
      </c>
      <c r="U14" s="35"/>
      <c r="V14" s="35">
        <f t="shared" si="4"/>
        <v>246.7935</v>
      </c>
      <c r="W14" s="5">
        <f t="shared" si="5"/>
        <v>246.7935</v>
      </c>
      <c r="X14" s="35">
        <f t="shared" si="6"/>
        <v>113.5280508</v>
      </c>
      <c r="Y14" s="35">
        <f t="shared" si="90"/>
        <v>1.1796132</v>
      </c>
      <c r="AA14" s="35"/>
      <c r="AB14" s="35">
        <f t="shared" si="7"/>
        <v>26263.850625</v>
      </c>
      <c r="AC14" s="5">
        <f t="shared" si="8"/>
        <v>26263.850625</v>
      </c>
      <c r="AD14" s="35">
        <f t="shared" si="9"/>
        <v>12081.694890499999</v>
      </c>
      <c r="AE14" s="35">
        <f t="shared" si="92"/>
        <v>125.53484949999999</v>
      </c>
      <c r="AG14" s="35"/>
      <c r="AH14" s="35">
        <f t="shared" si="10"/>
        <v>1611.543375</v>
      </c>
      <c r="AI14" s="35">
        <f t="shared" si="11"/>
        <v>1611.543375</v>
      </c>
      <c r="AJ14" s="35">
        <f t="shared" si="12"/>
        <v>741.3298087</v>
      </c>
      <c r="AK14" s="35">
        <f t="shared" si="94"/>
        <v>7.7027873</v>
      </c>
      <c r="AM14" s="35"/>
      <c r="AN14" s="35">
        <f t="shared" si="13"/>
        <v>11655.538875</v>
      </c>
      <c r="AO14" s="5">
        <f t="shared" si="14"/>
        <v>11655.538875</v>
      </c>
      <c r="AP14" s="35">
        <f t="shared" si="15"/>
        <v>5361.6914931</v>
      </c>
      <c r="AQ14" s="35">
        <f t="shared" si="96"/>
        <v>55.7106549</v>
      </c>
      <c r="AS14" s="35"/>
      <c r="AT14" s="35">
        <f t="shared" si="16"/>
        <v>9219.078</v>
      </c>
      <c r="AU14" s="5">
        <f t="shared" si="17"/>
        <v>9219.078</v>
      </c>
      <c r="AV14" s="35">
        <f t="shared" si="18"/>
        <v>4240.8894704</v>
      </c>
      <c r="AW14" s="35">
        <f t="shared" si="98"/>
        <v>44.064961600000004</v>
      </c>
      <c r="AY14" s="35"/>
      <c r="AZ14" s="35">
        <f t="shared" si="19"/>
        <v>2459.2995</v>
      </c>
      <c r="BA14" s="5">
        <f t="shared" si="20"/>
        <v>2459.2995</v>
      </c>
      <c r="BB14" s="35">
        <f t="shared" si="21"/>
        <v>1131.3080716</v>
      </c>
      <c r="BC14" s="35">
        <f t="shared" si="100"/>
        <v>11.7548564</v>
      </c>
      <c r="BE14" s="35"/>
      <c r="BF14" s="35">
        <f t="shared" si="22"/>
        <v>27807.6735</v>
      </c>
      <c r="BG14" s="5">
        <f t="shared" si="23"/>
        <v>27807.6735</v>
      </c>
      <c r="BH14" s="35">
        <f t="shared" si="24"/>
        <v>12791.8724348</v>
      </c>
      <c r="BI14" s="35">
        <f t="shared" si="102"/>
        <v>132.9139492</v>
      </c>
      <c r="BJ14" s="5"/>
      <c r="BK14" s="35"/>
      <c r="BL14" s="35">
        <f t="shared" si="25"/>
        <v>488.928375</v>
      </c>
      <c r="BM14" s="5">
        <f t="shared" si="26"/>
        <v>488.928375</v>
      </c>
      <c r="BN14" s="35">
        <f t="shared" si="27"/>
        <v>224.9130767</v>
      </c>
      <c r="BO14" s="35">
        <f t="shared" si="104"/>
        <v>2.3369593</v>
      </c>
      <c r="BP14" s="5"/>
      <c r="BQ14" s="35"/>
      <c r="BR14" s="35">
        <f t="shared" si="28"/>
        <v>104.421375</v>
      </c>
      <c r="BS14" s="5">
        <f t="shared" si="29"/>
        <v>104.421375</v>
      </c>
      <c r="BT14" s="35">
        <f t="shared" si="30"/>
        <v>48.035119099999996</v>
      </c>
      <c r="BU14" s="35"/>
      <c r="BV14" s="5"/>
      <c r="BW14" s="35"/>
      <c r="BX14" s="35">
        <f t="shared" si="31"/>
        <v>99869.5575</v>
      </c>
      <c r="BY14" s="5">
        <f t="shared" si="32"/>
        <v>99869.5575</v>
      </c>
      <c r="BZ14" s="35">
        <f t="shared" si="33"/>
        <v>45941.226966</v>
      </c>
      <c r="CA14" s="35">
        <f t="shared" si="107"/>
        <v>477.352314</v>
      </c>
      <c r="CB14" s="5"/>
      <c r="CC14" s="35"/>
      <c r="CD14" s="35">
        <f t="shared" si="34"/>
        <v>192.594375</v>
      </c>
      <c r="CE14" s="5">
        <f t="shared" si="35"/>
        <v>192.594375</v>
      </c>
      <c r="CF14" s="35">
        <f t="shared" si="36"/>
        <v>88.5957855</v>
      </c>
      <c r="CG14" s="35">
        <f t="shared" si="109"/>
        <v>0.9205545</v>
      </c>
      <c r="CH14" s="5"/>
      <c r="CI14" s="35"/>
      <c r="CJ14" s="35">
        <f t="shared" si="37"/>
        <v>114.42037499999999</v>
      </c>
      <c r="CK14" s="5">
        <f t="shared" si="38"/>
        <v>114.42037499999999</v>
      </c>
      <c r="CL14" s="35">
        <f t="shared" si="39"/>
        <v>52.6347823</v>
      </c>
      <c r="CM14" s="35">
        <f t="shared" si="111"/>
        <v>0.5469016999999999</v>
      </c>
      <c r="CN14" s="5"/>
      <c r="CO14" s="35"/>
      <c r="CP14" s="35">
        <f t="shared" si="40"/>
        <v>7139.286</v>
      </c>
      <c r="CQ14" s="5">
        <f t="shared" si="41"/>
        <v>7139.286</v>
      </c>
      <c r="CR14" s="35">
        <f t="shared" si="42"/>
        <v>3284.1595248</v>
      </c>
      <c r="CS14" s="35">
        <f t="shared" si="113"/>
        <v>34.1240592</v>
      </c>
      <c r="CT14" s="5"/>
      <c r="CU14" s="35"/>
      <c r="CV14" s="35">
        <f t="shared" si="43"/>
        <v>754.129125</v>
      </c>
      <c r="CW14" s="5">
        <f t="shared" si="44"/>
        <v>754.129125</v>
      </c>
      <c r="CX14" s="35">
        <f t="shared" si="45"/>
        <v>346.9086893</v>
      </c>
      <c r="CY14" s="35">
        <f t="shared" si="115"/>
        <v>3.6045547</v>
      </c>
      <c r="CZ14" s="5"/>
      <c r="DA14" s="35"/>
      <c r="DB14" s="35">
        <f t="shared" si="46"/>
        <v>2060.134875</v>
      </c>
      <c r="DC14" s="5">
        <f t="shared" si="47"/>
        <v>2060.134875</v>
      </c>
      <c r="DD14" s="35">
        <f t="shared" si="48"/>
        <v>947.6874259</v>
      </c>
      <c r="DE14" s="35">
        <f t="shared" si="116"/>
        <v>9.8469461</v>
      </c>
      <c r="DF14" s="5"/>
      <c r="DG14" s="35"/>
      <c r="DH14" s="35">
        <f t="shared" si="49"/>
        <v>20151.507375</v>
      </c>
      <c r="DI14" s="35">
        <f t="shared" si="50"/>
        <v>20151.507375</v>
      </c>
      <c r="DJ14" s="35">
        <f t="shared" si="51"/>
        <v>9269.9416839</v>
      </c>
      <c r="DK14" s="35">
        <f t="shared" si="118"/>
        <v>96.3193281</v>
      </c>
      <c r="DL14" s="5"/>
      <c r="DM14" s="35"/>
      <c r="DN14" s="35">
        <f t="shared" si="52"/>
        <v>2782.9035</v>
      </c>
      <c r="DO14" s="35">
        <f t="shared" si="53"/>
        <v>2782.9035</v>
      </c>
      <c r="DP14" s="35">
        <f t="shared" si="54"/>
        <v>1280.1698988</v>
      </c>
      <c r="DQ14" s="35">
        <f t="shared" si="120"/>
        <v>13.3016052</v>
      </c>
      <c r="DR14" s="5"/>
      <c r="DS14" s="35"/>
      <c r="DT14" s="35">
        <f t="shared" si="55"/>
        <v>11117.07</v>
      </c>
      <c r="DU14" s="5">
        <f t="shared" si="56"/>
        <v>11117.07</v>
      </c>
      <c r="DV14" s="35">
        <f t="shared" si="57"/>
        <v>5113.989176</v>
      </c>
      <c r="DW14" s="35">
        <f t="shared" si="122"/>
        <v>53.136903999999994</v>
      </c>
      <c r="DX14" s="5"/>
      <c r="DY14" s="35"/>
      <c r="DZ14" s="35">
        <f t="shared" si="58"/>
        <v>89394.46875</v>
      </c>
      <c r="EA14" s="35">
        <f t="shared" si="59"/>
        <v>89394.46875</v>
      </c>
      <c r="EB14" s="35">
        <f t="shared" si="60"/>
        <v>41122.557075</v>
      </c>
      <c r="EC14" s="35">
        <f t="shared" si="124"/>
        <v>427.28392499999995</v>
      </c>
      <c r="ED14" s="5"/>
      <c r="EE14" s="35"/>
      <c r="EF14" s="35">
        <f t="shared" si="61"/>
        <v>133547.439375</v>
      </c>
      <c r="EG14" s="5">
        <f t="shared" si="62"/>
        <v>133547.439375</v>
      </c>
      <c r="EH14" s="35">
        <f t="shared" si="63"/>
        <v>61433.4675815</v>
      </c>
      <c r="EI14" s="35">
        <f t="shared" si="126"/>
        <v>638.3244385</v>
      </c>
      <c r="EJ14" s="5"/>
      <c r="EK14" s="35"/>
      <c r="EL14" s="35">
        <f t="shared" si="64"/>
        <v>1113.0705</v>
      </c>
      <c r="EM14" s="5">
        <f t="shared" si="65"/>
        <v>1113.0705</v>
      </c>
      <c r="EN14" s="35">
        <f t="shared" si="66"/>
        <v>512.0261444</v>
      </c>
      <c r="EO14" s="35">
        <f t="shared" si="128"/>
        <v>5.3202076</v>
      </c>
      <c r="EP14" s="5"/>
      <c r="EQ14" s="35"/>
      <c r="ER14" s="35">
        <f t="shared" si="67"/>
        <v>42680.163375</v>
      </c>
      <c r="ES14" s="5">
        <f t="shared" si="68"/>
        <v>42680.163375</v>
      </c>
      <c r="ET14" s="35">
        <f t="shared" si="69"/>
        <v>19633.4010247</v>
      </c>
      <c r="EU14" s="35">
        <f t="shared" si="130"/>
        <v>204.0008513</v>
      </c>
      <c r="EV14" s="5"/>
      <c r="EW14" s="35"/>
      <c r="EX14" s="35">
        <f t="shared" si="70"/>
        <v>71211.173625</v>
      </c>
      <c r="EY14" s="5">
        <f t="shared" si="71"/>
        <v>71211.173625</v>
      </c>
      <c r="EZ14" s="35">
        <f t="shared" si="72"/>
        <v>32758.0172769</v>
      </c>
      <c r="FA14" s="35">
        <f t="shared" si="132"/>
        <v>340.3721751</v>
      </c>
      <c r="FB14" s="5"/>
      <c r="FC14" s="35"/>
      <c r="FD14" s="35">
        <f t="shared" si="73"/>
        <v>60966.743624999996</v>
      </c>
      <c r="FE14" s="5">
        <f t="shared" si="74"/>
        <v>60966.743624999996</v>
      </c>
      <c r="FF14" s="35">
        <f t="shared" si="75"/>
        <v>28045.4532529</v>
      </c>
      <c r="FG14" s="35">
        <f t="shared" si="134"/>
        <v>291.4062791</v>
      </c>
      <c r="FH14" s="5"/>
      <c r="FI14" s="35"/>
      <c r="FJ14" s="35">
        <f t="shared" si="76"/>
        <v>60454.067624999996</v>
      </c>
      <c r="FK14" s="5">
        <f t="shared" si="77"/>
        <v>60454.067624999996</v>
      </c>
      <c r="FL14" s="35">
        <f t="shared" si="78"/>
        <v>27809.615976099998</v>
      </c>
      <c r="FM14" s="35">
        <f t="shared" si="136"/>
        <v>288.9558119</v>
      </c>
      <c r="FN14" s="5"/>
      <c r="FO14" s="35"/>
      <c r="FP14" s="35">
        <f t="shared" si="79"/>
        <v>87655.55175</v>
      </c>
      <c r="FQ14" s="35">
        <f t="shared" si="80"/>
        <v>87655.55175</v>
      </c>
      <c r="FR14" s="35">
        <f t="shared" si="81"/>
        <v>40322.633829399994</v>
      </c>
      <c r="FS14" s="35">
        <f t="shared" si="138"/>
        <v>418.9723226</v>
      </c>
      <c r="FT14" s="5"/>
      <c r="FU14" s="35"/>
      <c r="FV14" s="35">
        <f t="shared" si="82"/>
        <v>111030.03225</v>
      </c>
      <c r="FW14" s="35">
        <f t="shared" si="83"/>
        <v>111030.03225</v>
      </c>
      <c r="FX14" s="35">
        <f t="shared" si="84"/>
        <v>51075.1828618</v>
      </c>
      <c r="FY14" s="35">
        <f t="shared" si="140"/>
        <v>530.6966822</v>
      </c>
      <c r="FZ14" s="5"/>
      <c r="GA14" s="35"/>
      <c r="GB14" s="35">
        <f t="shared" si="85"/>
        <v>512.3351250000001</v>
      </c>
      <c r="GC14" s="5">
        <f t="shared" si="86"/>
        <v>512.3351250000001</v>
      </c>
      <c r="GD14" s="35">
        <f t="shared" si="87"/>
        <v>235.6804701</v>
      </c>
      <c r="GE14" s="35">
        <f t="shared" si="142"/>
        <v>2.4488379</v>
      </c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</row>
    <row r="15" spans="1:230" ht="12.75">
      <c r="A15" s="36">
        <v>45017</v>
      </c>
      <c r="C15" s="3">
        <v>5240000</v>
      </c>
      <c r="D15" s="3">
        <v>1136250</v>
      </c>
      <c r="E15" s="34">
        <f t="shared" si="0"/>
        <v>6376250</v>
      </c>
      <c r="F15" s="34">
        <v>522689</v>
      </c>
      <c r="G15" s="34">
        <v>5431</v>
      </c>
      <c r="I15" s="35">
        <f>'2019C Academic'!I15</f>
        <v>1169730.44</v>
      </c>
      <c r="J15" s="35">
        <f>'2019C Academic'!J15</f>
        <v>253646.22375000003</v>
      </c>
      <c r="K15" s="35">
        <f t="shared" si="88"/>
        <v>1423376.66375</v>
      </c>
      <c r="L15" s="35">
        <f>'2019C Academic'!L15</f>
        <v>116680.38815900001</v>
      </c>
      <c r="M15" s="35">
        <f>'2019C Academic'!M15</f>
        <v>1212.3675610000003</v>
      </c>
      <c r="O15" s="35">
        <f>U15+AA15+AG15+AM15+AS15+AY15+BE15+BK15+BQ15+BW15+CC15+CI15+CO15+CU15+DG15+DM15+DS15+DY15+EE15+EK15+EQ15+EW15+FC15+FI15+DA15+FO15+FU15+GA15+GG15</f>
        <v>4070269.5599999996</v>
      </c>
      <c r="P15" s="34">
        <f t="shared" si="1"/>
        <v>882603.7762499999</v>
      </c>
      <c r="Q15" s="5">
        <f t="shared" si="2"/>
        <v>4952873.33625</v>
      </c>
      <c r="R15" s="34">
        <f t="shared" si="3"/>
        <v>406008.61184100003</v>
      </c>
      <c r="S15" s="34">
        <f t="shared" si="3"/>
        <v>4218.1333301</v>
      </c>
      <c r="U15" s="35">
        <f t="shared" si="89"/>
        <v>1138.128</v>
      </c>
      <c r="V15" s="35">
        <f t="shared" si="4"/>
        <v>246.7935</v>
      </c>
      <c r="W15" s="5">
        <f t="shared" si="5"/>
        <v>1384.9215</v>
      </c>
      <c r="X15" s="35">
        <f t="shared" si="6"/>
        <v>113.5280508</v>
      </c>
      <c r="Y15" s="35">
        <f t="shared" si="90"/>
        <v>1.1796132</v>
      </c>
      <c r="AA15" s="35">
        <f t="shared" si="91"/>
        <v>121119.98</v>
      </c>
      <c r="AB15" s="35">
        <f t="shared" si="7"/>
        <v>26263.850625</v>
      </c>
      <c r="AC15" s="5">
        <f t="shared" si="8"/>
        <v>147383.830625</v>
      </c>
      <c r="AD15" s="35">
        <f t="shared" si="9"/>
        <v>12081.694890499999</v>
      </c>
      <c r="AE15" s="35">
        <f t="shared" si="92"/>
        <v>125.53484949999999</v>
      </c>
      <c r="AG15" s="35">
        <f t="shared" si="93"/>
        <v>7431.892</v>
      </c>
      <c r="AH15" s="35">
        <f t="shared" si="10"/>
        <v>1611.543375</v>
      </c>
      <c r="AI15" s="35">
        <f t="shared" si="11"/>
        <v>9043.435375</v>
      </c>
      <c r="AJ15" s="35">
        <f t="shared" si="12"/>
        <v>741.3298087</v>
      </c>
      <c r="AK15" s="35">
        <f t="shared" si="94"/>
        <v>7.7027873</v>
      </c>
      <c r="AM15" s="35">
        <f t="shared" si="95"/>
        <v>53751.396</v>
      </c>
      <c r="AN15" s="35">
        <f t="shared" si="13"/>
        <v>11655.538875</v>
      </c>
      <c r="AO15" s="5">
        <f t="shared" si="14"/>
        <v>65406.934875</v>
      </c>
      <c r="AP15" s="35">
        <f t="shared" si="15"/>
        <v>5361.6914931</v>
      </c>
      <c r="AQ15" s="35">
        <f t="shared" si="96"/>
        <v>55.7106549</v>
      </c>
      <c r="AS15" s="35">
        <f t="shared" si="97"/>
        <v>42515.264</v>
      </c>
      <c r="AT15" s="35">
        <f t="shared" si="16"/>
        <v>9219.078</v>
      </c>
      <c r="AU15" s="5">
        <f t="shared" si="17"/>
        <v>51734.342000000004</v>
      </c>
      <c r="AV15" s="35">
        <f t="shared" si="18"/>
        <v>4240.8894704</v>
      </c>
      <c r="AW15" s="35">
        <f t="shared" si="98"/>
        <v>44.064961600000004</v>
      </c>
      <c r="AY15" s="35">
        <f t="shared" si="99"/>
        <v>11341.456</v>
      </c>
      <c r="AZ15" s="35">
        <f t="shared" si="19"/>
        <v>2459.2995</v>
      </c>
      <c r="BA15" s="5">
        <f t="shared" si="20"/>
        <v>13800.7555</v>
      </c>
      <c r="BB15" s="35">
        <f t="shared" si="21"/>
        <v>1131.3080716</v>
      </c>
      <c r="BC15" s="35">
        <f t="shared" si="100"/>
        <v>11.7548564</v>
      </c>
      <c r="BE15" s="35">
        <f t="shared" si="101"/>
        <v>128239.568</v>
      </c>
      <c r="BF15" s="35">
        <f t="shared" si="22"/>
        <v>27807.6735</v>
      </c>
      <c r="BG15" s="5">
        <f t="shared" si="23"/>
        <v>156047.2415</v>
      </c>
      <c r="BH15" s="35">
        <f t="shared" si="24"/>
        <v>12791.8724348</v>
      </c>
      <c r="BI15" s="35">
        <f t="shared" si="102"/>
        <v>132.9139492</v>
      </c>
      <c r="BJ15" s="5"/>
      <c r="BK15" s="35">
        <f t="shared" si="103"/>
        <v>2254.772</v>
      </c>
      <c r="BL15" s="35">
        <f t="shared" si="25"/>
        <v>488.928375</v>
      </c>
      <c r="BM15" s="5">
        <f t="shared" si="26"/>
        <v>2743.700375</v>
      </c>
      <c r="BN15" s="35">
        <f t="shared" si="27"/>
        <v>224.9130767</v>
      </c>
      <c r="BO15" s="35">
        <f t="shared" si="104"/>
        <v>2.3369593</v>
      </c>
      <c r="BP15" s="5"/>
      <c r="BQ15" s="35">
        <f t="shared" si="105"/>
        <v>481.556</v>
      </c>
      <c r="BR15" s="35">
        <f t="shared" si="28"/>
        <v>104.421375</v>
      </c>
      <c r="BS15" s="5">
        <f t="shared" si="29"/>
        <v>585.9773749999999</v>
      </c>
      <c r="BT15" s="35">
        <f t="shared" si="30"/>
        <v>48.035119099999996</v>
      </c>
      <c r="BU15" s="35"/>
      <c r="BV15" s="5"/>
      <c r="BW15" s="35">
        <f t="shared" si="106"/>
        <v>460564.56</v>
      </c>
      <c r="BX15" s="35">
        <f t="shared" si="31"/>
        <v>99869.5575</v>
      </c>
      <c r="BY15" s="5">
        <f t="shared" si="32"/>
        <v>560434.1174999999</v>
      </c>
      <c r="BZ15" s="35">
        <f t="shared" si="33"/>
        <v>45941.226966</v>
      </c>
      <c r="CA15" s="35">
        <f t="shared" si="107"/>
        <v>477.352314</v>
      </c>
      <c r="CB15" s="5"/>
      <c r="CC15" s="35">
        <f t="shared" si="108"/>
        <v>888.18</v>
      </c>
      <c r="CD15" s="35">
        <f t="shared" si="34"/>
        <v>192.594375</v>
      </c>
      <c r="CE15" s="5">
        <f t="shared" si="35"/>
        <v>1080.774375</v>
      </c>
      <c r="CF15" s="35">
        <f t="shared" si="36"/>
        <v>88.5957855</v>
      </c>
      <c r="CG15" s="35">
        <f t="shared" si="109"/>
        <v>0.9205545</v>
      </c>
      <c r="CH15" s="5"/>
      <c r="CI15" s="35">
        <f t="shared" si="110"/>
        <v>527.668</v>
      </c>
      <c r="CJ15" s="35">
        <f t="shared" si="37"/>
        <v>114.42037499999999</v>
      </c>
      <c r="CK15" s="5">
        <f t="shared" si="38"/>
        <v>642.088375</v>
      </c>
      <c r="CL15" s="35">
        <f t="shared" si="39"/>
        <v>52.6347823</v>
      </c>
      <c r="CM15" s="35">
        <f t="shared" si="111"/>
        <v>0.5469016999999999</v>
      </c>
      <c r="CN15" s="5"/>
      <c r="CO15" s="35">
        <f t="shared" si="112"/>
        <v>32923.968</v>
      </c>
      <c r="CP15" s="35">
        <f t="shared" si="40"/>
        <v>7139.286</v>
      </c>
      <c r="CQ15" s="5">
        <f t="shared" si="41"/>
        <v>40063.254</v>
      </c>
      <c r="CR15" s="35">
        <f t="shared" si="42"/>
        <v>3284.1595248</v>
      </c>
      <c r="CS15" s="35">
        <f t="shared" si="113"/>
        <v>34.1240592</v>
      </c>
      <c r="CT15" s="5"/>
      <c r="CU15" s="35">
        <f t="shared" si="114"/>
        <v>3477.788</v>
      </c>
      <c r="CV15" s="35">
        <f t="shared" si="43"/>
        <v>754.129125</v>
      </c>
      <c r="CW15" s="5">
        <f t="shared" si="44"/>
        <v>4231.917125</v>
      </c>
      <c r="CX15" s="35">
        <f t="shared" si="45"/>
        <v>346.9086893</v>
      </c>
      <c r="CY15" s="35">
        <f t="shared" si="115"/>
        <v>3.6045547</v>
      </c>
      <c r="CZ15" s="5"/>
      <c r="DA15" s="35">
        <f>$C15*DB$6</f>
        <v>9500.644</v>
      </c>
      <c r="DB15" s="35">
        <f t="shared" si="46"/>
        <v>2060.134875</v>
      </c>
      <c r="DC15" s="5">
        <f t="shared" si="47"/>
        <v>11560.778875</v>
      </c>
      <c r="DD15" s="35">
        <f t="shared" si="48"/>
        <v>947.6874259</v>
      </c>
      <c r="DE15" s="35">
        <f t="shared" si="116"/>
        <v>9.8469461</v>
      </c>
      <c r="DF15" s="5"/>
      <c r="DG15" s="35">
        <f t="shared" si="117"/>
        <v>92931.924</v>
      </c>
      <c r="DH15" s="35">
        <f t="shared" si="49"/>
        <v>20151.507375</v>
      </c>
      <c r="DI15" s="35">
        <f t="shared" si="50"/>
        <v>113083.431375</v>
      </c>
      <c r="DJ15" s="35">
        <f t="shared" si="51"/>
        <v>9269.9416839</v>
      </c>
      <c r="DK15" s="35">
        <f t="shared" si="118"/>
        <v>96.3193281</v>
      </c>
      <c r="DL15" s="5"/>
      <c r="DM15" s="35">
        <f t="shared" si="119"/>
        <v>12833.807999999999</v>
      </c>
      <c r="DN15" s="35">
        <f t="shared" si="52"/>
        <v>2782.9035</v>
      </c>
      <c r="DO15" s="35">
        <f t="shared" si="53"/>
        <v>15616.7115</v>
      </c>
      <c r="DP15" s="35">
        <f t="shared" si="54"/>
        <v>1280.1698988</v>
      </c>
      <c r="DQ15" s="35">
        <f t="shared" si="120"/>
        <v>13.3016052</v>
      </c>
      <c r="DR15" s="5"/>
      <c r="DS15" s="35">
        <f t="shared" si="121"/>
        <v>51268.159999999996</v>
      </c>
      <c r="DT15" s="35">
        <f t="shared" si="55"/>
        <v>11117.07</v>
      </c>
      <c r="DU15" s="5">
        <f t="shared" si="56"/>
        <v>62385.229999999996</v>
      </c>
      <c r="DV15" s="35">
        <f t="shared" si="57"/>
        <v>5113.989176</v>
      </c>
      <c r="DW15" s="35">
        <f t="shared" si="122"/>
        <v>53.136903999999994</v>
      </c>
      <c r="DX15" s="5"/>
      <c r="DY15" s="35">
        <f t="shared" si="123"/>
        <v>412257</v>
      </c>
      <c r="DZ15" s="35">
        <f t="shared" si="58"/>
        <v>89394.46875</v>
      </c>
      <c r="EA15" s="35">
        <f t="shared" si="59"/>
        <v>501651.46875</v>
      </c>
      <c r="EB15" s="35">
        <f t="shared" si="60"/>
        <v>41122.557075</v>
      </c>
      <c r="EC15" s="35">
        <f t="shared" si="124"/>
        <v>427.28392499999995</v>
      </c>
      <c r="ED15" s="5"/>
      <c r="EE15" s="35">
        <f t="shared" si="125"/>
        <v>615875.54</v>
      </c>
      <c r="EF15" s="35">
        <f t="shared" si="61"/>
        <v>133547.439375</v>
      </c>
      <c r="EG15" s="5">
        <f t="shared" si="62"/>
        <v>749422.979375</v>
      </c>
      <c r="EH15" s="35">
        <f t="shared" si="63"/>
        <v>61433.4675815</v>
      </c>
      <c r="EI15" s="35">
        <f t="shared" si="126"/>
        <v>638.3244385</v>
      </c>
      <c r="EJ15" s="5"/>
      <c r="EK15" s="35">
        <f t="shared" si="127"/>
        <v>5133.103999999999</v>
      </c>
      <c r="EL15" s="35">
        <f t="shared" si="64"/>
        <v>1113.0705</v>
      </c>
      <c r="EM15" s="5">
        <f t="shared" si="65"/>
        <v>6246.174499999999</v>
      </c>
      <c r="EN15" s="35">
        <f t="shared" si="66"/>
        <v>512.0261444</v>
      </c>
      <c r="EO15" s="35">
        <f t="shared" si="128"/>
        <v>5.3202076</v>
      </c>
      <c r="EP15" s="5"/>
      <c r="EQ15" s="35">
        <f t="shared" si="129"/>
        <v>196826.452</v>
      </c>
      <c r="ER15" s="35">
        <f t="shared" si="67"/>
        <v>42680.163375</v>
      </c>
      <c r="ES15" s="5">
        <f t="shared" si="68"/>
        <v>239506.615375</v>
      </c>
      <c r="ET15" s="35">
        <f t="shared" si="69"/>
        <v>19633.4010247</v>
      </c>
      <c r="EU15" s="35">
        <f t="shared" si="130"/>
        <v>204.0008513</v>
      </c>
      <c r="EV15" s="5"/>
      <c r="EW15" s="35">
        <f t="shared" si="131"/>
        <v>328401.80399999995</v>
      </c>
      <c r="EX15" s="35">
        <f t="shared" si="70"/>
        <v>71211.173625</v>
      </c>
      <c r="EY15" s="5">
        <f t="shared" si="71"/>
        <v>399612.97762499994</v>
      </c>
      <c r="EZ15" s="35">
        <f t="shared" si="72"/>
        <v>32758.0172769</v>
      </c>
      <c r="FA15" s="35">
        <f t="shared" si="132"/>
        <v>340.3721751</v>
      </c>
      <c r="FB15" s="5"/>
      <c r="FC15" s="35">
        <f t="shared" si="133"/>
        <v>281157.964</v>
      </c>
      <c r="FD15" s="35">
        <f t="shared" si="73"/>
        <v>60966.743624999996</v>
      </c>
      <c r="FE15" s="5">
        <f t="shared" si="74"/>
        <v>342124.707625</v>
      </c>
      <c r="FF15" s="35">
        <f t="shared" si="75"/>
        <v>28045.4532529</v>
      </c>
      <c r="FG15" s="35">
        <f t="shared" si="134"/>
        <v>291.4062791</v>
      </c>
      <c r="FH15" s="5"/>
      <c r="FI15" s="35">
        <f t="shared" si="135"/>
        <v>278793.676</v>
      </c>
      <c r="FJ15" s="35">
        <f t="shared" si="76"/>
        <v>60454.067624999996</v>
      </c>
      <c r="FK15" s="5">
        <f t="shared" si="77"/>
        <v>339247.743625</v>
      </c>
      <c r="FL15" s="35">
        <f t="shared" si="78"/>
        <v>27809.615976099998</v>
      </c>
      <c r="FM15" s="35">
        <f t="shared" si="136"/>
        <v>288.9558119</v>
      </c>
      <c r="FN15" s="5"/>
      <c r="FO15" s="35">
        <f t="shared" si="137"/>
        <v>404237.70399999997</v>
      </c>
      <c r="FP15" s="35">
        <f t="shared" si="79"/>
        <v>87655.55175</v>
      </c>
      <c r="FQ15" s="35">
        <f t="shared" si="80"/>
        <v>491893.25574999995</v>
      </c>
      <c r="FR15" s="35">
        <f t="shared" si="81"/>
        <v>40322.633829399994</v>
      </c>
      <c r="FS15" s="35">
        <f t="shared" si="138"/>
        <v>418.9723226</v>
      </c>
      <c r="FT15" s="5"/>
      <c r="FU15" s="35">
        <f t="shared" si="139"/>
        <v>512032.88800000004</v>
      </c>
      <c r="FV15" s="35">
        <f t="shared" si="82"/>
        <v>111030.03225</v>
      </c>
      <c r="FW15" s="35">
        <f t="shared" si="83"/>
        <v>623062.9202500001</v>
      </c>
      <c r="FX15" s="35">
        <f t="shared" si="84"/>
        <v>51075.1828618</v>
      </c>
      <c r="FY15" s="35">
        <f t="shared" si="140"/>
        <v>530.6966822</v>
      </c>
      <c r="FZ15" s="5"/>
      <c r="GA15" s="35">
        <f t="shared" si="141"/>
        <v>2362.716</v>
      </c>
      <c r="GB15" s="35">
        <f t="shared" si="85"/>
        <v>512.3351250000001</v>
      </c>
      <c r="GC15" s="5">
        <f t="shared" si="86"/>
        <v>2875.051125</v>
      </c>
      <c r="GD15" s="35">
        <f t="shared" si="87"/>
        <v>235.6804701</v>
      </c>
      <c r="GE15" s="35">
        <f t="shared" si="142"/>
        <v>2.4488379</v>
      </c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</row>
    <row r="16" spans="1:230" ht="12.75">
      <c r="A16" s="36">
        <v>45200</v>
      </c>
      <c r="D16" s="3">
        <v>1031450</v>
      </c>
      <c r="E16" s="34">
        <f t="shared" si="0"/>
        <v>1031450</v>
      </c>
      <c r="F16" s="34">
        <v>522689</v>
      </c>
      <c r="G16" s="34">
        <v>5431</v>
      </c>
      <c r="I16" s="35">
        <f>'2019C Academic'!I16</f>
        <v>0</v>
      </c>
      <c r="J16" s="35">
        <f>'2019C Academic'!J16</f>
        <v>230251.61495000002</v>
      </c>
      <c r="K16" s="35">
        <f t="shared" si="88"/>
        <v>230251.61495000002</v>
      </c>
      <c r="L16" s="35">
        <f>'2019C Academic'!L16</f>
        <v>116680.38815900001</v>
      </c>
      <c r="M16" s="35">
        <f>'2019C Academic'!M16</f>
        <v>1212.3675610000003</v>
      </c>
      <c r="O16" s="35"/>
      <c r="P16" s="34">
        <f t="shared" si="1"/>
        <v>801198.38505</v>
      </c>
      <c r="Q16" s="5">
        <f t="shared" si="2"/>
        <v>801198.38505</v>
      </c>
      <c r="R16" s="34">
        <f t="shared" si="3"/>
        <v>406008.61184100003</v>
      </c>
      <c r="S16" s="34">
        <f t="shared" si="3"/>
        <v>4218.1333301</v>
      </c>
      <c r="U16" s="35"/>
      <c r="V16" s="35">
        <f t="shared" si="4"/>
        <v>224.03094</v>
      </c>
      <c r="W16" s="5">
        <f t="shared" si="5"/>
        <v>224.03094</v>
      </c>
      <c r="X16" s="35">
        <f t="shared" si="6"/>
        <v>113.5280508</v>
      </c>
      <c r="Y16" s="35">
        <f t="shared" si="90"/>
        <v>1.1796132</v>
      </c>
      <c r="AA16" s="35"/>
      <c r="AB16" s="35">
        <f t="shared" si="7"/>
        <v>23841.451025</v>
      </c>
      <c r="AC16" s="5">
        <f t="shared" si="8"/>
        <v>23841.451025</v>
      </c>
      <c r="AD16" s="35">
        <f t="shared" si="9"/>
        <v>12081.694890499999</v>
      </c>
      <c r="AE16" s="35">
        <f t="shared" si="92"/>
        <v>125.53484949999999</v>
      </c>
      <c r="AG16" s="35"/>
      <c r="AH16" s="35">
        <f t="shared" si="10"/>
        <v>1462.9055349999999</v>
      </c>
      <c r="AI16" s="35">
        <f t="shared" si="11"/>
        <v>1462.9055349999999</v>
      </c>
      <c r="AJ16" s="35">
        <f t="shared" si="12"/>
        <v>741.3298087</v>
      </c>
      <c r="AK16" s="35">
        <f t="shared" si="94"/>
        <v>7.7027873</v>
      </c>
      <c r="AM16" s="35"/>
      <c r="AN16" s="35">
        <f t="shared" si="13"/>
        <v>10580.510955</v>
      </c>
      <c r="AO16" s="5">
        <f t="shared" si="14"/>
        <v>10580.510955</v>
      </c>
      <c r="AP16" s="35">
        <f t="shared" si="15"/>
        <v>5361.6914931</v>
      </c>
      <c r="AQ16" s="35">
        <f t="shared" si="96"/>
        <v>55.7106549</v>
      </c>
      <c r="AS16" s="35"/>
      <c r="AT16" s="35">
        <f t="shared" si="16"/>
        <v>8368.77272</v>
      </c>
      <c r="AU16" s="5">
        <f t="shared" si="17"/>
        <v>8368.77272</v>
      </c>
      <c r="AV16" s="35">
        <f t="shared" si="18"/>
        <v>4240.8894704</v>
      </c>
      <c r="AW16" s="35">
        <f t="shared" si="98"/>
        <v>44.064961600000004</v>
      </c>
      <c r="AY16" s="35"/>
      <c r="AZ16" s="35">
        <f t="shared" si="19"/>
        <v>2232.4703799999997</v>
      </c>
      <c r="BA16" s="5">
        <f t="shared" si="20"/>
        <v>2232.4703799999997</v>
      </c>
      <c r="BB16" s="35">
        <f t="shared" si="21"/>
        <v>1131.3080716</v>
      </c>
      <c r="BC16" s="35">
        <f t="shared" si="100"/>
        <v>11.7548564</v>
      </c>
      <c r="BE16" s="35"/>
      <c r="BF16" s="35">
        <f t="shared" si="22"/>
        <v>25242.88214</v>
      </c>
      <c r="BG16" s="5">
        <f t="shared" si="23"/>
        <v>25242.88214</v>
      </c>
      <c r="BH16" s="35">
        <f t="shared" si="24"/>
        <v>12791.8724348</v>
      </c>
      <c r="BI16" s="35">
        <f t="shared" si="102"/>
        <v>132.9139492</v>
      </c>
      <c r="BJ16" s="5"/>
      <c r="BK16" s="35"/>
      <c r="BL16" s="35">
        <f t="shared" si="25"/>
        <v>443.832935</v>
      </c>
      <c r="BM16" s="5">
        <f t="shared" si="26"/>
        <v>443.832935</v>
      </c>
      <c r="BN16" s="35">
        <f t="shared" si="27"/>
        <v>224.9130767</v>
      </c>
      <c r="BO16" s="35">
        <f t="shared" si="104"/>
        <v>2.3369593</v>
      </c>
      <c r="BP16" s="5"/>
      <c r="BQ16" s="35"/>
      <c r="BR16" s="35">
        <f t="shared" si="28"/>
        <v>94.790255</v>
      </c>
      <c r="BS16" s="5">
        <f t="shared" si="29"/>
        <v>94.790255</v>
      </c>
      <c r="BT16" s="35">
        <f t="shared" si="30"/>
        <v>48.035119099999996</v>
      </c>
      <c r="BU16" s="35"/>
      <c r="BV16" s="5"/>
      <c r="BW16" s="35"/>
      <c r="BX16" s="35">
        <f t="shared" si="31"/>
        <v>90658.2663</v>
      </c>
      <c r="BY16" s="5">
        <f t="shared" si="32"/>
        <v>90658.2663</v>
      </c>
      <c r="BZ16" s="35">
        <f t="shared" si="33"/>
        <v>45941.226966</v>
      </c>
      <c r="CA16" s="35">
        <f t="shared" si="107"/>
        <v>477.352314</v>
      </c>
      <c r="CB16" s="5"/>
      <c r="CC16" s="35"/>
      <c r="CD16" s="35">
        <f t="shared" si="34"/>
        <v>174.830775</v>
      </c>
      <c r="CE16" s="5">
        <f t="shared" si="35"/>
        <v>174.830775</v>
      </c>
      <c r="CF16" s="35">
        <f t="shared" si="36"/>
        <v>88.5957855</v>
      </c>
      <c r="CG16" s="35">
        <f t="shared" si="109"/>
        <v>0.9205545</v>
      </c>
      <c r="CH16" s="5"/>
      <c r="CI16" s="35"/>
      <c r="CJ16" s="35">
        <f t="shared" si="37"/>
        <v>103.867015</v>
      </c>
      <c r="CK16" s="5">
        <f t="shared" si="38"/>
        <v>103.867015</v>
      </c>
      <c r="CL16" s="35">
        <f t="shared" si="39"/>
        <v>52.6347823</v>
      </c>
      <c r="CM16" s="35">
        <f t="shared" si="111"/>
        <v>0.5469016999999999</v>
      </c>
      <c r="CN16" s="5"/>
      <c r="CO16" s="35"/>
      <c r="CP16" s="35">
        <f t="shared" si="40"/>
        <v>6480.80664</v>
      </c>
      <c r="CQ16" s="5">
        <f t="shared" si="41"/>
        <v>6480.80664</v>
      </c>
      <c r="CR16" s="35">
        <f t="shared" si="42"/>
        <v>3284.1595248</v>
      </c>
      <c r="CS16" s="35">
        <f t="shared" si="113"/>
        <v>34.1240592</v>
      </c>
      <c r="CT16" s="5"/>
      <c r="CU16" s="35"/>
      <c r="CV16" s="35">
        <f t="shared" si="43"/>
        <v>684.5733650000001</v>
      </c>
      <c r="CW16" s="5">
        <f t="shared" si="44"/>
        <v>684.5733650000001</v>
      </c>
      <c r="CX16" s="35">
        <f t="shared" si="45"/>
        <v>346.9086893</v>
      </c>
      <c r="CY16" s="35">
        <f t="shared" si="115"/>
        <v>3.6045547</v>
      </c>
      <c r="CZ16" s="5"/>
      <c r="DA16" s="35"/>
      <c r="DB16" s="35">
        <f t="shared" si="46"/>
        <v>1870.121995</v>
      </c>
      <c r="DC16" s="5">
        <f t="shared" si="47"/>
        <v>1870.121995</v>
      </c>
      <c r="DD16" s="35">
        <f t="shared" si="48"/>
        <v>947.6874259</v>
      </c>
      <c r="DE16" s="35">
        <f t="shared" si="116"/>
        <v>9.8469461</v>
      </c>
      <c r="DF16" s="5"/>
      <c r="DG16" s="35"/>
      <c r="DH16" s="35">
        <f t="shared" si="49"/>
        <v>18292.868895</v>
      </c>
      <c r="DI16" s="35">
        <f t="shared" si="50"/>
        <v>18292.868895</v>
      </c>
      <c r="DJ16" s="35">
        <f t="shared" si="51"/>
        <v>9269.9416839</v>
      </c>
      <c r="DK16" s="35">
        <f t="shared" si="118"/>
        <v>96.3193281</v>
      </c>
      <c r="DL16" s="5"/>
      <c r="DM16" s="35"/>
      <c r="DN16" s="35">
        <f t="shared" si="52"/>
        <v>2526.22734</v>
      </c>
      <c r="DO16" s="35">
        <f t="shared" si="53"/>
        <v>2526.22734</v>
      </c>
      <c r="DP16" s="35">
        <f t="shared" si="54"/>
        <v>1280.1698988</v>
      </c>
      <c r="DQ16" s="35">
        <f t="shared" si="120"/>
        <v>13.3016052</v>
      </c>
      <c r="DR16" s="5"/>
      <c r="DS16" s="35"/>
      <c r="DT16" s="35">
        <f t="shared" si="55"/>
        <v>10091.7068</v>
      </c>
      <c r="DU16" s="5">
        <f t="shared" si="56"/>
        <v>10091.7068</v>
      </c>
      <c r="DV16" s="35">
        <f t="shared" si="57"/>
        <v>5113.989176</v>
      </c>
      <c r="DW16" s="35">
        <f t="shared" si="122"/>
        <v>53.136903999999994</v>
      </c>
      <c r="DX16" s="5"/>
      <c r="DY16" s="35"/>
      <c r="DZ16" s="35">
        <f t="shared" si="58"/>
        <v>81149.32875</v>
      </c>
      <c r="EA16" s="35">
        <f t="shared" si="59"/>
        <v>81149.32875</v>
      </c>
      <c r="EB16" s="35">
        <f t="shared" si="60"/>
        <v>41122.557075</v>
      </c>
      <c r="EC16" s="35">
        <f t="shared" si="124"/>
        <v>427.28392499999995</v>
      </c>
      <c r="ED16" s="5"/>
      <c r="EE16" s="35"/>
      <c r="EF16" s="35">
        <f t="shared" si="61"/>
        <v>121229.928575</v>
      </c>
      <c r="EG16" s="5">
        <f t="shared" si="62"/>
        <v>121229.928575</v>
      </c>
      <c r="EH16" s="35">
        <f t="shared" si="63"/>
        <v>61433.4675815</v>
      </c>
      <c r="EI16" s="35">
        <f t="shared" si="126"/>
        <v>638.3244385</v>
      </c>
      <c r="EJ16" s="5"/>
      <c r="EK16" s="35"/>
      <c r="EL16" s="35">
        <f t="shared" si="64"/>
        <v>1010.40842</v>
      </c>
      <c r="EM16" s="5">
        <f t="shared" si="65"/>
        <v>1010.40842</v>
      </c>
      <c r="EN16" s="35">
        <f t="shared" si="66"/>
        <v>512.0261444</v>
      </c>
      <c r="EO16" s="35">
        <f t="shared" si="128"/>
        <v>5.3202076</v>
      </c>
      <c r="EP16" s="5"/>
      <c r="EQ16" s="35"/>
      <c r="ER16" s="35">
        <f t="shared" si="67"/>
        <v>38743.634335</v>
      </c>
      <c r="ES16" s="5">
        <f t="shared" si="68"/>
        <v>38743.634335</v>
      </c>
      <c r="ET16" s="35">
        <f t="shared" si="69"/>
        <v>19633.4010247</v>
      </c>
      <c r="EU16" s="35">
        <f t="shared" si="130"/>
        <v>204.0008513</v>
      </c>
      <c r="EV16" s="5"/>
      <c r="EW16" s="35"/>
      <c r="EX16" s="35">
        <f t="shared" si="70"/>
        <v>64643.137545</v>
      </c>
      <c r="EY16" s="5">
        <f t="shared" si="71"/>
        <v>64643.137545</v>
      </c>
      <c r="EZ16" s="35">
        <f t="shared" si="72"/>
        <v>32758.0172769</v>
      </c>
      <c r="FA16" s="35">
        <f t="shared" si="132"/>
        <v>340.3721751</v>
      </c>
      <c r="FB16" s="5"/>
      <c r="FC16" s="35"/>
      <c r="FD16" s="35">
        <f t="shared" si="73"/>
        <v>55343.584344999996</v>
      </c>
      <c r="FE16" s="5">
        <f t="shared" si="74"/>
        <v>55343.584344999996</v>
      </c>
      <c r="FF16" s="35">
        <f t="shared" si="75"/>
        <v>28045.4532529</v>
      </c>
      <c r="FG16" s="35">
        <f t="shared" si="134"/>
        <v>291.4062791</v>
      </c>
      <c r="FH16" s="5"/>
      <c r="FI16" s="35"/>
      <c r="FJ16" s="35">
        <f t="shared" si="76"/>
        <v>54878.194105</v>
      </c>
      <c r="FK16" s="5">
        <f t="shared" si="77"/>
        <v>54878.194105</v>
      </c>
      <c r="FL16" s="35">
        <f t="shared" si="78"/>
        <v>27809.615976099998</v>
      </c>
      <c r="FM16" s="35">
        <f t="shared" si="136"/>
        <v>288.9558119</v>
      </c>
      <c r="FN16" s="5"/>
      <c r="FO16" s="35"/>
      <c r="FP16" s="35">
        <f t="shared" si="79"/>
        <v>79570.79767</v>
      </c>
      <c r="FQ16" s="35">
        <f t="shared" si="80"/>
        <v>79570.79767</v>
      </c>
      <c r="FR16" s="35">
        <f t="shared" si="81"/>
        <v>40322.633829399994</v>
      </c>
      <c r="FS16" s="35">
        <f t="shared" si="138"/>
        <v>418.9723226</v>
      </c>
      <c r="FT16" s="5"/>
      <c r="FU16" s="35"/>
      <c r="FV16" s="35">
        <f t="shared" si="82"/>
        <v>100789.37449</v>
      </c>
      <c r="FW16" s="35">
        <f t="shared" si="83"/>
        <v>100789.37449</v>
      </c>
      <c r="FX16" s="35">
        <f t="shared" si="84"/>
        <v>51075.1828618</v>
      </c>
      <c r="FY16" s="35">
        <f t="shared" si="140"/>
        <v>530.6966822</v>
      </c>
      <c r="FZ16" s="5"/>
      <c r="GA16" s="35"/>
      <c r="GB16" s="35">
        <f t="shared" si="85"/>
        <v>465.080805</v>
      </c>
      <c r="GC16" s="5">
        <f t="shared" si="86"/>
        <v>465.080805</v>
      </c>
      <c r="GD16" s="35">
        <f t="shared" si="87"/>
        <v>235.6804701</v>
      </c>
      <c r="GE16" s="35">
        <f t="shared" si="142"/>
        <v>2.4488379</v>
      </c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</row>
    <row r="17" spans="1:230" ht="12.75">
      <c r="A17" s="36">
        <v>45383</v>
      </c>
      <c r="C17" s="3">
        <v>5450000</v>
      </c>
      <c r="D17" s="3">
        <v>1031450</v>
      </c>
      <c r="E17" s="34">
        <f t="shared" si="0"/>
        <v>6481450</v>
      </c>
      <c r="F17" s="34">
        <v>522689</v>
      </c>
      <c r="G17" s="34">
        <v>5431</v>
      </c>
      <c r="I17" s="35">
        <f>'2019C Academic'!I17</f>
        <v>1216608.95</v>
      </c>
      <c r="J17" s="35">
        <f>'2019C Academic'!J17</f>
        <v>230251.61495000002</v>
      </c>
      <c r="K17" s="35">
        <f t="shared" si="88"/>
        <v>1446860.56495</v>
      </c>
      <c r="L17" s="35">
        <f>'2019C Academic'!L17</f>
        <v>116680.38815900001</v>
      </c>
      <c r="M17" s="35">
        <f>'2019C Academic'!M17</f>
        <v>1212.3675610000003</v>
      </c>
      <c r="O17" s="35">
        <f>U17+AA17+AG17+AM17+AS17+AY17+BE17+BK17+BQ17+BW17+CC17+CI17+CO17+CU17+DG17+DM17+DS17+DY17+EE17+EK17+EQ17+EW17+FC17+FI17+DA17+FO17+FU17+GA17+GG17</f>
        <v>4233391.05</v>
      </c>
      <c r="P17" s="34">
        <f t="shared" si="1"/>
        <v>801198.38505</v>
      </c>
      <c r="Q17" s="5">
        <f t="shared" si="2"/>
        <v>5034589.4350499995</v>
      </c>
      <c r="R17" s="34">
        <f t="shared" si="3"/>
        <v>406008.61184100003</v>
      </c>
      <c r="S17" s="34">
        <f t="shared" si="3"/>
        <v>4218.1333301</v>
      </c>
      <c r="U17" s="35">
        <f t="shared" si="89"/>
        <v>1183.74</v>
      </c>
      <c r="V17" s="35">
        <f t="shared" si="4"/>
        <v>224.03094</v>
      </c>
      <c r="W17" s="5">
        <f t="shared" si="5"/>
        <v>1407.7709399999999</v>
      </c>
      <c r="X17" s="35">
        <f t="shared" si="6"/>
        <v>113.5280508</v>
      </c>
      <c r="Y17" s="35">
        <f t="shared" si="90"/>
        <v>1.1796132</v>
      </c>
      <c r="AA17" s="35">
        <f t="shared" si="91"/>
        <v>125974.025</v>
      </c>
      <c r="AB17" s="35">
        <f t="shared" si="7"/>
        <v>23841.451025</v>
      </c>
      <c r="AC17" s="5">
        <f t="shared" si="8"/>
        <v>149815.47602499998</v>
      </c>
      <c r="AD17" s="35">
        <f t="shared" si="9"/>
        <v>12081.694890499999</v>
      </c>
      <c r="AE17" s="35">
        <f t="shared" si="92"/>
        <v>125.53484949999999</v>
      </c>
      <c r="AG17" s="35">
        <f t="shared" si="93"/>
        <v>7729.735</v>
      </c>
      <c r="AH17" s="35">
        <f t="shared" si="10"/>
        <v>1462.9055349999999</v>
      </c>
      <c r="AI17" s="35">
        <f t="shared" si="11"/>
        <v>9192.640534999999</v>
      </c>
      <c r="AJ17" s="35">
        <f t="shared" si="12"/>
        <v>741.3298087</v>
      </c>
      <c r="AK17" s="35">
        <f t="shared" si="94"/>
        <v>7.7027873</v>
      </c>
      <c r="AM17" s="35">
        <f t="shared" si="95"/>
        <v>55905.555</v>
      </c>
      <c r="AN17" s="35">
        <f t="shared" si="13"/>
        <v>10580.510955</v>
      </c>
      <c r="AO17" s="5">
        <f t="shared" si="14"/>
        <v>66486.065955</v>
      </c>
      <c r="AP17" s="35">
        <f t="shared" si="15"/>
        <v>5361.6914931</v>
      </c>
      <c r="AQ17" s="35">
        <f t="shared" si="96"/>
        <v>55.7106549</v>
      </c>
      <c r="AS17" s="35">
        <f t="shared" si="97"/>
        <v>44219.12</v>
      </c>
      <c r="AT17" s="35">
        <f t="shared" si="16"/>
        <v>8368.77272</v>
      </c>
      <c r="AU17" s="5">
        <f t="shared" si="17"/>
        <v>52587.89272</v>
      </c>
      <c r="AV17" s="35">
        <f t="shared" si="18"/>
        <v>4240.8894704</v>
      </c>
      <c r="AW17" s="35">
        <f t="shared" si="98"/>
        <v>44.064961600000004</v>
      </c>
      <c r="AY17" s="35">
        <f t="shared" si="99"/>
        <v>11795.98</v>
      </c>
      <c r="AZ17" s="35">
        <f t="shared" si="19"/>
        <v>2232.4703799999997</v>
      </c>
      <c r="BA17" s="5">
        <f t="shared" si="20"/>
        <v>14028.450379999998</v>
      </c>
      <c r="BB17" s="35">
        <f t="shared" si="21"/>
        <v>1131.3080716</v>
      </c>
      <c r="BC17" s="35">
        <f t="shared" si="100"/>
        <v>11.7548564</v>
      </c>
      <c r="BE17" s="35">
        <f t="shared" si="101"/>
        <v>133378.94</v>
      </c>
      <c r="BF17" s="35">
        <f t="shared" si="22"/>
        <v>25242.88214</v>
      </c>
      <c r="BG17" s="5">
        <f t="shared" si="23"/>
        <v>158621.82214</v>
      </c>
      <c r="BH17" s="35">
        <f t="shared" si="24"/>
        <v>12791.8724348</v>
      </c>
      <c r="BI17" s="35">
        <f t="shared" si="102"/>
        <v>132.9139492</v>
      </c>
      <c r="BJ17" s="5"/>
      <c r="BK17" s="35">
        <f t="shared" si="103"/>
        <v>2345.1349999999998</v>
      </c>
      <c r="BL17" s="35">
        <f t="shared" si="25"/>
        <v>443.832935</v>
      </c>
      <c r="BM17" s="5">
        <f t="shared" si="26"/>
        <v>2788.9679349999997</v>
      </c>
      <c r="BN17" s="35">
        <f t="shared" si="27"/>
        <v>224.9130767</v>
      </c>
      <c r="BO17" s="35">
        <f t="shared" si="104"/>
        <v>2.3369593</v>
      </c>
      <c r="BP17" s="5"/>
      <c r="BQ17" s="35">
        <f t="shared" si="105"/>
        <v>500.85499999999996</v>
      </c>
      <c r="BR17" s="35">
        <f t="shared" si="28"/>
        <v>94.790255</v>
      </c>
      <c r="BS17" s="5">
        <f t="shared" si="29"/>
        <v>595.6452549999999</v>
      </c>
      <c r="BT17" s="35">
        <f t="shared" si="30"/>
        <v>48.035119099999996</v>
      </c>
      <c r="BU17" s="35"/>
      <c r="BV17" s="5"/>
      <c r="BW17" s="35">
        <f t="shared" si="106"/>
        <v>479022.3</v>
      </c>
      <c r="BX17" s="35">
        <f t="shared" si="31"/>
        <v>90658.2663</v>
      </c>
      <c r="BY17" s="5">
        <f t="shared" si="32"/>
        <v>569680.5663</v>
      </c>
      <c r="BZ17" s="35">
        <f t="shared" si="33"/>
        <v>45941.226966</v>
      </c>
      <c r="CA17" s="35">
        <f t="shared" si="107"/>
        <v>477.352314</v>
      </c>
      <c r="CB17" s="5"/>
      <c r="CC17" s="35">
        <f t="shared" si="108"/>
        <v>923.775</v>
      </c>
      <c r="CD17" s="35">
        <f t="shared" si="34"/>
        <v>174.830775</v>
      </c>
      <c r="CE17" s="5">
        <f t="shared" si="35"/>
        <v>1098.605775</v>
      </c>
      <c r="CF17" s="35">
        <f t="shared" si="36"/>
        <v>88.5957855</v>
      </c>
      <c r="CG17" s="35">
        <f t="shared" si="109"/>
        <v>0.9205545</v>
      </c>
      <c r="CH17" s="5"/>
      <c r="CI17" s="35">
        <f t="shared" si="110"/>
        <v>548.8149999999999</v>
      </c>
      <c r="CJ17" s="35">
        <f t="shared" si="37"/>
        <v>103.867015</v>
      </c>
      <c r="CK17" s="5">
        <f t="shared" si="38"/>
        <v>652.682015</v>
      </c>
      <c r="CL17" s="35">
        <f t="shared" si="39"/>
        <v>52.6347823</v>
      </c>
      <c r="CM17" s="35">
        <f t="shared" si="111"/>
        <v>0.5469016999999999</v>
      </c>
      <c r="CN17" s="5"/>
      <c r="CO17" s="35">
        <f t="shared" si="112"/>
        <v>34243.44</v>
      </c>
      <c r="CP17" s="35">
        <f t="shared" si="40"/>
        <v>6480.80664</v>
      </c>
      <c r="CQ17" s="5">
        <f t="shared" si="41"/>
        <v>40724.246640000005</v>
      </c>
      <c r="CR17" s="35">
        <f t="shared" si="42"/>
        <v>3284.1595248</v>
      </c>
      <c r="CS17" s="35">
        <f t="shared" si="113"/>
        <v>34.1240592</v>
      </c>
      <c r="CT17" s="5"/>
      <c r="CU17" s="35">
        <f t="shared" si="114"/>
        <v>3617.165</v>
      </c>
      <c r="CV17" s="35">
        <f t="shared" si="43"/>
        <v>684.5733650000001</v>
      </c>
      <c r="CW17" s="5">
        <f t="shared" si="44"/>
        <v>4301.738365</v>
      </c>
      <c r="CX17" s="35">
        <f t="shared" si="45"/>
        <v>346.9086893</v>
      </c>
      <c r="CY17" s="35">
        <f t="shared" si="115"/>
        <v>3.6045547</v>
      </c>
      <c r="CZ17" s="5"/>
      <c r="DA17" s="35">
        <f>$C17*DB$6</f>
        <v>9881.395</v>
      </c>
      <c r="DB17" s="35">
        <f t="shared" si="46"/>
        <v>1870.121995</v>
      </c>
      <c r="DC17" s="5">
        <f t="shared" si="47"/>
        <v>11751.516995</v>
      </c>
      <c r="DD17" s="35">
        <f t="shared" si="48"/>
        <v>947.6874259</v>
      </c>
      <c r="DE17" s="35">
        <f t="shared" si="116"/>
        <v>9.8469461</v>
      </c>
      <c r="DF17" s="5"/>
      <c r="DG17" s="35">
        <f t="shared" si="117"/>
        <v>96656.295</v>
      </c>
      <c r="DH17" s="35">
        <f t="shared" si="49"/>
        <v>18292.868895</v>
      </c>
      <c r="DI17" s="35">
        <f t="shared" si="50"/>
        <v>114949.163895</v>
      </c>
      <c r="DJ17" s="35">
        <f t="shared" si="51"/>
        <v>9269.9416839</v>
      </c>
      <c r="DK17" s="35">
        <f t="shared" si="118"/>
        <v>96.3193281</v>
      </c>
      <c r="DL17" s="5"/>
      <c r="DM17" s="35">
        <f t="shared" si="119"/>
        <v>13348.14</v>
      </c>
      <c r="DN17" s="35">
        <f t="shared" si="52"/>
        <v>2526.22734</v>
      </c>
      <c r="DO17" s="35">
        <f t="shared" si="53"/>
        <v>15874.367339999999</v>
      </c>
      <c r="DP17" s="35">
        <f t="shared" si="54"/>
        <v>1280.1698988</v>
      </c>
      <c r="DQ17" s="35">
        <f t="shared" si="120"/>
        <v>13.3016052</v>
      </c>
      <c r="DR17" s="5"/>
      <c r="DS17" s="35">
        <f t="shared" si="121"/>
        <v>53322.799999999996</v>
      </c>
      <c r="DT17" s="35">
        <f t="shared" si="55"/>
        <v>10091.7068</v>
      </c>
      <c r="DU17" s="5">
        <f t="shared" si="56"/>
        <v>63414.506799999996</v>
      </c>
      <c r="DV17" s="35">
        <f t="shared" si="57"/>
        <v>5113.989176</v>
      </c>
      <c r="DW17" s="35">
        <f t="shared" si="122"/>
        <v>53.136903999999994</v>
      </c>
      <c r="DX17" s="5"/>
      <c r="DY17" s="35">
        <f t="shared" si="123"/>
        <v>428778.75</v>
      </c>
      <c r="DZ17" s="35">
        <f t="shared" si="58"/>
        <v>81149.32875</v>
      </c>
      <c r="EA17" s="35">
        <f t="shared" si="59"/>
        <v>509928.07875</v>
      </c>
      <c r="EB17" s="35">
        <f t="shared" si="60"/>
        <v>41122.557075</v>
      </c>
      <c r="EC17" s="35">
        <f t="shared" si="124"/>
        <v>427.28392499999995</v>
      </c>
      <c r="ED17" s="5"/>
      <c r="EE17" s="35">
        <f t="shared" si="125"/>
        <v>640557.575</v>
      </c>
      <c r="EF17" s="35">
        <f t="shared" si="61"/>
        <v>121229.928575</v>
      </c>
      <c r="EG17" s="5">
        <f t="shared" si="62"/>
        <v>761787.503575</v>
      </c>
      <c r="EH17" s="35">
        <f t="shared" si="63"/>
        <v>61433.4675815</v>
      </c>
      <c r="EI17" s="35">
        <f t="shared" si="126"/>
        <v>638.3244385</v>
      </c>
      <c r="EJ17" s="5"/>
      <c r="EK17" s="35">
        <f t="shared" si="127"/>
        <v>5338.82</v>
      </c>
      <c r="EL17" s="35">
        <f t="shared" si="64"/>
        <v>1010.40842</v>
      </c>
      <c r="EM17" s="5">
        <f t="shared" si="65"/>
        <v>6349.2284199999995</v>
      </c>
      <c r="EN17" s="35">
        <f t="shared" si="66"/>
        <v>512.0261444</v>
      </c>
      <c r="EO17" s="35">
        <f t="shared" si="128"/>
        <v>5.3202076</v>
      </c>
      <c r="EP17" s="5"/>
      <c r="EQ17" s="35">
        <f t="shared" si="129"/>
        <v>204714.535</v>
      </c>
      <c r="ER17" s="35">
        <f t="shared" si="67"/>
        <v>38743.634335</v>
      </c>
      <c r="ES17" s="5">
        <f t="shared" si="68"/>
        <v>243458.169335</v>
      </c>
      <c r="ET17" s="35">
        <f t="shared" si="69"/>
        <v>19633.4010247</v>
      </c>
      <c r="EU17" s="35">
        <f t="shared" si="130"/>
        <v>204.0008513</v>
      </c>
      <c r="EV17" s="5"/>
      <c r="EW17" s="35">
        <f t="shared" si="131"/>
        <v>341562.94499999995</v>
      </c>
      <c r="EX17" s="35">
        <f t="shared" si="70"/>
        <v>64643.137545</v>
      </c>
      <c r="EY17" s="5">
        <f t="shared" si="71"/>
        <v>406206.08254499995</v>
      </c>
      <c r="EZ17" s="35">
        <f t="shared" si="72"/>
        <v>32758.0172769</v>
      </c>
      <c r="FA17" s="35">
        <f t="shared" si="132"/>
        <v>340.3721751</v>
      </c>
      <c r="FB17" s="5"/>
      <c r="FC17" s="35">
        <f t="shared" si="133"/>
        <v>292425.745</v>
      </c>
      <c r="FD17" s="35">
        <f t="shared" si="73"/>
        <v>55343.584344999996</v>
      </c>
      <c r="FE17" s="5">
        <f t="shared" si="74"/>
        <v>347769.329345</v>
      </c>
      <c r="FF17" s="35">
        <f t="shared" si="75"/>
        <v>28045.4532529</v>
      </c>
      <c r="FG17" s="35">
        <f t="shared" si="134"/>
        <v>291.4062791</v>
      </c>
      <c r="FH17" s="5"/>
      <c r="FI17" s="35">
        <f t="shared" si="135"/>
        <v>289966.705</v>
      </c>
      <c r="FJ17" s="35">
        <f t="shared" si="76"/>
        <v>54878.194105</v>
      </c>
      <c r="FK17" s="5">
        <f t="shared" si="77"/>
        <v>344844.899105</v>
      </c>
      <c r="FL17" s="35">
        <f t="shared" si="78"/>
        <v>27809.615976099998</v>
      </c>
      <c r="FM17" s="35">
        <f t="shared" si="136"/>
        <v>288.9558119</v>
      </c>
      <c r="FN17" s="5"/>
      <c r="FO17" s="35">
        <f t="shared" si="137"/>
        <v>420438.06999999995</v>
      </c>
      <c r="FP17" s="35">
        <f t="shared" si="79"/>
        <v>79570.79767</v>
      </c>
      <c r="FQ17" s="35">
        <f t="shared" si="80"/>
        <v>500008.86766999995</v>
      </c>
      <c r="FR17" s="35">
        <f t="shared" si="81"/>
        <v>40322.633829399994</v>
      </c>
      <c r="FS17" s="35">
        <f t="shared" si="138"/>
        <v>418.9723226</v>
      </c>
      <c r="FT17" s="5"/>
      <c r="FU17" s="35">
        <f t="shared" si="139"/>
        <v>532553.29</v>
      </c>
      <c r="FV17" s="35">
        <f t="shared" si="82"/>
        <v>100789.37449</v>
      </c>
      <c r="FW17" s="35">
        <f t="shared" si="83"/>
        <v>633342.66449</v>
      </c>
      <c r="FX17" s="35">
        <f t="shared" si="84"/>
        <v>51075.1828618</v>
      </c>
      <c r="FY17" s="35">
        <f t="shared" si="140"/>
        <v>530.6966822</v>
      </c>
      <c r="FZ17" s="5"/>
      <c r="GA17" s="35">
        <f t="shared" si="141"/>
        <v>2457.405</v>
      </c>
      <c r="GB17" s="35">
        <f t="shared" si="85"/>
        <v>465.080805</v>
      </c>
      <c r="GC17" s="5">
        <f t="shared" si="86"/>
        <v>2922.4858050000003</v>
      </c>
      <c r="GD17" s="35">
        <f t="shared" si="87"/>
        <v>235.6804701</v>
      </c>
      <c r="GE17" s="35">
        <f t="shared" si="142"/>
        <v>2.4488379</v>
      </c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</row>
    <row r="18" spans="1:230" ht="12.75">
      <c r="A18" s="36">
        <v>45566</v>
      </c>
      <c r="D18" s="3">
        <v>922450</v>
      </c>
      <c r="E18" s="34">
        <f t="shared" si="0"/>
        <v>922450</v>
      </c>
      <c r="F18" s="34">
        <v>522689</v>
      </c>
      <c r="G18" s="34">
        <v>5431</v>
      </c>
      <c r="I18" s="35">
        <f>'2019C Academic'!I18</f>
        <v>0</v>
      </c>
      <c r="J18" s="35">
        <f>'2019C Academic'!J18</f>
        <v>205919.43594999998</v>
      </c>
      <c r="K18" s="35">
        <f t="shared" si="88"/>
        <v>205919.43594999998</v>
      </c>
      <c r="L18" s="35">
        <f>'2019C Academic'!L18</f>
        <v>116680.38815900001</v>
      </c>
      <c r="M18" s="35">
        <f>'2019C Academic'!M18</f>
        <v>1212.3675610000003</v>
      </c>
      <c r="O18" s="35"/>
      <c r="P18" s="34">
        <f t="shared" si="1"/>
        <v>716530.56405</v>
      </c>
      <c r="Q18" s="5">
        <f t="shared" si="2"/>
        <v>716530.56405</v>
      </c>
      <c r="R18" s="34">
        <f t="shared" si="3"/>
        <v>406008.61184100003</v>
      </c>
      <c r="S18" s="34">
        <f t="shared" si="3"/>
        <v>4218.1333301</v>
      </c>
      <c r="U18" s="35"/>
      <c r="V18" s="35">
        <f t="shared" si="4"/>
        <v>200.35613999999998</v>
      </c>
      <c r="W18" s="5">
        <f t="shared" si="5"/>
        <v>200.35613999999998</v>
      </c>
      <c r="X18" s="35">
        <f t="shared" si="6"/>
        <v>113.5280508</v>
      </c>
      <c r="Y18" s="35">
        <f t="shared" si="90"/>
        <v>1.1796132</v>
      </c>
      <c r="AA18" s="35"/>
      <c r="AB18" s="35">
        <f t="shared" si="7"/>
        <v>21321.970525</v>
      </c>
      <c r="AC18" s="5">
        <f t="shared" si="8"/>
        <v>21321.970525</v>
      </c>
      <c r="AD18" s="35">
        <f t="shared" si="9"/>
        <v>12081.694890499999</v>
      </c>
      <c r="AE18" s="35">
        <f t="shared" si="92"/>
        <v>125.53484949999999</v>
      </c>
      <c r="AG18" s="35"/>
      <c r="AH18" s="35">
        <f t="shared" si="10"/>
        <v>1308.310835</v>
      </c>
      <c r="AI18" s="35">
        <f t="shared" si="11"/>
        <v>1308.310835</v>
      </c>
      <c r="AJ18" s="35">
        <f t="shared" si="12"/>
        <v>741.3298087</v>
      </c>
      <c r="AK18" s="35">
        <f t="shared" si="94"/>
        <v>7.7027873</v>
      </c>
      <c r="AM18" s="35"/>
      <c r="AN18" s="35">
        <f t="shared" si="13"/>
        <v>9462.399855</v>
      </c>
      <c r="AO18" s="5">
        <f t="shared" si="14"/>
        <v>9462.399855</v>
      </c>
      <c r="AP18" s="35">
        <f t="shared" si="15"/>
        <v>5361.6914931</v>
      </c>
      <c r="AQ18" s="35">
        <f t="shared" si="96"/>
        <v>55.7106549</v>
      </c>
      <c r="AS18" s="35"/>
      <c r="AT18" s="35">
        <f t="shared" si="16"/>
        <v>7484.39032</v>
      </c>
      <c r="AU18" s="5">
        <f t="shared" si="17"/>
        <v>7484.39032</v>
      </c>
      <c r="AV18" s="35">
        <f t="shared" si="18"/>
        <v>4240.8894704</v>
      </c>
      <c r="AW18" s="35">
        <f t="shared" si="98"/>
        <v>44.064961600000004</v>
      </c>
      <c r="AY18" s="35"/>
      <c r="AZ18" s="35">
        <f t="shared" si="19"/>
        <v>1996.55078</v>
      </c>
      <c r="BA18" s="5">
        <f t="shared" si="20"/>
        <v>1996.55078</v>
      </c>
      <c r="BB18" s="35">
        <f t="shared" si="21"/>
        <v>1131.3080716</v>
      </c>
      <c r="BC18" s="35">
        <f t="shared" si="100"/>
        <v>11.7548564</v>
      </c>
      <c r="BE18" s="35"/>
      <c r="BF18" s="35">
        <f t="shared" si="22"/>
        <v>22575.303340000002</v>
      </c>
      <c r="BG18" s="5">
        <f t="shared" si="23"/>
        <v>22575.303340000002</v>
      </c>
      <c r="BH18" s="35">
        <f t="shared" si="24"/>
        <v>12791.8724348</v>
      </c>
      <c r="BI18" s="35">
        <f t="shared" si="102"/>
        <v>132.9139492</v>
      </c>
      <c r="BJ18" s="5"/>
      <c r="BK18" s="35"/>
      <c r="BL18" s="35">
        <f t="shared" si="25"/>
        <v>396.930235</v>
      </c>
      <c r="BM18" s="5">
        <f t="shared" si="26"/>
        <v>396.930235</v>
      </c>
      <c r="BN18" s="35">
        <f t="shared" si="27"/>
        <v>224.9130767</v>
      </c>
      <c r="BO18" s="35">
        <f t="shared" si="104"/>
        <v>2.3369593</v>
      </c>
      <c r="BP18" s="5"/>
      <c r="BQ18" s="35"/>
      <c r="BR18" s="35">
        <f t="shared" si="28"/>
        <v>84.773155</v>
      </c>
      <c r="BS18" s="5">
        <f t="shared" si="29"/>
        <v>84.773155</v>
      </c>
      <c r="BT18" s="35">
        <f t="shared" si="30"/>
        <v>48.035119099999996</v>
      </c>
      <c r="BU18" s="35"/>
      <c r="BV18" s="5"/>
      <c r="BW18" s="35"/>
      <c r="BX18" s="35">
        <f t="shared" si="31"/>
        <v>81077.8203</v>
      </c>
      <c r="BY18" s="5">
        <f t="shared" si="32"/>
        <v>81077.8203</v>
      </c>
      <c r="BZ18" s="35">
        <f t="shared" si="33"/>
        <v>45941.226966</v>
      </c>
      <c r="CA18" s="35">
        <f t="shared" si="107"/>
        <v>477.352314</v>
      </c>
      <c r="CB18" s="5"/>
      <c r="CC18" s="35"/>
      <c r="CD18" s="35">
        <f t="shared" si="34"/>
        <v>156.355275</v>
      </c>
      <c r="CE18" s="5">
        <f t="shared" si="35"/>
        <v>156.355275</v>
      </c>
      <c r="CF18" s="35">
        <f t="shared" si="36"/>
        <v>88.5957855</v>
      </c>
      <c r="CG18" s="35">
        <f t="shared" si="109"/>
        <v>0.9205545</v>
      </c>
      <c r="CH18" s="5"/>
      <c r="CI18" s="35"/>
      <c r="CJ18" s="35">
        <f t="shared" si="37"/>
        <v>92.890715</v>
      </c>
      <c r="CK18" s="5">
        <f t="shared" si="38"/>
        <v>92.890715</v>
      </c>
      <c r="CL18" s="35">
        <f t="shared" si="39"/>
        <v>52.6347823</v>
      </c>
      <c r="CM18" s="35">
        <f t="shared" si="111"/>
        <v>0.5469016999999999</v>
      </c>
      <c r="CN18" s="5"/>
      <c r="CO18" s="35"/>
      <c r="CP18" s="35">
        <f t="shared" si="40"/>
        <v>5795.9378400000005</v>
      </c>
      <c r="CQ18" s="5">
        <f t="shared" si="41"/>
        <v>5795.9378400000005</v>
      </c>
      <c r="CR18" s="35">
        <f t="shared" si="42"/>
        <v>3284.1595248</v>
      </c>
      <c r="CS18" s="35">
        <f t="shared" si="113"/>
        <v>34.1240592</v>
      </c>
      <c r="CT18" s="5"/>
      <c r="CU18" s="35"/>
      <c r="CV18" s="35">
        <f t="shared" si="43"/>
        <v>612.2300650000001</v>
      </c>
      <c r="CW18" s="5">
        <f t="shared" si="44"/>
        <v>612.2300650000001</v>
      </c>
      <c r="CX18" s="35">
        <f t="shared" si="45"/>
        <v>346.9086893</v>
      </c>
      <c r="CY18" s="35">
        <f t="shared" si="115"/>
        <v>3.6045547</v>
      </c>
      <c r="CZ18" s="5"/>
      <c r="DA18" s="35"/>
      <c r="DB18" s="35">
        <f t="shared" si="46"/>
        <v>1672.494095</v>
      </c>
      <c r="DC18" s="5">
        <f t="shared" si="47"/>
        <v>1672.494095</v>
      </c>
      <c r="DD18" s="35">
        <f t="shared" si="48"/>
        <v>947.6874259</v>
      </c>
      <c r="DE18" s="35">
        <f t="shared" si="116"/>
        <v>9.8469461</v>
      </c>
      <c r="DF18" s="5"/>
      <c r="DG18" s="35"/>
      <c r="DH18" s="35">
        <f t="shared" si="49"/>
        <v>16359.742995</v>
      </c>
      <c r="DI18" s="35">
        <f t="shared" si="50"/>
        <v>16359.742995</v>
      </c>
      <c r="DJ18" s="35">
        <f t="shared" si="51"/>
        <v>9269.9416839</v>
      </c>
      <c r="DK18" s="35">
        <f t="shared" si="118"/>
        <v>96.3193281</v>
      </c>
      <c r="DL18" s="5"/>
      <c r="DM18" s="35"/>
      <c r="DN18" s="35">
        <f t="shared" si="52"/>
        <v>2259.26454</v>
      </c>
      <c r="DO18" s="35">
        <f t="shared" si="53"/>
        <v>2259.26454</v>
      </c>
      <c r="DP18" s="35">
        <f t="shared" si="54"/>
        <v>1280.1698988</v>
      </c>
      <c r="DQ18" s="35">
        <f t="shared" si="120"/>
        <v>13.3016052</v>
      </c>
      <c r="DR18" s="5"/>
      <c r="DS18" s="35"/>
      <c r="DT18" s="35">
        <f t="shared" si="55"/>
        <v>9025.2508</v>
      </c>
      <c r="DU18" s="5">
        <f t="shared" si="56"/>
        <v>9025.2508</v>
      </c>
      <c r="DV18" s="35">
        <f t="shared" si="57"/>
        <v>5113.989176</v>
      </c>
      <c r="DW18" s="35">
        <f t="shared" si="122"/>
        <v>53.136903999999994</v>
      </c>
      <c r="DX18" s="5"/>
      <c r="DY18" s="35"/>
      <c r="DZ18" s="35">
        <f t="shared" si="58"/>
        <v>72573.75374999999</v>
      </c>
      <c r="EA18" s="35">
        <f t="shared" si="59"/>
        <v>72573.75374999999</v>
      </c>
      <c r="EB18" s="35">
        <f t="shared" si="60"/>
        <v>41122.557075</v>
      </c>
      <c r="EC18" s="35">
        <f t="shared" si="124"/>
        <v>427.28392499999995</v>
      </c>
      <c r="ED18" s="5"/>
      <c r="EE18" s="35"/>
      <c r="EF18" s="35">
        <f t="shared" si="61"/>
        <v>108418.777075</v>
      </c>
      <c r="EG18" s="5">
        <f t="shared" si="62"/>
        <v>108418.777075</v>
      </c>
      <c r="EH18" s="35">
        <f t="shared" si="63"/>
        <v>61433.4675815</v>
      </c>
      <c r="EI18" s="35">
        <f t="shared" si="126"/>
        <v>638.3244385</v>
      </c>
      <c r="EJ18" s="5"/>
      <c r="EK18" s="35"/>
      <c r="EL18" s="35">
        <f t="shared" si="64"/>
        <v>903.63202</v>
      </c>
      <c r="EM18" s="5">
        <f t="shared" si="65"/>
        <v>903.63202</v>
      </c>
      <c r="EN18" s="35">
        <f t="shared" si="66"/>
        <v>512.0261444</v>
      </c>
      <c r="EO18" s="35">
        <f t="shared" si="128"/>
        <v>5.3202076</v>
      </c>
      <c r="EP18" s="5"/>
      <c r="EQ18" s="35"/>
      <c r="ER18" s="35">
        <f t="shared" si="67"/>
        <v>34649.343635</v>
      </c>
      <c r="ES18" s="5">
        <f t="shared" si="68"/>
        <v>34649.343635</v>
      </c>
      <c r="ET18" s="35">
        <f t="shared" si="69"/>
        <v>19633.4010247</v>
      </c>
      <c r="EU18" s="35">
        <f t="shared" si="130"/>
        <v>204.0008513</v>
      </c>
      <c r="EV18" s="5"/>
      <c r="EW18" s="35"/>
      <c r="EX18" s="35">
        <f t="shared" si="70"/>
        <v>57811.878645</v>
      </c>
      <c r="EY18" s="5">
        <f t="shared" si="71"/>
        <v>57811.878645</v>
      </c>
      <c r="EZ18" s="35">
        <f t="shared" si="72"/>
        <v>32758.0172769</v>
      </c>
      <c r="FA18" s="35">
        <f t="shared" si="132"/>
        <v>340.3721751</v>
      </c>
      <c r="FB18" s="5"/>
      <c r="FC18" s="35"/>
      <c r="FD18" s="35">
        <f t="shared" si="73"/>
        <v>49495.069445</v>
      </c>
      <c r="FE18" s="5">
        <f t="shared" si="74"/>
        <v>49495.069445</v>
      </c>
      <c r="FF18" s="35">
        <f t="shared" si="75"/>
        <v>28045.4532529</v>
      </c>
      <c r="FG18" s="35">
        <f t="shared" si="134"/>
        <v>291.4062791</v>
      </c>
      <c r="FH18" s="5"/>
      <c r="FI18" s="35"/>
      <c r="FJ18" s="35">
        <f t="shared" si="76"/>
        <v>49078.860005</v>
      </c>
      <c r="FK18" s="5">
        <f t="shared" si="77"/>
        <v>49078.860005</v>
      </c>
      <c r="FL18" s="35">
        <f t="shared" si="78"/>
        <v>27809.615976099998</v>
      </c>
      <c r="FM18" s="35">
        <f t="shared" si="136"/>
        <v>288.9558119</v>
      </c>
      <c r="FN18" s="5"/>
      <c r="FO18" s="35"/>
      <c r="FP18" s="35">
        <f t="shared" si="79"/>
        <v>71162.03627</v>
      </c>
      <c r="FQ18" s="35">
        <f t="shared" si="80"/>
        <v>71162.03627</v>
      </c>
      <c r="FR18" s="35">
        <f t="shared" si="81"/>
        <v>40322.633829399994</v>
      </c>
      <c r="FS18" s="35">
        <f t="shared" si="138"/>
        <v>418.9723226</v>
      </c>
      <c r="FT18" s="5"/>
      <c r="FU18" s="35"/>
      <c r="FV18" s="35">
        <f t="shared" si="82"/>
        <v>90138.30869</v>
      </c>
      <c r="FW18" s="35">
        <f t="shared" si="83"/>
        <v>90138.30869</v>
      </c>
      <c r="FX18" s="35">
        <f t="shared" si="84"/>
        <v>51075.1828618</v>
      </c>
      <c r="FY18" s="35">
        <f t="shared" si="140"/>
        <v>530.6966822</v>
      </c>
      <c r="FZ18" s="5"/>
      <c r="GA18" s="35"/>
      <c r="GB18" s="35">
        <f t="shared" si="85"/>
        <v>415.932705</v>
      </c>
      <c r="GC18" s="5">
        <f t="shared" si="86"/>
        <v>415.932705</v>
      </c>
      <c r="GD18" s="35">
        <f t="shared" si="87"/>
        <v>235.6804701</v>
      </c>
      <c r="GE18" s="35">
        <f t="shared" si="142"/>
        <v>2.4488379</v>
      </c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</row>
    <row r="19" spans="1:230" ht="12.75">
      <c r="A19" s="36">
        <v>45748</v>
      </c>
      <c r="C19" s="3">
        <v>5660000</v>
      </c>
      <c r="D19" s="3">
        <v>922450</v>
      </c>
      <c r="E19" s="34">
        <f t="shared" si="0"/>
        <v>6582450</v>
      </c>
      <c r="F19" s="34">
        <v>522689</v>
      </c>
      <c r="G19" s="34">
        <v>5431</v>
      </c>
      <c r="I19" s="35">
        <f>'2019C Academic'!I19</f>
        <v>1263487.46</v>
      </c>
      <c r="J19" s="35">
        <f>'2019C Academic'!J19</f>
        <v>205919.43594999998</v>
      </c>
      <c r="K19" s="35">
        <f t="shared" si="88"/>
        <v>1469406.89595</v>
      </c>
      <c r="L19" s="35">
        <f>'2019C Academic'!L19</f>
        <v>116680.38815900001</v>
      </c>
      <c r="M19" s="35">
        <f>'2019C Academic'!M19</f>
        <v>1212.3675610000003</v>
      </c>
      <c r="O19" s="35">
        <f>U19+AA19+AG19+AM19+AS19+AY19+BE19+BK19+BQ19+BW19+CC19+CI19+CO19+CU19+DG19+DM19+DS19+DY19+EE19+EK19+EQ19+EW19+FC19+FI19+DA19+FO19+FU19+GA19+GG19</f>
        <v>4396512.539999999</v>
      </c>
      <c r="P19" s="34">
        <f t="shared" si="1"/>
        <v>716530.56405</v>
      </c>
      <c r="Q19" s="5">
        <f t="shared" si="2"/>
        <v>5113043.104049999</v>
      </c>
      <c r="R19" s="34">
        <f t="shared" si="3"/>
        <v>406008.61184100003</v>
      </c>
      <c r="S19" s="34">
        <f t="shared" si="3"/>
        <v>4218.1333301</v>
      </c>
      <c r="U19" s="35">
        <f t="shared" si="89"/>
        <v>1229.3519999999999</v>
      </c>
      <c r="V19" s="35">
        <f t="shared" si="4"/>
        <v>200.35613999999998</v>
      </c>
      <c r="W19" s="5">
        <f t="shared" si="5"/>
        <v>1429.7081399999997</v>
      </c>
      <c r="X19" s="35">
        <f t="shared" si="6"/>
        <v>113.5280508</v>
      </c>
      <c r="Y19" s="35">
        <f t="shared" si="90"/>
        <v>1.1796132</v>
      </c>
      <c r="AA19" s="35">
        <f t="shared" si="91"/>
        <v>130828.06999999999</v>
      </c>
      <c r="AB19" s="35">
        <f t="shared" si="7"/>
        <v>21321.970525</v>
      </c>
      <c r="AC19" s="5">
        <f t="shared" si="8"/>
        <v>152150.040525</v>
      </c>
      <c r="AD19" s="35">
        <f t="shared" si="9"/>
        <v>12081.694890499999</v>
      </c>
      <c r="AE19" s="35">
        <f t="shared" si="92"/>
        <v>125.53484949999999</v>
      </c>
      <c r="AG19" s="35">
        <f t="shared" si="93"/>
        <v>8027.5779999999995</v>
      </c>
      <c r="AH19" s="35">
        <f t="shared" si="10"/>
        <v>1308.310835</v>
      </c>
      <c r="AI19" s="35">
        <f t="shared" si="11"/>
        <v>9335.888835</v>
      </c>
      <c r="AJ19" s="35">
        <f t="shared" si="12"/>
        <v>741.3298087</v>
      </c>
      <c r="AK19" s="35">
        <f t="shared" si="94"/>
        <v>7.7027873</v>
      </c>
      <c r="AM19" s="35">
        <f t="shared" si="95"/>
        <v>58059.714</v>
      </c>
      <c r="AN19" s="35">
        <f t="shared" si="13"/>
        <v>9462.399855</v>
      </c>
      <c r="AO19" s="5">
        <f t="shared" si="14"/>
        <v>67522.113855</v>
      </c>
      <c r="AP19" s="35">
        <f t="shared" si="15"/>
        <v>5361.6914931</v>
      </c>
      <c r="AQ19" s="35">
        <f t="shared" si="96"/>
        <v>55.7106549</v>
      </c>
      <c r="AS19" s="35">
        <f t="shared" si="97"/>
        <v>45922.976</v>
      </c>
      <c r="AT19" s="35">
        <f t="shared" si="16"/>
        <v>7484.39032</v>
      </c>
      <c r="AU19" s="5">
        <f t="shared" si="17"/>
        <v>53407.36632</v>
      </c>
      <c r="AV19" s="35">
        <f t="shared" si="18"/>
        <v>4240.8894704</v>
      </c>
      <c r="AW19" s="35">
        <f t="shared" si="98"/>
        <v>44.064961600000004</v>
      </c>
      <c r="AY19" s="35">
        <f t="shared" si="99"/>
        <v>12250.503999999999</v>
      </c>
      <c r="AZ19" s="35">
        <f t="shared" si="19"/>
        <v>1996.55078</v>
      </c>
      <c r="BA19" s="5">
        <f t="shared" si="20"/>
        <v>14247.054779999999</v>
      </c>
      <c r="BB19" s="35">
        <f t="shared" si="21"/>
        <v>1131.3080716</v>
      </c>
      <c r="BC19" s="35">
        <f t="shared" si="100"/>
        <v>11.7548564</v>
      </c>
      <c r="BE19" s="35">
        <f t="shared" si="101"/>
        <v>138518.312</v>
      </c>
      <c r="BF19" s="35">
        <f t="shared" si="22"/>
        <v>22575.303340000002</v>
      </c>
      <c r="BG19" s="5">
        <f t="shared" si="23"/>
        <v>161093.61534000002</v>
      </c>
      <c r="BH19" s="35">
        <f t="shared" si="24"/>
        <v>12791.8724348</v>
      </c>
      <c r="BI19" s="35">
        <f t="shared" si="102"/>
        <v>132.9139492</v>
      </c>
      <c r="BJ19" s="5"/>
      <c r="BK19" s="35">
        <f t="shared" si="103"/>
        <v>2435.498</v>
      </c>
      <c r="BL19" s="35">
        <f t="shared" si="25"/>
        <v>396.930235</v>
      </c>
      <c r="BM19" s="5">
        <f t="shared" si="26"/>
        <v>2832.428235</v>
      </c>
      <c r="BN19" s="35">
        <f t="shared" si="27"/>
        <v>224.9130767</v>
      </c>
      <c r="BO19" s="35">
        <f t="shared" si="104"/>
        <v>2.3369593</v>
      </c>
      <c r="BP19" s="5"/>
      <c r="BQ19" s="35">
        <f t="shared" si="105"/>
        <v>520.154</v>
      </c>
      <c r="BR19" s="35">
        <f t="shared" si="28"/>
        <v>84.773155</v>
      </c>
      <c r="BS19" s="5">
        <f t="shared" si="29"/>
        <v>604.927155</v>
      </c>
      <c r="BT19" s="35">
        <f t="shared" si="30"/>
        <v>48.035119099999996</v>
      </c>
      <c r="BU19" s="35"/>
      <c r="BV19" s="5"/>
      <c r="BW19" s="35">
        <f t="shared" si="106"/>
        <v>497480.04</v>
      </c>
      <c r="BX19" s="35">
        <f t="shared" si="31"/>
        <v>81077.8203</v>
      </c>
      <c r="BY19" s="5">
        <f t="shared" si="32"/>
        <v>578557.8603</v>
      </c>
      <c r="BZ19" s="35">
        <f t="shared" si="33"/>
        <v>45941.226966</v>
      </c>
      <c r="CA19" s="35">
        <f t="shared" si="107"/>
        <v>477.352314</v>
      </c>
      <c r="CB19" s="5"/>
      <c r="CC19" s="35">
        <f t="shared" si="108"/>
        <v>959.37</v>
      </c>
      <c r="CD19" s="35">
        <f t="shared" si="34"/>
        <v>156.355275</v>
      </c>
      <c r="CE19" s="5">
        <f t="shared" si="35"/>
        <v>1115.725275</v>
      </c>
      <c r="CF19" s="35">
        <f t="shared" si="36"/>
        <v>88.5957855</v>
      </c>
      <c r="CG19" s="35">
        <f t="shared" si="109"/>
        <v>0.9205545</v>
      </c>
      <c r="CH19" s="5"/>
      <c r="CI19" s="35">
        <f t="shared" si="110"/>
        <v>569.962</v>
      </c>
      <c r="CJ19" s="35">
        <f t="shared" si="37"/>
        <v>92.890715</v>
      </c>
      <c r="CK19" s="5">
        <f t="shared" si="38"/>
        <v>662.852715</v>
      </c>
      <c r="CL19" s="35">
        <f t="shared" si="39"/>
        <v>52.6347823</v>
      </c>
      <c r="CM19" s="35">
        <f t="shared" si="111"/>
        <v>0.5469016999999999</v>
      </c>
      <c r="CN19" s="5"/>
      <c r="CO19" s="35">
        <f t="shared" si="112"/>
        <v>35562.912000000004</v>
      </c>
      <c r="CP19" s="35">
        <f t="shared" si="40"/>
        <v>5795.9378400000005</v>
      </c>
      <c r="CQ19" s="5">
        <f t="shared" si="41"/>
        <v>41358.84984</v>
      </c>
      <c r="CR19" s="35">
        <f t="shared" si="42"/>
        <v>3284.1595248</v>
      </c>
      <c r="CS19" s="35">
        <f t="shared" si="113"/>
        <v>34.1240592</v>
      </c>
      <c r="CT19" s="5"/>
      <c r="CU19" s="35">
        <f t="shared" si="114"/>
        <v>3756.5420000000004</v>
      </c>
      <c r="CV19" s="35">
        <f t="shared" si="43"/>
        <v>612.2300650000001</v>
      </c>
      <c r="CW19" s="5">
        <f t="shared" si="44"/>
        <v>4368.772065</v>
      </c>
      <c r="CX19" s="35">
        <f t="shared" si="45"/>
        <v>346.9086893</v>
      </c>
      <c r="CY19" s="35">
        <f t="shared" si="115"/>
        <v>3.6045547</v>
      </c>
      <c r="CZ19" s="5"/>
      <c r="DA19" s="35">
        <f>$C19*DB$6</f>
        <v>10262.146</v>
      </c>
      <c r="DB19" s="35">
        <f t="shared" si="46"/>
        <v>1672.494095</v>
      </c>
      <c r="DC19" s="5">
        <f t="shared" si="47"/>
        <v>11934.640095</v>
      </c>
      <c r="DD19" s="35">
        <f t="shared" si="48"/>
        <v>947.6874259</v>
      </c>
      <c r="DE19" s="35">
        <f t="shared" si="116"/>
        <v>9.8469461</v>
      </c>
      <c r="DF19" s="5"/>
      <c r="DG19" s="35">
        <f t="shared" si="117"/>
        <v>100380.666</v>
      </c>
      <c r="DH19" s="35">
        <f t="shared" si="49"/>
        <v>16359.742995</v>
      </c>
      <c r="DI19" s="35">
        <f t="shared" si="50"/>
        <v>116740.408995</v>
      </c>
      <c r="DJ19" s="35">
        <f t="shared" si="51"/>
        <v>9269.9416839</v>
      </c>
      <c r="DK19" s="35">
        <f t="shared" si="118"/>
        <v>96.3193281</v>
      </c>
      <c r="DL19" s="5"/>
      <c r="DM19" s="35">
        <f t="shared" si="119"/>
        <v>13862.472</v>
      </c>
      <c r="DN19" s="35">
        <f t="shared" si="52"/>
        <v>2259.26454</v>
      </c>
      <c r="DO19" s="35">
        <f t="shared" si="53"/>
        <v>16121.73654</v>
      </c>
      <c r="DP19" s="35">
        <f t="shared" si="54"/>
        <v>1280.1698988</v>
      </c>
      <c r="DQ19" s="35">
        <f t="shared" si="120"/>
        <v>13.3016052</v>
      </c>
      <c r="DR19" s="5"/>
      <c r="DS19" s="35">
        <f t="shared" si="121"/>
        <v>55377.439999999995</v>
      </c>
      <c r="DT19" s="35">
        <f t="shared" si="55"/>
        <v>9025.2508</v>
      </c>
      <c r="DU19" s="5">
        <f t="shared" si="56"/>
        <v>64402.6908</v>
      </c>
      <c r="DV19" s="35">
        <f t="shared" si="57"/>
        <v>5113.989176</v>
      </c>
      <c r="DW19" s="35">
        <f t="shared" si="122"/>
        <v>53.136903999999994</v>
      </c>
      <c r="DX19" s="5"/>
      <c r="DY19" s="35">
        <f t="shared" si="123"/>
        <v>445300.5</v>
      </c>
      <c r="DZ19" s="35">
        <f t="shared" si="58"/>
        <v>72573.75374999999</v>
      </c>
      <c r="EA19" s="35">
        <f t="shared" si="59"/>
        <v>517874.25375</v>
      </c>
      <c r="EB19" s="35">
        <f t="shared" si="60"/>
        <v>41122.557075</v>
      </c>
      <c r="EC19" s="35">
        <f t="shared" si="124"/>
        <v>427.28392499999995</v>
      </c>
      <c r="ED19" s="5"/>
      <c r="EE19" s="35">
        <f t="shared" si="125"/>
        <v>665239.61</v>
      </c>
      <c r="EF19" s="35">
        <f t="shared" si="61"/>
        <v>108418.777075</v>
      </c>
      <c r="EG19" s="5">
        <f t="shared" si="62"/>
        <v>773658.387075</v>
      </c>
      <c r="EH19" s="35">
        <f t="shared" si="63"/>
        <v>61433.4675815</v>
      </c>
      <c r="EI19" s="35">
        <f t="shared" si="126"/>
        <v>638.3244385</v>
      </c>
      <c r="EJ19" s="5"/>
      <c r="EK19" s="35">
        <f t="shared" si="127"/>
        <v>5544.536</v>
      </c>
      <c r="EL19" s="35">
        <f t="shared" si="64"/>
        <v>903.63202</v>
      </c>
      <c r="EM19" s="5">
        <f t="shared" si="65"/>
        <v>6448.16802</v>
      </c>
      <c r="EN19" s="35">
        <f t="shared" si="66"/>
        <v>512.0261444</v>
      </c>
      <c r="EO19" s="35">
        <f t="shared" si="128"/>
        <v>5.3202076</v>
      </c>
      <c r="EP19" s="5"/>
      <c r="EQ19" s="35">
        <f t="shared" si="129"/>
        <v>212602.618</v>
      </c>
      <c r="ER19" s="35">
        <f t="shared" si="67"/>
        <v>34649.343635</v>
      </c>
      <c r="ES19" s="5">
        <f t="shared" si="68"/>
        <v>247251.96163499999</v>
      </c>
      <c r="ET19" s="35">
        <f t="shared" si="69"/>
        <v>19633.4010247</v>
      </c>
      <c r="EU19" s="35">
        <f t="shared" si="130"/>
        <v>204.0008513</v>
      </c>
      <c r="EV19" s="5"/>
      <c r="EW19" s="35">
        <f t="shared" si="131"/>
        <v>354724.08599999995</v>
      </c>
      <c r="EX19" s="35">
        <f t="shared" si="70"/>
        <v>57811.878645</v>
      </c>
      <c r="EY19" s="5">
        <f t="shared" si="71"/>
        <v>412535.96464499994</v>
      </c>
      <c r="EZ19" s="35">
        <f t="shared" si="72"/>
        <v>32758.0172769</v>
      </c>
      <c r="FA19" s="35">
        <f t="shared" si="132"/>
        <v>340.3721751</v>
      </c>
      <c r="FB19" s="5"/>
      <c r="FC19" s="35">
        <f t="shared" si="133"/>
        <v>303693.526</v>
      </c>
      <c r="FD19" s="35">
        <f t="shared" si="73"/>
        <v>49495.069445</v>
      </c>
      <c r="FE19" s="5">
        <f t="shared" si="74"/>
        <v>353188.595445</v>
      </c>
      <c r="FF19" s="35">
        <f t="shared" si="75"/>
        <v>28045.4532529</v>
      </c>
      <c r="FG19" s="35">
        <f t="shared" si="134"/>
        <v>291.4062791</v>
      </c>
      <c r="FH19" s="5"/>
      <c r="FI19" s="35">
        <f t="shared" si="135"/>
        <v>301139.734</v>
      </c>
      <c r="FJ19" s="35">
        <f t="shared" si="76"/>
        <v>49078.860005</v>
      </c>
      <c r="FK19" s="5">
        <f t="shared" si="77"/>
        <v>350218.594005</v>
      </c>
      <c r="FL19" s="35">
        <f t="shared" si="78"/>
        <v>27809.615976099998</v>
      </c>
      <c r="FM19" s="35">
        <f t="shared" si="136"/>
        <v>288.9558119</v>
      </c>
      <c r="FN19" s="5"/>
      <c r="FO19" s="35">
        <f t="shared" si="137"/>
        <v>436638.436</v>
      </c>
      <c r="FP19" s="35">
        <f t="shared" si="79"/>
        <v>71162.03627</v>
      </c>
      <c r="FQ19" s="35">
        <f t="shared" si="80"/>
        <v>507800.47226999997</v>
      </c>
      <c r="FR19" s="35">
        <f t="shared" si="81"/>
        <v>40322.633829399994</v>
      </c>
      <c r="FS19" s="35">
        <f t="shared" si="138"/>
        <v>418.9723226</v>
      </c>
      <c r="FT19" s="5"/>
      <c r="FU19" s="35">
        <f t="shared" si="139"/>
        <v>553073.692</v>
      </c>
      <c r="FV19" s="35">
        <f t="shared" si="82"/>
        <v>90138.30869</v>
      </c>
      <c r="FW19" s="35">
        <f t="shared" si="83"/>
        <v>643212.00069</v>
      </c>
      <c r="FX19" s="35">
        <f t="shared" si="84"/>
        <v>51075.1828618</v>
      </c>
      <c r="FY19" s="35">
        <f t="shared" si="140"/>
        <v>530.6966822</v>
      </c>
      <c r="FZ19" s="5"/>
      <c r="GA19" s="35">
        <f t="shared" si="141"/>
        <v>2552.094</v>
      </c>
      <c r="GB19" s="35">
        <f t="shared" si="85"/>
        <v>415.932705</v>
      </c>
      <c r="GC19" s="5">
        <f t="shared" si="86"/>
        <v>2968.026705</v>
      </c>
      <c r="GD19" s="35">
        <f t="shared" si="87"/>
        <v>235.6804701</v>
      </c>
      <c r="GE19" s="35">
        <f t="shared" si="142"/>
        <v>2.4488379</v>
      </c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</row>
    <row r="20" spans="1:230" ht="12.75">
      <c r="A20" s="36">
        <v>45931</v>
      </c>
      <c r="D20" s="3">
        <v>809250</v>
      </c>
      <c r="E20" s="34">
        <f t="shared" si="0"/>
        <v>809250</v>
      </c>
      <c r="F20" s="34">
        <v>522689</v>
      </c>
      <c r="G20" s="34">
        <v>5431</v>
      </c>
      <c r="I20" s="35">
        <f>'2019C Academic'!I20</f>
        <v>0</v>
      </c>
      <c r="J20" s="35">
        <f>'2019C Academic'!J20</f>
        <v>180649.68675</v>
      </c>
      <c r="K20" s="35">
        <f t="shared" si="88"/>
        <v>180649.68675</v>
      </c>
      <c r="L20" s="35">
        <f>'2019C Academic'!L20</f>
        <v>116680.38815900001</v>
      </c>
      <c r="M20" s="35">
        <f>'2019C Academic'!M20</f>
        <v>1212.3675610000003</v>
      </c>
      <c r="O20" s="35"/>
      <c r="P20" s="34">
        <f t="shared" si="1"/>
        <v>628600.3132499999</v>
      </c>
      <c r="Q20" s="5">
        <f t="shared" si="2"/>
        <v>628600.3132499999</v>
      </c>
      <c r="R20" s="34">
        <f t="shared" si="3"/>
        <v>406008.61184100003</v>
      </c>
      <c r="S20" s="34">
        <f t="shared" si="3"/>
        <v>4218.1333301</v>
      </c>
      <c r="U20" s="35"/>
      <c r="V20" s="35">
        <f t="shared" si="4"/>
        <v>175.7691</v>
      </c>
      <c r="W20" s="5">
        <f t="shared" si="5"/>
        <v>175.7691</v>
      </c>
      <c r="X20" s="35">
        <f t="shared" si="6"/>
        <v>113.5280508</v>
      </c>
      <c r="Y20" s="35">
        <f t="shared" si="90"/>
        <v>1.1796132</v>
      </c>
      <c r="AA20" s="35"/>
      <c r="AB20" s="35">
        <f t="shared" si="7"/>
        <v>18705.409125</v>
      </c>
      <c r="AC20" s="5">
        <f t="shared" si="8"/>
        <v>18705.409125</v>
      </c>
      <c r="AD20" s="35">
        <f t="shared" si="9"/>
        <v>12081.694890499999</v>
      </c>
      <c r="AE20" s="35">
        <f t="shared" si="92"/>
        <v>125.53484949999999</v>
      </c>
      <c r="AG20" s="35"/>
      <c r="AH20" s="35">
        <f t="shared" si="10"/>
        <v>1147.759275</v>
      </c>
      <c r="AI20" s="35">
        <f t="shared" si="11"/>
        <v>1147.759275</v>
      </c>
      <c r="AJ20" s="35">
        <f t="shared" si="12"/>
        <v>741.3298087</v>
      </c>
      <c r="AK20" s="35">
        <f t="shared" si="94"/>
        <v>7.7027873</v>
      </c>
      <c r="AM20" s="35"/>
      <c r="AN20" s="35">
        <f t="shared" si="13"/>
        <v>8301.205575</v>
      </c>
      <c r="AO20" s="5">
        <f t="shared" si="14"/>
        <v>8301.205575</v>
      </c>
      <c r="AP20" s="35">
        <f t="shared" si="15"/>
        <v>5361.6914931</v>
      </c>
      <c r="AQ20" s="35">
        <f t="shared" si="96"/>
        <v>55.7106549</v>
      </c>
      <c r="AS20" s="35"/>
      <c r="AT20" s="35">
        <f t="shared" si="16"/>
        <v>6565.9308</v>
      </c>
      <c r="AU20" s="5">
        <f t="shared" si="17"/>
        <v>6565.9308</v>
      </c>
      <c r="AV20" s="35">
        <f t="shared" si="18"/>
        <v>4240.8894704</v>
      </c>
      <c r="AW20" s="35">
        <f t="shared" si="98"/>
        <v>44.064961600000004</v>
      </c>
      <c r="AY20" s="35"/>
      <c r="AZ20" s="35">
        <f t="shared" si="19"/>
        <v>1751.5407</v>
      </c>
      <c r="BA20" s="5">
        <f t="shared" si="20"/>
        <v>1751.5407</v>
      </c>
      <c r="BB20" s="35">
        <f t="shared" si="21"/>
        <v>1131.3080716</v>
      </c>
      <c r="BC20" s="35">
        <f t="shared" si="100"/>
        <v>11.7548564</v>
      </c>
      <c r="BE20" s="35"/>
      <c r="BF20" s="35">
        <f t="shared" si="22"/>
        <v>19804.9371</v>
      </c>
      <c r="BG20" s="5">
        <f t="shared" si="23"/>
        <v>19804.9371</v>
      </c>
      <c r="BH20" s="35">
        <f t="shared" si="24"/>
        <v>12791.8724348</v>
      </c>
      <c r="BI20" s="35">
        <f t="shared" si="102"/>
        <v>132.9139492</v>
      </c>
      <c r="BJ20" s="5"/>
      <c r="BK20" s="35"/>
      <c r="BL20" s="35">
        <f t="shared" si="25"/>
        <v>348.220275</v>
      </c>
      <c r="BM20" s="5">
        <f t="shared" si="26"/>
        <v>348.220275</v>
      </c>
      <c r="BN20" s="35">
        <f t="shared" si="27"/>
        <v>224.9130767</v>
      </c>
      <c r="BO20" s="35">
        <f t="shared" si="104"/>
        <v>2.3369593</v>
      </c>
      <c r="BP20" s="5"/>
      <c r="BQ20" s="35"/>
      <c r="BR20" s="35">
        <f t="shared" si="28"/>
        <v>74.370075</v>
      </c>
      <c r="BS20" s="5">
        <f t="shared" si="29"/>
        <v>74.370075</v>
      </c>
      <c r="BT20" s="35">
        <f t="shared" si="30"/>
        <v>48.035119099999996</v>
      </c>
      <c r="BU20" s="35"/>
      <c r="BV20" s="5"/>
      <c r="BW20" s="35"/>
      <c r="BX20" s="35">
        <f t="shared" si="31"/>
        <v>71128.2195</v>
      </c>
      <c r="BY20" s="5">
        <f t="shared" si="32"/>
        <v>71128.2195</v>
      </c>
      <c r="BZ20" s="35">
        <f t="shared" si="33"/>
        <v>45941.226966</v>
      </c>
      <c r="CA20" s="35">
        <f t="shared" si="107"/>
        <v>477.352314</v>
      </c>
      <c r="CB20" s="5"/>
      <c r="CC20" s="35"/>
      <c r="CD20" s="35">
        <f t="shared" si="34"/>
        <v>137.167875</v>
      </c>
      <c r="CE20" s="5">
        <f t="shared" si="35"/>
        <v>137.167875</v>
      </c>
      <c r="CF20" s="35">
        <f t="shared" si="36"/>
        <v>88.5957855</v>
      </c>
      <c r="CG20" s="35">
        <f t="shared" si="109"/>
        <v>0.9205545</v>
      </c>
      <c r="CH20" s="5"/>
      <c r="CI20" s="35"/>
      <c r="CJ20" s="35">
        <f t="shared" si="37"/>
        <v>81.491475</v>
      </c>
      <c r="CK20" s="5">
        <f t="shared" si="38"/>
        <v>81.491475</v>
      </c>
      <c r="CL20" s="35">
        <f t="shared" si="39"/>
        <v>52.6347823</v>
      </c>
      <c r="CM20" s="35">
        <f t="shared" si="111"/>
        <v>0.5469016999999999</v>
      </c>
      <c r="CN20" s="5"/>
      <c r="CO20" s="35"/>
      <c r="CP20" s="35">
        <f t="shared" si="40"/>
        <v>5084.6796</v>
      </c>
      <c r="CQ20" s="5">
        <f t="shared" si="41"/>
        <v>5084.6796</v>
      </c>
      <c r="CR20" s="35">
        <f t="shared" si="42"/>
        <v>3284.1595248</v>
      </c>
      <c r="CS20" s="35">
        <f t="shared" si="113"/>
        <v>34.1240592</v>
      </c>
      <c r="CT20" s="5"/>
      <c r="CU20" s="35"/>
      <c r="CV20" s="35">
        <f t="shared" si="43"/>
        <v>537.099225</v>
      </c>
      <c r="CW20" s="5">
        <f t="shared" si="44"/>
        <v>537.099225</v>
      </c>
      <c r="CX20" s="35">
        <f t="shared" si="45"/>
        <v>346.9086893</v>
      </c>
      <c r="CY20" s="35">
        <f t="shared" si="115"/>
        <v>3.6045547</v>
      </c>
      <c r="CZ20" s="5"/>
      <c r="DA20" s="35"/>
      <c r="DB20" s="35">
        <f t="shared" si="46"/>
        <v>1467.251175</v>
      </c>
      <c r="DC20" s="5">
        <f t="shared" si="47"/>
        <v>1467.251175</v>
      </c>
      <c r="DD20" s="35">
        <f t="shared" si="48"/>
        <v>947.6874259</v>
      </c>
      <c r="DE20" s="35">
        <f t="shared" si="116"/>
        <v>9.8469461</v>
      </c>
      <c r="DF20" s="5"/>
      <c r="DG20" s="35"/>
      <c r="DH20" s="35">
        <f t="shared" si="49"/>
        <v>14352.129675</v>
      </c>
      <c r="DI20" s="35">
        <f t="shared" si="50"/>
        <v>14352.129675</v>
      </c>
      <c r="DJ20" s="35">
        <f t="shared" si="51"/>
        <v>9269.9416839</v>
      </c>
      <c r="DK20" s="35">
        <f t="shared" si="118"/>
        <v>96.3193281</v>
      </c>
      <c r="DL20" s="5"/>
      <c r="DM20" s="35"/>
      <c r="DN20" s="35">
        <f t="shared" si="52"/>
        <v>1982.0150999999998</v>
      </c>
      <c r="DO20" s="35">
        <f t="shared" si="53"/>
        <v>1982.0150999999998</v>
      </c>
      <c r="DP20" s="35">
        <f t="shared" si="54"/>
        <v>1280.1698988</v>
      </c>
      <c r="DQ20" s="35">
        <f t="shared" si="120"/>
        <v>13.3016052</v>
      </c>
      <c r="DR20" s="5"/>
      <c r="DS20" s="35"/>
      <c r="DT20" s="35">
        <f t="shared" si="55"/>
        <v>7917.701999999999</v>
      </c>
      <c r="DU20" s="5">
        <f t="shared" si="56"/>
        <v>7917.701999999999</v>
      </c>
      <c r="DV20" s="35">
        <f t="shared" si="57"/>
        <v>5113.989176</v>
      </c>
      <c r="DW20" s="35">
        <f t="shared" si="122"/>
        <v>53.136903999999994</v>
      </c>
      <c r="DX20" s="5"/>
      <c r="DY20" s="35"/>
      <c r="DZ20" s="35">
        <f t="shared" si="58"/>
        <v>63667.743749999994</v>
      </c>
      <c r="EA20" s="35">
        <f t="shared" si="59"/>
        <v>63667.743749999994</v>
      </c>
      <c r="EB20" s="35">
        <f t="shared" si="60"/>
        <v>41122.557075</v>
      </c>
      <c r="EC20" s="35">
        <f t="shared" si="124"/>
        <v>427.28392499999995</v>
      </c>
      <c r="ED20" s="5"/>
      <c r="EE20" s="35"/>
      <c r="EF20" s="35">
        <f t="shared" si="61"/>
        <v>95113.984875</v>
      </c>
      <c r="EG20" s="5">
        <f t="shared" si="62"/>
        <v>95113.984875</v>
      </c>
      <c r="EH20" s="35">
        <f t="shared" si="63"/>
        <v>61433.4675815</v>
      </c>
      <c r="EI20" s="35">
        <f t="shared" si="126"/>
        <v>638.3244385</v>
      </c>
      <c r="EJ20" s="5"/>
      <c r="EK20" s="35"/>
      <c r="EL20" s="35">
        <f t="shared" si="64"/>
        <v>792.7412999999999</v>
      </c>
      <c r="EM20" s="5">
        <f t="shared" si="65"/>
        <v>792.7412999999999</v>
      </c>
      <c r="EN20" s="35">
        <f t="shared" si="66"/>
        <v>512.0261444</v>
      </c>
      <c r="EO20" s="35">
        <f t="shared" si="128"/>
        <v>5.3202076</v>
      </c>
      <c r="EP20" s="5"/>
      <c r="EQ20" s="35"/>
      <c r="ER20" s="35">
        <f t="shared" si="67"/>
        <v>30397.291275</v>
      </c>
      <c r="ES20" s="5">
        <f t="shared" si="68"/>
        <v>30397.291275</v>
      </c>
      <c r="ET20" s="35">
        <f t="shared" si="69"/>
        <v>19633.4010247</v>
      </c>
      <c r="EU20" s="35">
        <f t="shared" si="130"/>
        <v>204.0008513</v>
      </c>
      <c r="EV20" s="5"/>
      <c r="EW20" s="35"/>
      <c r="EX20" s="35">
        <f t="shared" si="70"/>
        <v>50717.396924999994</v>
      </c>
      <c r="EY20" s="5">
        <f t="shared" si="71"/>
        <v>50717.396924999994</v>
      </c>
      <c r="EZ20" s="35">
        <f t="shared" si="72"/>
        <v>32758.0172769</v>
      </c>
      <c r="FA20" s="35">
        <f t="shared" si="132"/>
        <v>340.3721751</v>
      </c>
      <c r="FB20" s="5"/>
      <c r="FC20" s="35"/>
      <c r="FD20" s="35">
        <f t="shared" si="73"/>
        <v>43421.198925</v>
      </c>
      <c r="FE20" s="5">
        <f t="shared" si="74"/>
        <v>43421.198925</v>
      </c>
      <c r="FF20" s="35">
        <f t="shared" si="75"/>
        <v>28045.4532529</v>
      </c>
      <c r="FG20" s="35">
        <f t="shared" si="134"/>
        <v>291.4062791</v>
      </c>
      <c r="FH20" s="5"/>
      <c r="FI20" s="35"/>
      <c r="FJ20" s="35">
        <f t="shared" si="76"/>
        <v>43056.065324999996</v>
      </c>
      <c r="FK20" s="5">
        <f t="shared" si="77"/>
        <v>43056.065324999996</v>
      </c>
      <c r="FL20" s="35">
        <f t="shared" si="78"/>
        <v>27809.615976099998</v>
      </c>
      <c r="FM20" s="35">
        <f t="shared" si="136"/>
        <v>288.9558119</v>
      </c>
      <c r="FN20" s="5"/>
      <c r="FO20" s="35"/>
      <c r="FP20" s="35">
        <f t="shared" si="79"/>
        <v>62429.26755</v>
      </c>
      <c r="FQ20" s="35">
        <f t="shared" si="80"/>
        <v>62429.26755</v>
      </c>
      <c r="FR20" s="35">
        <f t="shared" si="81"/>
        <v>40322.633829399994</v>
      </c>
      <c r="FS20" s="35">
        <f t="shared" si="138"/>
        <v>418.9723226</v>
      </c>
      <c r="FT20" s="5"/>
      <c r="FU20" s="35"/>
      <c r="FV20" s="35">
        <f t="shared" si="82"/>
        <v>79076.83485</v>
      </c>
      <c r="FW20" s="35">
        <f t="shared" si="83"/>
        <v>79076.83485</v>
      </c>
      <c r="FX20" s="35">
        <f t="shared" si="84"/>
        <v>51075.1828618</v>
      </c>
      <c r="FY20" s="35">
        <f t="shared" si="140"/>
        <v>530.6966822</v>
      </c>
      <c r="FZ20" s="5"/>
      <c r="GA20" s="35"/>
      <c r="GB20" s="35">
        <f t="shared" si="85"/>
        <v>364.890825</v>
      </c>
      <c r="GC20" s="5">
        <f t="shared" si="86"/>
        <v>364.890825</v>
      </c>
      <c r="GD20" s="35">
        <f t="shared" si="87"/>
        <v>235.6804701</v>
      </c>
      <c r="GE20" s="35">
        <f t="shared" si="142"/>
        <v>2.4488379</v>
      </c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</row>
    <row r="21" spans="1:230" ht="12.75">
      <c r="A21" s="36">
        <v>46113</v>
      </c>
      <c r="C21" s="3">
        <v>5875000</v>
      </c>
      <c r="D21" s="3">
        <v>809250</v>
      </c>
      <c r="E21" s="34">
        <f t="shared" si="0"/>
        <v>6684250</v>
      </c>
      <c r="F21" s="34">
        <v>522689</v>
      </c>
      <c r="G21" s="34">
        <v>5431</v>
      </c>
      <c r="I21" s="35">
        <f>'2019C Academic'!I21</f>
        <v>1311482.1249999998</v>
      </c>
      <c r="J21" s="35">
        <f>'2019C Academic'!J21</f>
        <v>180649.68675</v>
      </c>
      <c r="K21" s="35">
        <f t="shared" si="88"/>
        <v>1492131.8117499999</v>
      </c>
      <c r="L21" s="35">
        <f>'2019C Academic'!L21</f>
        <v>116680.38815900001</v>
      </c>
      <c r="M21" s="35">
        <f>'2019C Academic'!M21</f>
        <v>1212.3675610000003</v>
      </c>
      <c r="O21" s="35">
        <f>U21+AA21+AG21+AM21+AS21+AY21+BE21+BK21+BQ21+BW21+CC21+CI21+CO21+CU21+DG21+DM21+DS21+DY21+EE21+EK21+EQ21+EW21+FC21+FI21+DA21+FO21+FU21+GA21+GG21</f>
        <v>4563517.874999999</v>
      </c>
      <c r="P21" s="34">
        <f t="shared" si="1"/>
        <v>628600.3132499999</v>
      </c>
      <c r="Q21" s="5">
        <f t="shared" si="2"/>
        <v>5192118.188249999</v>
      </c>
      <c r="R21" s="34">
        <f t="shared" si="3"/>
        <v>406008.61184100003</v>
      </c>
      <c r="S21" s="34">
        <f t="shared" si="3"/>
        <v>4218.1333301</v>
      </c>
      <c r="U21" s="35">
        <f t="shared" si="89"/>
        <v>1276.05</v>
      </c>
      <c r="V21" s="35">
        <f t="shared" si="4"/>
        <v>175.7691</v>
      </c>
      <c r="W21" s="5">
        <f t="shared" si="5"/>
        <v>1451.8191</v>
      </c>
      <c r="X21" s="35">
        <f t="shared" si="6"/>
        <v>113.5280508</v>
      </c>
      <c r="Y21" s="35">
        <f t="shared" si="90"/>
        <v>1.1796132</v>
      </c>
      <c r="AA21" s="35">
        <f t="shared" si="91"/>
        <v>135797.6875</v>
      </c>
      <c r="AB21" s="35">
        <f t="shared" si="7"/>
        <v>18705.409125</v>
      </c>
      <c r="AC21" s="5">
        <f t="shared" si="8"/>
        <v>154503.096625</v>
      </c>
      <c r="AD21" s="35">
        <f t="shared" si="9"/>
        <v>12081.694890499999</v>
      </c>
      <c r="AE21" s="35">
        <f t="shared" si="92"/>
        <v>125.53484949999999</v>
      </c>
      <c r="AG21" s="35">
        <f t="shared" si="93"/>
        <v>8332.512499999999</v>
      </c>
      <c r="AH21" s="35">
        <f t="shared" si="10"/>
        <v>1147.759275</v>
      </c>
      <c r="AI21" s="35">
        <f t="shared" si="11"/>
        <v>9480.271775</v>
      </c>
      <c r="AJ21" s="35">
        <f t="shared" si="12"/>
        <v>741.3298087</v>
      </c>
      <c r="AK21" s="35">
        <f t="shared" si="94"/>
        <v>7.7027873</v>
      </c>
      <c r="AM21" s="35">
        <f t="shared" si="95"/>
        <v>60265.1625</v>
      </c>
      <c r="AN21" s="35">
        <f t="shared" si="13"/>
        <v>8301.205575</v>
      </c>
      <c r="AO21" s="5">
        <f t="shared" si="14"/>
        <v>68566.368075</v>
      </c>
      <c r="AP21" s="35">
        <f t="shared" si="15"/>
        <v>5361.6914931</v>
      </c>
      <c r="AQ21" s="35">
        <f t="shared" si="96"/>
        <v>55.7106549</v>
      </c>
      <c r="AS21" s="35">
        <f t="shared" si="97"/>
        <v>47667.4</v>
      </c>
      <c r="AT21" s="35">
        <f t="shared" si="16"/>
        <v>6565.9308</v>
      </c>
      <c r="AU21" s="5">
        <f t="shared" si="17"/>
        <v>54233.3308</v>
      </c>
      <c r="AV21" s="35">
        <f t="shared" si="18"/>
        <v>4240.8894704</v>
      </c>
      <c r="AW21" s="35">
        <f t="shared" si="98"/>
        <v>44.064961600000004</v>
      </c>
      <c r="AY21" s="35">
        <f t="shared" si="99"/>
        <v>12715.85</v>
      </c>
      <c r="AZ21" s="35">
        <f t="shared" si="19"/>
        <v>1751.5407</v>
      </c>
      <c r="BA21" s="5">
        <f t="shared" si="20"/>
        <v>14467.3907</v>
      </c>
      <c r="BB21" s="35">
        <f t="shared" si="21"/>
        <v>1131.3080716</v>
      </c>
      <c r="BC21" s="35">
        <f t="shared" si="100"/>
        <v>11.7548564</v>
      </c>
      <c r="BE21" s="35">
        <f t="shared" si="101"/>
        <v>143780.05000000002</v>
      </c>
      <c r="BF21" s="35">
        <f t="shared" si="22"/>
        <v>19804.9371</v>
      </c>
      <c r="BG21" s="5">
        <f t="shared" si="23"/>
        <v>163584.98710000003</v>
      </c>
      <c r="BH21" s="35">
        <f t="shared" si="24"/>
        <v>12791.8724348</v>
      </c>
      <c r="BI21" s="35">
        <f t="shared" si="102"/>
        <v>132.9139492</v>
      </c>
      <c r="BJ21" s="5"/>
      <c r="BK21" s="35">
        <f t="shared" si="103"/>
        <v>2528.0125</v>
      </c>
      <c r="BL21" s="35">
        <f t="shared" si="25"/>
        <v>348.220275</v>
      </c>
      <c r="BM21" s="5">
        <f t="shared" si="26"/>
        <v>2876.232775</v>
      </c>
      <c r="BN21" s="35">
        <f t="shared" si="27"/>
        <v>224.9130767</v>
      </c>
      <c r="BO21" s="35">
        <f t="shared" si="104"/>
        <v>2.3369593</v>
      </c>
      <c r="BP21" s="5"/>
      <c r="BQ21" s="35">
        <f t="shared" si="105"/>
        <v>539.9125</v>
      </c>
      <c r="BR21" s="35">
        <f t="shared" si="28"/>
        <v>74.370075</v>
      </c>
      <c r="BS21" s="5">
        <f t="shared" si="29"/>
        <v>614.2825750000001</v>
      </c>
      <c r="BT21" s="35">
        <f t="shared" si="30"/>
        <v>48.035119099999996</v>
      </c>
      <c r="BU21" s="35"/>
      <c r="BV21" s="5"/>
      <c r="BW21" s="35">
        <f t="shared" si="106"/>
        <v>516377.25</v>
      </c>
      <c r="BX21" s="35">
        <f t="shared" si="31"/>
        <v>71128.2195</v>
      </c>
      <c r="BY21" s="5">
        <f t="shared" si="32"/>
        <v>587505.4695</v>
      </c>
      <c r="BZ21" s="35">
        <f t="shared" si="33"/>
        <v>45941.226966</v>
      </c>
      <c r="CA21" s="35">
        <f t="shared" si="107"/>
        <v>477.352314</v>
      </c>
      <c r="CB21" s="5"/>
      <c r="CC21" s="35">
        <f t="shared" si="108"/>
        <v>995.8125</v>
      </c>
      <c r="CD21" s="35">
        <f t="shared" si="34"/>
        <v>137.167875</v>
      </c>
      <c r="CE21" s="5">
        <f t="shared" si="35"/>
        <v>1132.980375</v>
      </c>
      <c r="CF21" s="35">
        <f t="shared" si="36"/>
        <v>88.5957855</v>
      </c>
      <c r="CG21" s="35">
        <f t="shared" si="109"/>
        <v>0.9205545</v>
      </c>
      <c r="CH21" s="5"/>
      <c r="CI21" s="35">
        <f t="shared" si="110"/>
        <v>591.6125</v>
      </c>
      <c r="CJ21" s="35">
        <f t="shared" si="37"/>
        <v>81.491475</v>
      </c>
      <c r="CK21" s="5">
        <f t="shared" si="38"/>
        <v>673.103975</v>
      </c>
      <c r="CL21" s="35">
        <f t="shared" si="39"/>
        <v>52.6347823</v>
      </c>
      <c r="CM21" s="35">
        <f t="shared" si="111"/>
        <v>0.5469016999999999</v>
      </c>
      <c r="CN21" s="5"/>
      <c r="CO21" s="35">
        <f t="shared" si="112"/>
        <v>36913.8</v>
      </c>
      <c r="CP21" s="35">
        <f t="shared" si="40"/>
        <v>5084.6796</v>
      </c>
      <c r="CQ21" s="5">
        <f t="shared" si="41"/>
        <v>41998.479600000006</v>
      </c>
      <c r="CR21" s="35">
        <f t="shared" si="42"/>
        <v>3284.1595248</v>
      </c>
      <c r="CS21" s="35">
        <f t="shared" si="113"/>
        <v>34.1240592</v>
      </c>
      <c r="CT21" s="5"/>
      <c r="CU21" s="35">
        <f t="shared" si="114"/>
        <v>3899.2375</v>
      </c>
      <c r="CV21" s="35">
        <f t="shared" si="43"/>
        <v>537.099225</v>
      </c>
      <c r="CW21" s="5">
        <f t="shared" si="44"/>
        <v>4436.336725</v>
      </c>
      <c r="CX21" s="35">
        <f t="shared" si="45"/>
        <v>346.9086893</v>
      </c>
      <c r="CY21" s="35">
        <f t="shared" si="115"/>
        <v>3.6045547</v>
      </c>
      <c r="CZ21" s="5"/>
      <c r="DA21" s="35">
        <f>$C21*DB$6</f>
        <v>10651.9625</v>
      </c>
      <c r="DB21" s="35">
        <f t="shared" si="46"/>
        <v>1467.251175</v>
      </c>
      <c r="DC21" s="5">
        <f t="shared" si="47"/>
        <v>12119.213674999999</v>
      </c>
      <c r="DD21" s="35">
        <f t="shared" si="48"/>
        <v>947.6874259</v>
      </c>
      <c r="DE21" s="35">
        <f t="shared" si="116"/>
        <v>9.8469461</v>
      </c>
      <c r="DF21" s="5"/>
      <c r="DG21" s="35">
        <f t="shared" si="117"/>
        <v>104193.7125</v>
      </c>
      <c r="DH21" s="35">
        <f t="shared" si="49"/>
        <v>14352.129675</v>
      </c>
      <c r="DI21" s="35">
        <f t="shared" si="50"/>
        <v>118545.842175</v>
      </c>
      <c r="DJ21" s="35">
        <f t="shared" si="51"/>
        <v>9269.9416839</v>
      </c>
      <c r="DK21" s="35">
        <f t="shared" si="118"/>
        <v>96.3193281</v>
      </c>
      <c r="DL21" s="5"/>
      <c r="DM21" s="35">
        <f t="shared" si="119"/>
        <v>14389.05</v>
      </c>
      <c r="DN21" s="35">
        <f t="shared" si="52"/>
        <v>1982.0150999999998</v>
      </c>
      <c r="DO21" s="35">
        <f t="shared" si="53"/>
        <v>16371.0651</v>
      </c>
      <c r="DP21" s="35">
        <f t="shared" si="54"/>
        <v>1280.1698988</v>
      </c>
      <c r="DQ21" s="35">
        <f t="shared" si="120"/>
        <v>13.3016052</v>
      </c>
      <c r="DR21" s="5"/>
      <c r="DS21" s="35">
        <f t="shared" si="121"/>
        <v>57480.99999999999</v>
      </c>
      <c r="DT21" s="35">
        <f t="shared" si="55"/>
        <v>7917.701999999999</v>
      </c>
      <c r="DU21" s="5">
        <f t="shared" si="56"/>
        <v>65398.70199999999</v>
      </c>
      <c r="DV21" s="35">
        <f t="shared" si="57"/>
        <v>5113.989176</v>
      </c>
      <c r="DW21" s="35">
        <f t="shared" si="122"/>
        <v>53.136903999999994</v>
      </c>
      <c r="DX21" s="5"/>
      <c r="DY21" s="35">
        <f t="shared" si="123"/>
        <v>462215.62499999994</v>
      </c>
      <c r="DZ21" s="35">
        <f t="shared" si="58"/>
        <v>63667.743749999994</v>
      </c>
      <c r="EA21" s="35">
        <f t="shared" si="59"/>
        <v>525883.3687499999</v>
      </c>
      <c r="EB21" s="35">
        <f t="shared" si="60"/>
        <v>41122.557075</v>
      </c>
      <c r="EC21" s="35">
        <f t="shared" si="124"/>
        <v>427.28392499999995</v>
      </c>
      <c r="ED21" s="5"/>
      <c r="EE21" s="35">
        <f t="shared" si="125"/>
        <v>690509.3125</v>
      </c>
      <c r="EF21" s="35">
        <f t="shared" si="61"/>
        <v>95113.984875</v>
      </c>
      <c r="EG21" s="5">
        <f t="shared" si="62"/>
        <v>785623.297375</v>
      </c>
      <c r="EH21" s="35">
        <f t="shared" si="63"/>
        <v>61433.4675815</v>
      </c>
      <c r="EI21" s="35">
        <f t="shared" si="126"/>
        <v>638.3244385</v>
      </c>
      <c r="EJ21" s="5"/>
      <c r="EK21" s="35">
        <f t="shared" si="127"/>
        <v>5755.15</v>
      </c>
      <c r="EL21" s="35">
        <f t="shared" si="64"/>
        <v>792.7412999999999</v>
      </c>
      <c r="EM21" s="5">
        <f t="shared" si="65"/>
        <v>6547.891299999999</v>
      </c>
      <c r="EN21" s="35">
        <f t="shared" si="66"/>
        <v>512.0261444</v>
      </c>
      <c r="EO21" s="35">
        <f t="shared" si="128"/>
        <v>5.3202076</v>
      </c>
      <c r="EP21" s="5"/>
      <c r="EQ21" s="35">
        <f t="shared" si="129"/>
        <v>220678.5125</v>
      </c>
      <c r="ER21" s="35">
        <f t="shared" si="67"/>
        <v>30397.291275</v>
      </c>
      <c r="ES21" s="5">
        <f t="shared" si="68"/>
        <v>251075.803775</v>
      </c>
      <c r="ET21" s="35">
        <f t="shared" si="69"/>
        <v>19633.4010247</v>
      </c>
      <c r="EU21" s="35">
        <f t="shared" si="130"/>
        <v>204.0008513</v>
      </c>
      <c r="EV21" s="5"/>
      <c r="EW21" s="35">
        <f t="shared" si="131"/>
        <v>368198.58749999997</v>
      </c>
      <c r="EX21" s="35">
        <f t="shared" si="70"/>
        <v>50717.396924999994</v>
      </c>
      <c r="EY21" s="5">
        <f t="shared" si="71"/>
        <v>418915.984425</v>
      </c>
      <c r="EZ21" s="35">
        <f t="shared" si="72"/>
        <v>32758.0172769</v>
      </c>
      <c r="FA21" s="35">
        <f t="shared" si="132"/>
        <v>340.3721751</v>
      </c>
      <c r="FB21" s="5"/>
      <c r="FC21" s="35">
        <f t="shared" si="133"/>
        <v>315229.58749999997</v>
      </c>
      <c r="FD21" s="35">
        <f t="shared" si="73"/>
        <v>43421.198925</v>
      </c>
      <c r="FE21" s="5">
        <f t="shared" si="74"/>
        <v>358650.78642499994</v>
      </c>
      <c r="FF21" s="35">
        <f t="shared" si="75"/>
        <v>28045.4532529</v>
      </c>
      <c r="FG21" s="35">
        <f t="shared" si="134"/>
        <v>291.4062791</v>
      </c>
      <c r="FH21" s="5"/>
      <c r="FI21" s="35">
        <f t="shared" si="135"/>
        <v>312578.7875</v>
      </c>
      <c r="FJ21" s="35">
        <f t="shared" si="76"/>
        <v>43056.065324999996</v>
      </c>
      <c r="FK21" s="5">
        <f t="shared" si="77"/>
        <v>355634.85282499995</v>
      </c>
      <c r="FL21" s="35">
        <f t="shared" si="78"/>
        <v>27809.615976099998</v>
      </c>
      <c r="FM21" s="35">
        <f t="shared" si="136"/>
        <v>288.9558119</v>
      </c>
      <c r="FN21" s="5"/>
      <c r="FO21" s="35">
        <f t="shared" si="137"/>
        <v>453224.52499999997</v>
      </c>
      <c r="FP21" s="35">
        <f t="shared" si="79"/>
        <v>62429.26755</v>
      </c>
      <c r="FQ21" s="35">
        <f t="shared" si="80"/>
        <v>515653.79254999995</v>
      </c>
      <c r="FR21" s="35">
        <f t="shared" si="81"/>
        <v>40322.633829399994</v>
      </c>
      <c r="FS21" s="35">
        <f t="shared" si="138"/>
        <v>418.9723226</v>
      </c>
      <c r="FT21" s="5"/>
      <c r="FU21" s="35">
        <f t="shared" si="139"/>
        <v>574082.675</v>
      </c>
      <c r="FV21" s="35">
        <f t="shared" si="82"/>
        <v>79076.83485</v>
      </c>
      <c r="FW21" s="35">
        <f t="shared" si="83"/>
        <v>653159.50985</v>
      </c>
      <c r="FX21" s="35">
        <f t="shared" si="84"/>
        <v>51075.1828618</v>
      </c>
      <c r="FY21" s="35">
        <f t="shared" si="140"/>
        <v>530.6966822</v>
      </c>
      <c r="FZ21" s="5"/>
      <c r="GA21" s="35">
        <f t="shared" si="141"/>
        <v>2649.0375</v>
      </c>
      <c r="GB21" s="35">
        <f t="shared" si="85"/>
        <v>364.890825</v>
      </c>
      <c r="GC21" s="5">
        <f t="shared" si="86"/>
        <v>3013.928325</v>
      </c>
      <c r="GD21" s="35">
        <f t="shared" si="87"/>
        <v>235.6804701</v>
      </c>
      <c r="GE21" s="35">
        <f t="shared" si="142"/>
        <v>2.4488379</v>
      </c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</row>
    <row r="22" spans="1:230" ht="12.75">
      <c r="A22" s="36">
        <v>46296</v>
      </c>
      <c r="D22" s="3">
        <v>662375</v>
      </c>
      <c r="E22" s="34">
        <f t="shared" si="0"/>
        <v>662375</v>
      </c>
      <c r="F22" s="34">
        <v>522689</v>
      </c>
      <c r="G22" s="34">
        <v>5431</v>
      </c>
      <c r="I22" s="35">
        <f>'2019C Academic'!I22</f>
        <v>0</v>
      </c>
      <c r="J22" s="35">
        <f>'2019C Academic'!J22</f>
        <v>147862.633625</v>
      </c>
      <c r="K22" s="35">
        <f t="shared" si="88"/>
        <v>147862.633625</v>
      </c>
      <c r="L22" s="35">
        <f>'2019C Academic'!L22</f>
        <v>116680.38815900001</v>
      </c>
      <c r="M22" s="35">
        <f>'2019C Academic'!M22</f>
        <v>1212.3675610000003</v>
      </c>
      <c r="O22" s="35"/>
      <c r="P22" s="34">
        <f t="shared" si="1"/>
        <v>514512.3663749999</v>
      </c>
      <c r="Q22" s="5">
        <f t="shared" si="2"/>
        <v>514512.3663749999</v>
      </c>
      <c r="R22" s="34">
        <f t="shared" si="3"/>
        <v>406008.61184100003</v>
      </c>
      <c r="S22" s="34">
        <f t="shared" si="3"/>
        <v>4218.1333301</v>
      </c>
      <c r="U22" s="35"/>
      <c r="V22" s="35">
        <f t="shared" si="4"/>
        <v>143.86785</v>
      </c>
      <c r="W22" s="5">
        <f t="shared" si="5"/>
        <v>143.86785</v>
      </c>
      <c r="X22" s="35">
        <f t="shared" si="6"/>
        <v>113.5280508</v>
      </c>
      <c r="Y22" s="35">
        <f t="shared" si="90"/>
        <v>1.1796132</v>
      </c>
      <c r="AA22" s="35"/>
      <c r="AB22" s="35">
        <f t="shared" si="7"/>
        <v>15310.4669375</v>
      </c>
      <c r="AC22" s="5">
        <f t="shared" si="8"/>
        <v>15310.4669375</v>
      </c>
      <c r="AD22" s="35">
        <f t="shared" si="9"/>
        <v>12081.694890499999</v>
      </c>
      <c r="AE22" s="35">
        <f t="shared" si="92"/>
        <v>125.53484949999999</v>
      </c>
      <c r="AG22" s="35"/>
      <c r="AH22" s="35">
        <f t="shared" si="10"/>
        <v>939.4464624999999</v>
      </c>
      <c r="AI22" s="35">
        <f t="shared" si="11"/>
        <v>939.4464624999999</v>
      </c>
      <c r="AJ22" s="35">
        <f t="shared" si="12"/>
        <v>741.3298087</v>
      </c>
      <c r="AK22" s="35">
        <f t="shared" si="94"/>
        <v>7.7027873</v>
      </c>
      <c r="AM22" s="35"/>
      <c r="AN22" s="35">
        <f t="shared" si="13"/>
        <v>6794.5765125</v>
      </c>
      <c r="AO22" s="5">
        <f t="shared" si="14"/>
        <v>6794.5765125</v>
      </c>
      <c r="AP22" s="35">
        <f t="shared" si="15"/>
        <v>5361.6914931</v>
      </c>
      <c r="AQ22" s="35">
        <f t="shared" si="96"/>
        <v>55.7106549</v>
      </c>
      <c r="AS22" s="35"/>
      <c r="AT22" s="35">
        <f t="shared" si="16"/>
        <v>5374.245800000001</v>
      </c>
      <c r="AU22" s="5">
        <f t="shared" si="17"/>
        <v>5374.245800000001</v>
      </c>
      <c r="AV22" s="35">
        <f t="shared" si="18"/>
        <v>4240.8894704</v>
      </c>
      <c r="AW22" s="35">
        <f t="shared" si="98"/>
        <v>44.064961600000004</v>
      </c>
      <c r="AY22" s="35"/>
      <c r="AZ22" s="35">
        <f t="shared" si="19"/>
        <v>1433.64445</v>
      </c>
      <c r="BA22" s="5">
        <f t="shared" si="20"/>
        <v>1433.64445</v>
      </c>
      <c r="BB22" s="35">
        <f t="shared" si="21"/>
        <v>1131.3080716</v>
      </c>
      <c r="BC22" s="35">
        <f t="shared" si="100"/>
        <v>11.7548564</v>
      </c>
      <c r="BE22" s="35"/>
      <c r="BF22" s="35">
        <f t="shared" si="22"/>
        <v>16210.43585</v>
      </c>
      <c r="BG22" s="5">
        <f t="shared" si="23"/>
        <v>16210.43585</v>
      </c>
      <c r="BH22" s="35">
        <f t="shared" si="24"/>
        <v>12791.8724348</v>
      </c>
      <c r="BI22" s="35">
        <f t="shared" si="102"/>
        <v>132.9139492</v>
      </c>
      <c r="BJ22" s="5"/>
      <c r="BK22" s="35"/>
      <c r="BL22" s="35">
        <f t="shared" si="25"/>
        <v>285.0199625</v>
      </c>
      <c r="BM22" s="5">
        <f t="shared" si="26"/>
        <v>285.0199625</v>
      </c>
      <c r="BN22" s="35">
        <f t="shared" si="27"/>
        <v>224.9130767</v>
      </c>
      <c r="BO22" s="35">
        <f t="shared" si="104"/>
        <v>2.3369593</v>
      </c>
      <c r="BP22" s="5"/>
      <c r="BQ22" s="35"/>
      <c r="BR22" s="35">
        <f t="shared" si="28"/>
        <v>60.8722625</v>
      </c>
      <c r="BS22" s="5">
        <f t="shared" si="29"/>
        <v>60.8722625</v>
      </c>
      <c r="BT22" s="35">
        <f t="shared" si="30"/>
        <v>48.035119099999996</v>
      </c>
      <c r="BU22" s="35"/>
      <c r="BV22" s="5"/>
      <c r="BW22" s="35"/>
      <c r="BX22" s="35">
        <f t="shared" si="31"/>
        <v>58218.78825</v>
      </c>
      <c r="BY22" s="5">
        <f t="shared" si="32"/>
        <v>58218.78825</v>
      </c>
      <c r="BZ22" s="35">
        <f t="shared" si="33"/>
        <v>45941.226966</v>
      </c>
      <c r="CA22" s="35">
        <f t="shared" si="107"/>
        <v>477.352314</v>
      </c>
      <c r="CB22" s="5"/>
      <c r="CC22" s="35"/>
      <c r="CD22" s="35">
        <f t="shared" si="34"/>
        <v>112.2725625</v>
      </c>
      <c r="CE22" s="5">
        <f t="shared" si="35"/>
        <v>112.2725625</v>
      </c>
      <c r="CF22" s="35">
        <f t="shared" si="36"/>
        <v>88.5957855</v>
      </c>
      <c r="CG22" s="35">
        <f t="shared" si="109"/>
        <v>0.9205545</v>
      </c>
      <c r="CH22" s="5"/>
      <c r="CI22" s="35"/>
      <c r="CJ22" s="35">
        <f t="shared" si="37"/>
        <v>66.7011625</v>
      </c>
      <c r="CK22" s="5">
        <f t="shared" si="38"/>
        <v>66.7011625</v>
      </c>
      <c r="CL22" s="35">
        <f t="shared" si="39"/>
        <v>52.6347823</v>
      </c>
      <c r="CM22" s="35">
        <f t="shared" si="111"/>
        <v>0.5469016999999999</v>
      </c>
      <c r="CN22" s="5"/>
      <c r="CO22" s="35"/>
      <c r="CP22" s="35">
        <f t="shared" si="40"/>
        <v>4161.8346</v>
      </c>
      <c r="CQ22" s="5">
        <f t="shared" si="41"/>
        <v>4161.8346</v>
      </c>
      <c r="CR22" s="35">
        <f t="shared" si="42"/>
        <v>3284.1595248</v>
      </c>
      <c r="CS22" s="35">
        <f t="shared" si="113"/>
        <v>34.1240592</v>
      </c>
      <c r="CT22" s="5"/>
      <c r="CU22" s="35"/>
      <c r="CV22" s="35">
        <f t="shared" si="43"/>
        <v>439.6182875</v>
      </c>
      <c r="CW22" s="5">
        <f t="shared" si="44"/>
        <v>439.6182875</v>
      </c>
      <c r="CX22" s="35">
        <f t="shared" si="45"/>
        <v>346.9086893</v>
      </c>
      <c r="CY22" s="35">
        <f t="shared" si="115"/>
        <v>3.6045547</v>
      </c>
      <c r="CZ22" s="5"/>
      <c r="DA22" s="35"/>
      <c r="DB22" s="35">
        <f t="shared" si="46"/>
        <v>1200.9521125</v>
      </c>
      <c r="DC22" s="5">
        <f t="shared" si="47"/>
        <v>1200.9521125</v>
      </c>
      <c r="DD22" s="35">
        <f t="shared" si="48"/>
        <v>947.6874259</v>
      </c>
      <c r="DE22" s="35">
        <f t="shared" si="116"/>
        <v>9.8469461</v>
      </c>
      <c r="DF22" s="5"/>
      <c r="DG22" s="35"/>
      <c r="DH22" s="35">
        <f t="shared" si="49"/>
        <v>11747.286862500001</v>
      </c>
      <c r="DI22" s="35">
        <f t="shared" si="50"/>
        <v>11747.286862500001</v>
      </c>
      <c r="DJ22" s="35">
        <f t="shared" si="51"/>
        <v>9269.9416839</v>
      </c>
      <c r="DK22" s="35">
        <f t="shared" si="118"/>
        <v>96.3193281</v>
      </c>
      <c r="DL22" s="5"/>
      <c r="DM22" s="35"/>
      <c r="DN22" s="35">
        <f t="shared" si="52"/>
        <v>1622.28885</v>
      </c>
      <c r="DO22" s="35">
        <f t="shared" si="53"/>
        <v>1622.28885</v>
      </c>
      <c r="DP22" s="35">
        <f t="shared" si="54"/>
        <v>1280.1698988</v>
      </c>
      <c r="DQ22" s="35">
        <f t="shared" si="120"/>
        <v>13.3016052</v>
      </c>
      <c r="DR22" s="5"/>
      <c r="DS22" s="35"/>
      <c r="DT22" s="35">
        <f t="shared" si="55"/>
        <v>6480.677</v>
      </c>
      <c r="DU22" s="5">
        <f t="shared" si="56"/>
        <v>6480.677</v>
      </c>
      <c r="DV22" s="35">
        <f t="shared" si="57"/>
        <v>5113.989176</v>
      </c>
      <c r="DW22" s="35">
        <f t="shared" si="122"/>
        <v>53.136903999999994</v>
      </c>
      <c r="DX22" s="5"/>
      <c r="DY22" s="35"/>
      <c r="DZ22" s="35">
        <f t="shared" si="58"/>
        <v>52112.353124999994</v>
      </c>
      <c r="EA22" s="35">
        <f t="shared" si="59"/>
        <v>52112.353124999994</v>
      </c>
      <c r="EB22" s="35">
        <f t="shared" si="60"/>
        <v>41122.557075</v>
      </c>
      <c r="EC22" s="35">
        <f t="shared" si="124"/>
        <v>427.28392499999995</v>
      </c>
      <c r="ED22" s="5"/>
      <c r="EE22" s="35"/>
      <c r="EF22" s="35">
        <f t="shared" si="61"/>
        <v>77851.2520625</v>
      </c>
      <c r="EG22" s="5">
        <f t="shared" si="62"/>
        <v>77851.2520625</v>
      </c>
      <c r="EH22" s="35">
        <f t="shared" si="63"/>
        <v>61433.4675815</v>
      </c>
      <c r="EI22" s="35">
        <f t="shared" si="126"/>
        <v>638.3244385</v>
      </c>
      <c r="EJ22" s="5"/>
      <c r="EK22" s="35"/>
      <c r="EL22" s="35">
        <f t="shared" si="64"/>
        <v>648.8625499999999</v>
      </c>
      <c r="EM22" s="5">
        <f t="shared" si="65"/>
        <v>648.8625499999999</v>
      </c>
      <c r="EN22" s="35">
        <f t="shared" si="66"/>
        <v>512.0261444</v>
      </c>
      <c r="EO22" s="35">
        <f t="shared" si="128"/>
        <v>5.3202076</v>
      </c>
      <c r="EP22" s="5"/>
      <c r="EQ22" s="35"/>
      <c r="ER22" s="35">
        <f t="shared" si="67"/>
        <v>24880.3284625</v>
      </c>
      <c r="ES22" s="5">
        <f t="shared" si="68"/>
        <v>24880.3284625</v>
      </c>
      <c r="ET22" s="35">
        <f t="shared" si="69"/>
        <v>19633.4010247</v>
      </c>
      <c r="EU22" s="35">
        <f t="shared" si="130"/>
        <v>204.0008513</v>
      </c>
      <c r="EV22" s="5"/>
      <c r="EW22" s="35"/>
      <c r="EX22" s="35">
        <f t="shared" si="70"/>
        <v>41512.4322375</v>
      </c>
      <c r="EY22" s="5">
        <f t="shared" si="71"/>
        <v>41512.4322375</v>
      </c>
      <c r="EZ22" s="35">
        <f t="shared" si="72"/>
        <v>32758.0172769</v>
      </c>
      <c r="FA22" s="35">
        <f t="shared" si="132"/>
        <v>340.3721751</v>
      </c>
      <c r="FB22" s="5"/>
      <c r="FC22" s="35"/>
      <c r="FD22" s="35">
        <f t="shared" si="73"/>
        <v>35540.4592375</v>
      </c>
      <c r="FE22" s="5">
        <f t="shared" si="74"/>
        <v>35540.4592375</v>
      </c>
      <c r="FF22" s="35">
        <f t="shared" si="75"/>
        <v>28045.4532529</v>
      </c>
      <c r="FG22" s="35">
        <f t="shared" si="134"/>
        <v>291.4062791</v>
      </c>
      <c r="FH22" s="5"/>
      <c r="FI22" s="35"/>
      <c r="FJ22" s="35">
        <f t="shared" si="76"/>
        <v>35241.5956375</v>
      </c>
      <c r="FK22" s="5">
        <f t="shared" si="77"/>
        <v>35241.5956375</v>
      </c>
      <c r="FL22" s="35">
        <f t="shared" si="78"/>
        <v>27809.615976099998</v>
      </c>
      <c r="FM22" s="35">
        <f t="shared" si="136"/>
        <v>288.9558119</v>
      </c>
      <c r="FN22" s="5"/>
      <c r="FO22" s="35"/>
      <c r="FP22" s="35">
        <f t="shared" si="79"/>
        <v>51098.65442499999</v>
      </c>
      <c r="FQ22" s="35">
        <f t="shared" si="80"/>
        <v>51098.65442499999</v>
      </c>
      <c r="FR22" s="35">
        <f t="shared" si="81"/>
        <v>40322.633829399994</v>
      </c>
      <c r="FS22" s="35">
        <f t="shared" si="138"/>
        <v>418.9723226</v>
      </c>
      <c r="FT22" s="5"/>
      <c r="FU22" s="35"/>
      <c r="FV22" s="35">
        <f t="shared" si="82"/>
        <v>64724.767975</v>
      </c>
      <c r="FW22" s="35">
        <f t="shared" si="83"/>
        <v>64724.767975</v>
      </c>
      <c r="FX22" s="35">
        <f t="shared" si="84"/>
        <v>51075.1828618</v>
      </c>
      <c r="FY22" s="35">
        <f t="shared" si="140"/>
        <v>530.6966822</v>
      </c>
      <c r="FZ22" s="5"/>
      <c r="GA22" s="35"/>
      <c r="GB22" s="35">
        <f t="shared" si="85"/>
        <v>298.6648875</v>
      </c>
      <c r="GC22" s="5">
        <f t="shared" si="86"/>
        <v>298.6648875</v>
      </c>
      <c r="GD22" s="35">
        <f t="shared" si="87"/>
        <v>235.6804701</v>
      </c>
      <c r="GE22" s="35">
        <f t="shared" si="142"/>
        <v>2.4488379</v>
      </c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</row>
    <row r="23" spans="1:230" ht="12.75">
      <c r="A23" s="36">
        <v>46478</v>
      </c>
      <c r="C23" s="3">
        <v>6160000</v>
      </c>
      <c r="D23" s="3">
        <v>662375</v>
      </c>
      <c r="E23" s="34">
        <f t="shared" si="0"/>
        <v>6822375</v>
      </c>
      <c r="F23" s="34">
        <v>522689</v>
      </c>
      <c r="G23" s="34">
        <v>5431</v>
      </c>
      <c r="I23" s="35">
        <f>'2019C Academic'!I23</f>
        <v>1375102.96</v>
      </c>
      <c r="J23" s="35">
        <f>'2019C Academic'!J23</f>
        <v>147862.633625</v>
      </c>
      <c r="K23" s="35">
        <f t="shared" si="88"/>
        <v>1522965.593625</v>
      </c>
      <c r="L23" s="35">
        <f>'2019C Academic'!L23</f>
        <v>116680.38815900001</v>
      </c>
      <c r="M23" s="35">
        <f>'2019C Academic'!M23</f>
        <v>1212.3675610000003</v>
      </c>
      <c r="O23" s="35">
        <f>U23+AA23+AG23+AM23+AS23+AY23+BE23+BK23+BQ23+BW23+CC23+CI23+CO23+CU23+DG23+DM23+DS23+DY23+EE23+EK23+EQ23+EW23+FC23+FI23+DA23+FO23+FU23+GA23+GG23</f>
        <v>4784897.04</v>
      </c>
      <c r="P23" s="34">
        <f t="shared" si="1"/>
        <v>514512.3663749999</v>
      </c>
      <c r="Q23" s="5">
        <f t="shared" si="2"/>
        <v>5299409.406375</v>
      </c>
      <c r="R23" s="34">
        <f t="shared" si="3"/>
        <v>406008.61184100003</v>
      </c>
      <c r="S23" s="34">
        <f t="shared" si="3"/>
        <v>4218.1333301</v>
      </c>
      <c r="U23" s="35">
        <f t="shared" si="89"/>
        <v>1337.952</v>
      </c>
      <c r="V23" s="35">
        <f t="shared" si="4"/>
        <v>143.86785</v>
      </c>
      <c r="W23" s="5">
        <f t="shared" si="5"/>
        <v>1481.81985</v>
      </c>
      <c r="X23" s="35">
        <f t="shared" si="6"/>
        <v>113.5280508</v>
      </c>
      <c r="Y23" s="35">
        <f t="shared" si="90"/>
        <v>1.1796132</v>
      </c>
      <c r="AA23" s="35">
        <f t="shared" si="91"/>
        <v>142385.32</v>
      </c>
      <c r="AB23" s="35">
        <f t="shared" si="7"/>
        <v>15310.4669375</v>
      </c>
      <c r="AC23" s="5">
        <f t="shared" si="8"/>
        <v>157695.7869375</v>
      </c>
      <c r="AD23" s="35">
        <f t="shared" si="9"/>
        <v>12081.694890499999</v>
      </c>
      <c r="AE23" s="35">
        <f t="shared" si="92"/>
        <v>125.53484949999999</v>
      </c>
      <c r="AG23" s="35">
        <f t="shared" si="93"/>
        <v>8736.728</v>
      </c>
      <c r="AH23" s="35">
        <f t="shared" si="10"/>
        <v>939.4464624999999</v>
      </c>
      <c r="AI23" s="35">
        <f t="shared" si="11"/>
        <v>9676.1744625</v>
      </c>
      <c r="AJ23" s="35">
        <f t="shared" si="12"/>
        <v>741.3298087</v>
      </c>
      <c r="AK23" s="35">
        <f t="shared" si="94"/>
        <v>7.7027873</v>
      </c>
      <c r="AM23" s="35">
        <f t="shared" si="95"/>
        <v>63188.664000000004</v>
      </c>
      <c r="AN23" s="35">
        <f t="shared" si="13"/>
        <v>6794.5765125</v>
      </c>
      <c r="AO23" s="5">
        <f t="shared" si="14"/>
        <v>69983.24051250001</v>
      </c>
      <c r="AP23" s="35">
        <f t="shared" si="15"/>
        <v>5361.6914931</v>
      </c>
      <c r="AQ23" s="35">
        <f t="shared" si="96"/>
        <v>55.7106549</v>
      </c>
      <c r="AS23" s="35">
        <f t="shared" si="97"/>
        <v>49979.776000000005</v>
      </c>
      <c r="AT23" s="35">
        <f t="shared" si="16"/>
        <v>5374.245800000001</v>
      </c>
      <c r="AU23" s="5">
        <f t="shared" si="17"/>
        <v>55354.0218</v>
      </c>
      <c r="AV23" s="35">
        <f t="shared" si="18"/>
        <v>4240.8894704</v>
      </c>
      <c r="AW23" s="35">
        <f t="shared" si="98"/>
        <v>44.064961600000004</v>
      </c>
      <c r="AY23" s="35">
        <f t="shared" si="99"/>
        <v>13332.704</v>
      </c>
      <c r="AZ23" s="35">
        <f t="shared" si="19"/>
        <v>1433.64445</v>
      </c>
      <c r="BA23" s="5">
        <f t="shared" si="20"/>
        <v>14766.34845</v>
      </c>
      <c r="BB23" s="35">
        <f t="shared" si="21"/>
        <v>1131.3080716</v>
      </c>
      <c r="BC23" s="35">
        <f t="shared" si="100"/>
        <v>11.7548564</v>
      </c>
      <c r="BE23" s="35">
        <f t="shared" si="101"/>
        <v>150754.912</v>
      </c>
      <c r="BF23" s="35">
        <f t="shared" si="22"/>
        <v>16210.43585</v>
      </c>
      <c r="BG23" s="5">
        <f t="shared" si="23"/>
        <v>166965.34785000002</v>
      </c>
      <c r="BH23" s="35">
        <f t="shared" si="24"/>
        <v>12791.8724348</v>
      </c>
      <c r="BI23" s="35">
        <f t="shared" si="102"/>
        <v>132.9139492</v>
      </c>
      <c r="BJ23" s="5"/>
      <c r="BK23" s="35">
        <f t="shared" si="103"/>
        <v>2650.648</v>
      </c>
      <c r="BL23" s="35">
        <f t="shared" si="25"/>
        <v>285.0199625</v>
      </c>
      <c r="BM23" s="5">
        <f t="shared" si="26"/>
        <v>2935.6679625</v>
      </c>
      <c r="BN23" s="35">
        <f t="shared" si="27"/>
        <v>224.9130767</v>
      </c>
      <c r="BO23" s="35">
        <f t="shared" si="104"/>
        <v>2.3369593</v>
      </c>
      <c r="BP23" s="5"/>
      <c r="BQ23" s="35">
        <f t="shared" si="105"/>
        <v>566.104</v>
      </c>
      <c r="BR23" s="35">
        <f t="shared" si="28"/>
        <v>60.8722625</v>
      </c>
      <c r="BS23" s="5">
        <f t="shared" si="29"/>
        <v>626.9762625000001</v>
      </c>
      <c r="BT23" s="35">
        <f t="shared" si="30"/>
        <v>48.035119099999996</v>
      </c>
      <c r="BU23" s="35"/>
      <c r="BV23" s="5"/>
      <c r="BW23" s="35">
        <f t="shared" si="106"/>
        <v>541427.04</v>
      </c>
      <c r="BX23" s="35">
        <f t="shared" si="31"/>
        <v>58218.78825</v>
      </c>
      <c r="BY23" s="5">
        <f t="shared" si="32"/>
        <v>599645.82825</v>
      </c>
      <c r="BZ23" s="35">
        <f t="shared" si="33"/>
        <v>45941.226966</v>
      </c>
      <c r="CA23" s="35">
        <f t="shared" si="107"/>
        <v>477.352314</v>
      </c>
      <c r="CB23" s="5"/>
      <c r="CC23" s="35">
        <f t="shared" si="108"/>
        <v>1044.12</v>
      </c>
      <c r="CD23" s="35">
        <f t="shared" si="34"/>
        <v>112.2725625</v>
      </c>
      <c r="CE23" s="5">
        <f t="shared" si="35"/>
        <v>1156.3925625</v>
      </c>
      <c r="CF23" s="35">
        <f t="shared" si="36"/>
        <v>88.5957855</v>
      </c>
      <c r="CG23" s="35">
        <f t="shared" si="109"/>
        <v>0.9205545</v>
      </c>
      <c r="CH23" s="5"/>
      <c r="CI23" s="35">
        <f t="shared" si="110"/>
        <v>620.312</v>
      </c>
      <c r="CJ23" s="35">
        <f t="shared" si="37"/>
        <v>66.7011625</v>
      </c>
      <c r="CK23" s="5">
        <f t="shared" si="38"/>
        <v>687.0131625</v>
      </c>
      <c r="CL23" s="35">
        <f t="shared" si="39"/>
        <v>52.6347823</v>
      </c>
      <c r="CM23" s="35">
        <f t="shared" si="111"/>
        <v>0.5469016999999999</v>
      </c>
      <c r="CN23" s="5"/>
      <c r="CO23" s="35">
        <f t="shared" si="112"/>
        <v>38704.512</v>
      </c>
      <c r="CP23" s="35">
        <f t="shared" si="40"/>
        <v>4161.8346</v>
      </c>
      <c r="CQ23" s="5">
        <f t="shared" si="41"/>
        <v>42866.346600000004</v>
      </c>
      <c r="CR23" s="35">
        <f t="shared" si="42"/>
        <v>3284.1595248</v>
      </c>
      <c r="CS23" s="35">
        <f t="shared" si="113"/>
        <v>34.1240592</v>
      </c>
      <c r="CT23" s="5"/>
      <c r="CU23" s="35">
        <f t="shared" si="114"/>
        <v>4088.3920000000003</v>
      </c>
      <c r="CV23" s="35">
        <f t="shared" si="43"/>
        <v>439.6182875</v>
      </c>
      <c r="CW23" s="5">
        <f t="shared" si="44"/>
        <v>4528.0102875</v>
      </c>
      <c r="CX23" s="35">
        <f t="shared" si="45"/>
        <v>346.9086893</v>
      </c>
      <c r="CY23" s="35">
        <f t="shared" si="115"/>
        <v>3.6045547</v>
      </c>
      <c r="CZ23" s="5"/>
      <c r="DA23" s="35">
        <f>$C23*DB$6</f>
        <v>11168.696</v>
      </c>
      <c r="DB23" s="35">
        <f t="shared" si="46"/>
        <v>1200.9521125</v>
      </c>
      <c r="DC23" s="5">
        <f t="shared" si="47"/>
        <v>12369.6481125</v>
      </c>
      <c r="DD23" s="35">
        <f t="shared" si="48"/>
        <v>947.6874259</v>
      </c>
      <c r="DE23" s="35">
        <f t="shared" si="116"/>
        <v>9.8469461</v>
      </c>
      <c r="DF23" s="5"/>
      <c r="DG23" s="35">
        <f t="shared" si="117"/>
        <v>109248.216</v>
      </c>
      <c r="DH23" s="35">
        <f t="shared" si="49"/>
        <v>11747.286862500001</v>
      </c>
      <c r="DI23" s="35">
        <f t="shared" si="50"/>
        <v>120995.5028625</v>
      </c>
      <c r="DJ23" s="35">
        <f t="shared" si="51"/>
        <v>9269.9416839</v>
      </c>
      <c r="DK23" s="35">
        <f t="shared" si="118"/>
        <v>96.3193281</v>
      </c>
      <c r="DL23" s="5"/>
      <c r="DM23" s="35">
        <f t="shared" si="119"/>
        <v>15087.072</v>
      </c>
      <c r="DN23" s="35">
        <f t="shared" si="52"/>
        <v>1622.28885</v>
      </c>
      <c r="DO23" s="35">
        <f t="shared" si="53"/>
        <v>16709.36085</v>
      </c>
      <c r="DP23" s="35">
        <f t="shared" si="54"/>
        <v>1280.1698988</v>
      </c>
      <c r="DQ23" s="35">
        <f t="shared" si="120"/>
        <v>13.3016052</v>
      </c>
      <c r="DR23" s="5"/>
      <c r="DS23" s="35">
        <f t="shared" si="121"/>
        <v>60269.439999999995</v>
      </c>
      <c r="DT23" s="35">
        <f t="shared" si="55"/>
        <v>6480.677</v>
      </c>
      <c r="DU23" s="5">
        <f t="shared" si="56"/>
        <v>66750.117</v>
      </c>
      <c r="DV23" s="35">
        <f t="shared" si="57"/>
        <v>5113.989176</v>
      </c>
      <c r="DW23" s="35">
        <f t="shared" si="122"/>
        <v>53.136903999999994</v>
      </c>
      <c r="DX23" s="5"/>
      <c r="DY23" s="35">
        <f t="shared" si="123"/>
        <v>484637.99999999994</v>
      </c>
      <c r="DZ23" s="35">
        <f t="shared" si="58"/>
        <v>52112.353124999994</v>
      </c>
      <c r="EA23" s="35">
        <f t="shared" si="59"/>
        <v>536750.3531249999</v>
      </c>
      <c r="EB23" s="35">
        <f t="shared" si="60"/>
        <v>41122.557075</v>
      </c>
      <c r="EC23" s="35">
        <f t="shared" si="124"/>
        <v>427.28392499999995</v>
      </c>
      <c r="ED23" s="5"/>
      <c r="EE23" s="35">
        <f t="shared" si="125"/>
        <v>724006.36</v>
      </c>
      <c r="EF23" s="35">
        <f t="shared" si="61"/>
        <v>77851.2520625</v>
      </c>
      <c r="EG23" s="5">
        <f t="shared" si="62"/>
        <v>801857.6120625</v>
      </c>
      <c r="EH23" s="35">
        <f t="shared" si="63"/>
        <v>61433.4675815</v>
      </c>
      <c r="EI23" s="35">
        <f t="shared" si="126"/>
        <v>638.3244385</v>
      </c>
      <c r="EJ23" s="5"/>
      <c r="EK23" s="35">
        <f t="shared" si="127"/>
        <v>6034.335999999999</v>
      </c>
      <c r="EL23" s="35">
        <f t="shared" si="64"/>
        <v>648.8625499999999</v>
      </c>
      <c r="EM23" s="5">
        <f t="shared" si="65"/>
        <v>6683.198549999999</v>
      </c>
      <c r="EN23" s="35">
        <f t="shared" si="66"/>
        <v>512.0261444</v>
      </c>
      <c r="EO23" s="35">
        <f t="shared" si="128"/>
        <v>5.3202076</v>
      </c>
      <c r="EP23" s="5"/>
      <c r="EQ23" s="35">
        <f t="shared" si="129"/>
        <v>231383.768</v>
      </c>
      <c r="ER23" s="35">
        <f t="shared" si="67"/>
        <v>24880.3284625</v>
      </c>
      <c r="ES23" s="5">
        <f t="shared" si="68"/>
        <v>256264.09646250002</v>
      </c>
      <c r="ET23" s="35">
        <f t="shared" si="69"/>
        <v>19633.4010247</v>
      </c>
      <c r="EU23" s="35">
        <f t="shared" si="130"/>
        <v>204.0008513</v>
      </c>
      <c r="EV23" s="5"/>
      <c r="EW23" s="35">
        <f t="shared" si="131"/>
        <v>386060.13599999994</v>
      </c>
      <c r="EX23" s="35">
        <f t="shared" si="70"/>
        <v>41512.4322375</v>
      </c>
      <c r="EY23" s="5">
        <f t="shared" si="71"/>
        <v>427572.5682374999</v>
      </c>
      <c r="EZ23" s="35">
        <f t="shared" si="72"/>
        <v>32758.0172769</v>
      </c>
      <c r="FA23" s="35">
        <f t="shared" si="132"/>
        <v>340.3721751</v>
      </c>
      <c r="FB23" s="5"/>
      <c r="FC23" s="35">
        <f t="shared" si="133"/>
        <v>330521.576</v>
      </c>
      <c r="FD23" s="35">
        <f t="shared" si="73"/>
        <v>35540.4592375</v>
      </c>
      <c r="FE23" s="5">
        <f t="shared" si="74"/>
        <v>366062.0352375</v>
      </c>
      <c r="FF23" s="35">
        <f t="shared" si="75"/>
        <v>28045.4532529</v>
      </c>
      <c r="FG23" s="35">
        <f t="shared" si="134"/>
        <v>291.4062791</v>
      </c>
      <c r="FH23" s="5"/>
      <c r="FI23" s="35">
        <f t="shared" si="135"/>
        <v>327742.184</v>
      </c>
      <c r="FJ23" s="35">
        <f t="shared" si="76"/>
        <v>35241.5956375</v>
      </c>
      <c r="FK23" s="5">
        <f t="shared" si="77"/>
        <v>362983.7796375</v>
      </c>
      <c r="FL23" s="35">
        <f t="shared" si="78"/>
        <v>27809.615976099998</v>
      </c>
      <c r="FM23" s="35">
        <f t="shared" si="136"/>
        <v>288.9558119</v>
      </c>
      <c r="FN23" s="5"/>
      <c r="FO23" s="35">
        <f t="shared" si="137"/>
        <v>475210.736</v>
      </c>
      <c r="FP23" s="35">
        <f t="shared" si="79"/>
        <v>51098.65442499999</v>
      </c>
      <c r="FQ23" s="35">
        <f t="shared" si="80"/>
        <v>526309.390425</v>
      </c>
      <c r="FR23" s="35">
        <f t="shared" si="81"/>
        <v>40322.633829399994</v>
      </c>
      <c r="FS23" s="35">
        <f t="shared" si="138"/>
        <v>418.9723226</v>
      </c>
      <c r="FT23" s="5"/>
      <c r="FU23" s="35">
        <f t="shared" si="139"/>
        <v>601931.792</v>
      </c>
      <c r="FV23" s="35">
        <f t="shared" si="82"/>
        <v>64724.767975</v>
      </c>
      <c r="FW23" s="35">
        <f t="shared" si="83"/>
        <v>666656.559975</v>
      </c>
      <c r="FX23" s="35">
        <f t="shared" si="84"/>
        <v>51075.1828618</v>
      </c>
      <c r="FY23" s="35">
        <f t="shared" si="140"/>
        <v>530.6966822</v>
      </c>
      <c r="FZ23" s="5"/>
      <c r="GA23" s="35">
        <f t="shared" si="141"/>
        <v>2777.544</v>
      </c>
      <c r="GB23" s="35">
        <f t="shared" si="85"/>
        <v>298.6648875</v>
      </c>
      <c r="GC23" s="5">
        <f t="shared" si="86"/>
        <v>3076.2088875</v>
      </c>
      <c r="GD23" s="35">
        <f t="shared" si="87"/>
        <v>235.6804701</v>
      </c>
      <c r="GE23" s="35">
        <f t="shared" si="142"/>
        <v>2.4488379</v>
      </c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</row>
    <row r="24" spans="1:230" ht="12.75">
      <c r="A24" s="36">
        <v>46661</v>
      </c>
      <c r="D24" s="3">
        <v>508375</v>
      </c>
      <c r="E24" s="34">
        <f t="shared" si="0"/>
        <v>508375</v>
      </c>
      <c r="F24" s="34">
        <v>522689</v>
      </c>
      <c r="G24" s="34">
        <v>5431</v>
      </c>
      <c r="I24" s="35">
        <f>'2019C Academic'!I24</f>
        <v>0</v>
      </c>
      <c r="J24" s="35">
        <f>'2019C Academic'!J24</f>
        <v>113485.05962500001</v>
      </c>
      <c r="K24" s="35">
        <f t="shared" si="88"/>
        <v>113485.05962500001</v>
      </c>
      <c r="L24" s="35">
        <f>'2019C Academic'!L24</f>
        <v>116680.38815900001</v>
      </c>
      <c r="M24" s="35">
        <f>'2019C Academic'!M24</f>
        <v>1212.3675610000003</v>
      </c>
      <c r="O24" s="35"/>
      <c r="P24" s="34">
        <f t="shared" si="1"/>
        <v>394889.940375</v>
      </c>
      <c r="Q24" s="5">
        <f t="shared" si="2"/>
        <v>394889.940375</v>
      </c>
      <c r="R24" s="34">
        <f t="shared" si="3"/>
        <v>406008.61184100003</v>
      </c>
      <c r="S24" s="34">
        <f t="shared" si="3"/>
        <v>4218.1333301</v>
      </c>
      <c r="U24" s="35"/>
      <c r="V24" s="35">
        <f t="shared" si="4"/>
        <v>110.41905</v>
      </c>
      <c r="W24" s="5">
        <f t="shared" si="5"/>
        <v>110.41905</v>
      </c>
      <c r="X24" s="35">
        <f t="shared" si="6"/>
        <v>113.5280508</v>
      </c>
      <c r="Y24" s="35">
        <f t="shared" si="90"/>
        <v>1.1796132</v>
      </c>
      <c r="AA24" s="35"/>
      <c r="AB24" s="35">
        <f t="shared" si="7"/>
        <v>11750.8339375</v>
      </c>
      <c r="AC24" s="5">
        <f t="shared" si="8"/>
        <v>11750.8339375</v>
      </c>
      <c r="AD24" s="35">
        <f t="shared" si="9"/>
        <v>12081.694890499999</v>
      </c>
      <c r="AE24" s="35">
        <f t="shared" si="92"/>
        <v>125.53484949999999</v>
      </c>
      <c r="AG24" s="35"/>
      <c r="AH24" s="35">
        <f t="shared" si="10"/>
        <v>721.0282625</v>
      </c>
      <c r="AI24" s="35">
        <f t="shared" si="11"/>
        <v>721.0282625</v>
      </c>
      <c r="AJ24" s="35">
        <f t="shared" si="12"/>
        <v>741.3298087</v>
      </c>
      <c r="AK24" s="35">
        <f t="shared" si="94"/>
        <v>7.7027873</v>
      </c>
      <c r="AM24" s="35"/>
      <c r="AN24" s="35">
        <f t="shared" si="13"/>
        <v>5214.8599125</v>
      </c>
      <c r="AO24" s="5">
        <f t="shared" si="14"/>
        <v>5214.8599125</v>
      </c>
      <c r="AP24" s="35">
        <f t="shared" si="15"/>
        <v>5361.6914931</v>
      </c>
      <c r="AQ24" s="35">
        <f t="shared" si="96"/>
        <v>55.7106549</v>
      </c>
      <c r="AS24" s="35"/>
      <c r="AT24" s="35">
        <f t="shared" si="16"/>
        <v>4124.7514</v>
      </c>
      <c r="AU24" s="5">
        <f t="shared" si="17"/>
        <v>4124.7514</v>
      </c>
      <c r="AV24" s="35">
        <f t="shared" si="18"/>
        <v>4240.8894704</v>
      </c>
      <c r="AW24" s="35">
        <f t="shared" si="98"/>
        <v>44.064961600000004</v>
      </c>
      <c r="AY24" s="35"/>
      <c r="AZ24" s="35">
        <f t="shared" si="19"/>
        <v>1100.32685</v>
      </c>
      <c r="BA24" s="5">
        <f t="shared" si="20"/>
        <v>1100.32685</v>
      </c>
      <c r="BB24" s="35">
        <f t="shared" si="21"/>
        <v>1131.3080716</v>
      </c>
      <c r="BC24" s="35">
        <f t="shared" si="100"/>
        <v>11.7548564</v>
      </c>
      <c r="BE24" s="35"/>
      <c r="BF24" s="35">
        <f t="shared" si="22"/>
        <v>12441.56305</v>
      </c>
      <c r="BG24" s="5">
        <f t="shared" si="23"/>
        <v>12441.56305</v>
      </c>
      <c r="BH24" s="35">
        <f t="shared" si="24"/>
        <v>12791.8724348</v>
      </c>
      <c r="BI24" s="35">
        <f t="shared" si="102"/>
        <v>132.9139492</v>
      </c>
      <c r="BJ24" s="5"/>
      <c r="BK24" s="35"/>
      <c r="BL24" s="35">
        <f t="shared" si="25"/>
        <v>218.7537625</v>
      </c>
      <c r="BM24" s="5">
        <f t="shared" si="26"/>
        <v>218.7537625</v>
      </c>
      <c r="BN24" s="35">
        <f t="shared" si="27"/>
        <v>224.9130767</v>
      </c>
      <c r="BO24" s="35">
        <f t="shared" si="104"/>
        <v>2.3369593</v>
      </c>
      <c r="BP24" s="5"/>
      <c r="BQ24" s="35"/>
      <c r="BR24" s="35">
        <f t="shared" si="28"/>
        <v>46.7196625</v>
      </c>
      <c r="BS24" s="5">
        <f t="shared" si="29"/>
        <v>46.7196625</v>
      </c>
      <c r="BT24" s="35">
        <f t="shared" si="30"/>
        <v>48.035119099999996</v>
      </c>
      <c r="BU24" s="35"/>
      <c r="BV24" s="5"/>
      <c r="BW24" s="35"/>
      <c r="BX24" s="35">
        <f t="shared" si="31"/>
        <v>44683.11225</v>
      </c>
      <c r="BY24" s="5">
        <f t="shared" si="32"/>
        <v>44683.11225</v>
      </c>
      <c r="BZ24" s="35">
        <f t="shared" si="33"/>
        <v>45941.226966</v>
      </c>
      <c r="CA24" s="35">
        <f t="shared" si="107"/>
        <v>477.352314</v>
      </c>
      <c r="CB24" s="5"/>
      <c r="CC24" s="35"/>
      <c r="CD24" s="35">
        <f t="shared" si="34"/>
        <v>86.1695625</v>
      </c>
      <c r="CE24" s="5">
        <f t="shared" si="35"/>
        <v>86.1695625</v>
      </c>
      <c r="CF24" s="35">
        <f t="shared" si="36"/>
        <v>88.5957855</v>
      </c>
      <c r="CG24" s="35">
        <f t="shared" si="109"/>
        <v>0.9205545</v>
      </c>
      <c r="CH24" s="5"/>
      <c r="CI24" s="35"/>
      <c r="CJ24" s="35">
        <f t="shared" si="37"/>
        <v>51.1933625</v>
      </c>
      <c r="CK24" s="5">
        <f t="shared" si="38"/>
        <v>51.1933625</v>
      </c>
      <c r="CL24" s="35">
        <f t="shared" si="39"/>
        <v>52.6347823</v>
      </c>
      <c r="CM24" s="35">
        <f t="shared" si="111"/>
        <v>0.5469016999999999</v>
      </c>
      <c r="CN24" s="5"/>
      <c r="CO24" s="35"/>
      <c r="CP24" s="35">
        <f t="shared" si="40"/>
        <v>3194.2218000000003</v>
      </c>
      <c r="CQ24" s="5">
        <f t="shared" si="41"/>
        <v>3194.2218000000003</v>
      </c>
      <c r="CR24" s="35">
        <f t="shared" si="42"/>
        <v>3284.1595248</v>
      </c>
      <c r="CS24" s="35">
        <f t="shared" si="113"/>
        <v>34.1240592</v>
      </c>
      <c r="CT24" s="5"/>
      <c r="CU24" s="35"/>
      <c r="CV24" s="35">
        <f t="shared" si="43"/>
        <v>337.40848750000004</v>
      </c>
      <c r="CW24" s="5">
        <f t="shared" si="44"/>
        <v>337.40848750000004</v>
      </c>
      <c r="CX24" s="35">
        <f t="shared" si="45"/>
        <v>346.9086893</v>
      </c>
      <c r="CY24" s="35">
        <f t="shared" si="115"/>
        <v>3.6045547</v>
      </c>
      <c r="CZ24" s="5"/>
      <c r="DA24" s="35"/>
      <c r="DB24" s="35">
        <f t="shared" si="46"/>
        <v>921.7347125</v>
      </c>
      <c r="DC24" s="5">
        <f t="shared" si="47"/>
        <v>921.7347125</v>
      </c>
      <c r="DD24" s="35">
        <f t="shared" si="48"/>
        <v>947.6874259</v>
      </c>
      <c r="DE24" s="35">
        <f t="shared" si="116"/>
        <v>9.8469461</v>
      </c>
      <c r="DF24" s="5"/>
      <c r="DG24" s="35"/>
      <c r="DH24" s="35">
        <f t="shared" si="49"/>
        <v>9016.0814625</v>
      </c>
      <c r="DI24" s="35">
        <f t="shared" si="50"/>
        <v>9016.0814625</v>
      </c>
      <c r="DJ24" s="35">
        <f t="shared" si="51"/>
        <v>9269.9416839</v>
      </c>
      <c r="DK24" s="35">
        <f t="shared" si="118"/>
        <v>96.3193281</v>
      </c>
      <c r="DL24" s="5"/>
      <c r="DM24" s="35"/>
      <c r="DN24" s="35">
        <f t="shared" si="52"/>
        <v>1245.11205</v>
      </c>
      <c r="DO24" s="35">
        <f t="shared" si="53"/>
        <v>1245.11205</v>
      </c>
      <c r="DP24" s="35">
        <f t="shared" si="54"/>
        <v>1280.1698988</v>
      </c>
      <c r="DQ24" s="35">
        <f t="shared" si="120"/>
        <v>13.3016052</v>
      </c>
      <c r="DR24" s="5"/>
      <c r="DS24" s="35"/>
      <c r="DT24" s="35">
        <f t="shared" si="55"/>
        <v>4973.941</v>
      </c>
      <c r="DU24" s="5">
        <f t="shared" si="56"/>
        <v>4973.941</v>
      </c>
      <c r="DV24" s="35">
        <f t="shared" si="57"/>
        <v>5113.989176</v>
      </c>
      <c r="DW24" s="35">
        <f t="shared" si="122"/>
        <v>53.136903999999994</v>
      </c>
      <c r="DX24" s="5"/>
      <c r="DY24" s="35"/>
      <c r="DZ24" s="35">
        <f t="shared" si="58"/>
        <v>39996.403125</v>
      </c>
      <c r="EA24" s="35">
        <f t="shared" si="59"/>
        <v>39996.403125</v>
      </c>
      <c r="EB24" s="35">
        <f t="shared" si="60"/>
        <v>41122.557075</v>
      </c>
      <c r="EC24" s="35">
        <f t="shared" si="124"/>
        <v>427.28392499999995</v>
      </c>
      <c r="ED24" s="5"/>
      <c r="EE24" s="35"/>
      <c r="EF24" s="35">
        <f t="shared" si="61"/>
        <v>59751.0930625</v>
      </c>
      <c r="EG24" s="5">
        <f t="shared" si="62"/>
        <v>59751.0930625</v>
      </c>
      <c r="EH24" s="35">
        <f t="shared" si="63"/>
        <v>61433.4675815</v>
      </c>
      <c r="EI24" s="35">
        <f t="shared" si="126"/>
        <v>638.3244385</v>
      </c>
      <c r="EJ24" s="5"/>
      <c r="EK24" s="35"/>
      <c r="EL24" s="35">
        <f t="shared" si="64"/>
        <v>498.00415</v>
      </c>
      <c r="EM24" s="5">
        <f t="shared" si="65"/>
        <v>498.00415</v>
      </c>
      <c r="EN24" s="35">
        <f t="shared" si="66"/>
        <v>512.0261444</v>
      </c>
      <c r="EO24" s="35">
        <f t="shared" si="128"/>
        <v>5.3202076</v>
      </c>
      <c r="EP24" s="5"/>
      <c r="EQ24" s="35"/>
      <c r="ER24" s="35">
        <f t="shared" si="67"/>
        <v>19095.7342625</v>
      </c>
      <c r="ES24" s="5">
        <f t="shared" si="68"/>
        <v>19095.7342625</v>
      </c>
      <c r="ET24" s="35">
        <f t="shared" si="69"/>
        <v>19633.4010247</v>
      </c>
      <c r="EU24" s="35">
        <f t="shared" si="130"/>
        <v>204.0008513</v>
      </c>
      <c r="EV24" s="5"/>
      <c r="EW24" s="35"/>
      <c r="EX24" s="35">
        <f t="shared" si="70"/>
        <v>31860.928837499996</v>
      </c>
      <c r="EY24" s="5">
        <f t="shared" si="71"/>
        <v>31860.928837499996</v>
      </c>
      <c r="EZ24" s="35">
        <f t="shared" si="72"/>
        <v>32758.0172769</v>
      </c>
      <c r="FA24" s="35">
        <f t="shared" si="132"/>
        <v>340.3721751</v>
      </c>
      <c r="FB24" s="5"/>
      <c r="FC24" s="35"/>
      <c r="FD24" s="35">
        <f t="shared" si="73"/>
        <v>27277.419837499998</v>
      </c>
      <c r="FE24" s="5">
        <f t="shared" si="74"/>
        <v>27277.419837499998</v>
      </c>
      <c r="FF24" s="35">
        <f t="shared" si="75"/>
        <v>28045.4532529</v>
      </c>
      <c r="FG24" s="35">
        <f t="shared" si="134"/>
        <v>291.4062791</v>
      </c>
      <c r="FH24" s="5"/>
      <c r="FI24" s="35"/>
      <c r="FJ24" s="35">
        <f t="shared" si="76"/>
        <v>27048.0410375</v>
      </c>
      <c r="FK24" s="5">
        <f t="shared" si="77"/>
        <v>27048.0410375</v>
      </c>
      <c r="FL24" s="35">
        <f t="shared" si="78"/>
        <v>27809.615976099998</v>
      </c>
      <c r="FM24" s="35">
        <f t="shared" si="136"/>
        <v>288.9558119</v>
      </c>
      <c r="FN24" s="5"/>
      <c r="FO24" s="35"/>
      <c r="FP24" s="35">
        <f t="shared" si="79"/>
        <v>39218.386025</v>
      </c>
      <c r="FQ24" s="35">
        <f t="shared" si="80"/>
        <v>39218.386025</v>
      </c>
      <c r="FR24" s="35">
        <f t="shared" si="81"/>
        <v>40322.633829399994</v>
      </c>
      <c r="FS24" s="35">
        <f t="shared" si="138"/>
        <v>418.9723226</v>
      </c>
      <c r="FT24" s="5"/>
      <c r="FU24" s="35"/>
      <c r="FV24" s="35">
        <f t="shared" si="82"/>
        <v>49676.473175</v>
      </c>
      <c r="FW24" s="35">
        <f t="shared" si="83"/>
        <v>49676.473175</v>
      </c>
      <c r="FX24" s="35">
        <f t="shared" si="84"/>
        <v>51075.1828618</v>
      </c>
      <c r="FY24" s="35">
        <f t="shared" si="140"/>
        <v>530.6966822</v>
      </c>
      <c r="FZ24" s="5"/>
      <c r="GA24" s="35"/>
      <c r="GB24" s="35">
        <f t="shared" si="85"/>
        <v>229.2262875</v>
      </c>
      <c r="GC24" s="5">
        <f t="shared" si="86"/>
        <v>229.2262875</v>
      </c>
      <c r="GD24" s="35">
        <f t="shared" si="87"/>
        <v>235.6804701</v>
      </c>
      <c r="GE24" s="35">
        <f t="shared" si="142"/>
        <v>2.4488379</v>
      </c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</row>
    <row r="25" spans="1:230" ht="12.75">
      <c r="A25" s="36">
        <v>46844</v>
      </c>
      <c r="C25" s="3">
        <v>6460000</v>
      </c>
      <c r="D25" s="3">
        <v>508375</v>
      </c>
      <c r="E25" s="34">
        <f t="shared" si="0"/>
        <v>6968375</v>
      </c>
      <c r="F25" s="34">
        <v>522689</v>
      </c>
      <c r="G25" s="34">
        <v>5431</v>
      </c>
      <c r="I25" s="35">
        <f>'2019C Academic'!I25</f>
        <v>1442072.2599999998</v>
      </c>
      <c r="J25" s="35">
        <f>'2019C Academic'!J25</f>
        <v>113485.05962500001</v>
      </c>
      <c r="K25" s="35">
        <f t="shared" si="88"/>
        <v>1555557.3196249998</v>
      </c>
      <c r="L25" s="35">
        <f>'2019C Academic'!L25</f>
        <v>116680.38815900001</v>
      </c>
      <c r="M25" s="35">
        <f>'2019C Academic'!M25</f>
        <v>1212.3675610000003</v>
      </c>
      <c r="O25" s="35">
        <f>U25+AA25+AG25+AM25+AS25+AY25+BE25+BK25+BQ25+BW25+CC25+CI25+CO25+CU25+DG25+DM25+DS25+DY25+EE25+EK25+EQ25+EW25+FC25+FI25+DA25+FO25+FU25+GA25+GG25</f>
        <v>5017927.74</v>
      </c>
      <c r="P25" s="34">
        <f t="shared" si="1"/>
        <v>394889.940375</v>
      </c>
      <c r="Q25" s="5">
        <f t="shared" si="2"/>
        <v>5412817.680375</v>
      </c>
      <c r="R25" s="34">
        <f t="shared" si="3"/>
        <v>406008.61184100003</v>
      </c>
      <c r="S25" s="34">
        <f t="shared" si="3"/>
        <v>4218.1333301</v>
      </c>
      <c r="U25" s="35">
        <f t="shared" si="89"/>
        <v>1403.1119999999999</v>
      </c>
      <c r="V25" s="35">
        <f t="shared" si="4"/>
        <v>110.41905</v>
      </c>
      <c r="W25" s="5">
        <f t="shared" si="5"/>
        <v>1513.5310499999998</v>
      </c>
      <c r="X25" s="35">
        <f t="shared" si="6"/>
        <v>113.5280508</v>
      </c>
      <c r="Y25" s="35">
        <f t="shared" si="90"/>
        <v>1.1796132</v>
      </c>
      <c r="AA25" s="35">
        <f t="shared" si="91"/>
        <v>149319.66999999998</v>
      </c>
      <c r="AB25" s="35">
        <f t="shared" si="7"/>
        <v>11750.8339375</v>
      </c>
      <c r="AC25" s="5">
        <f t="shared" si="8"/>
        <v>161070.50393749998</v>
      </c>
      <c r="AD25" s="35">
        <f t="shared" si="9"/>
        <v>12081.694890499999</v>
      </c>
      <c r="AE25" s="35">
        <f t="shared" si="92"/>
        <v>125.53484949999999</v>
      </c>
      <c r="AG25" s="35">
        <f t="shared" si="93"/>
        <v>9162.217999999999</v>
      </c>
      <c r="AH25" s="35">
        <f t="shared" si="10"/>
        <v>721.0282625</v>
      </c>
      <c r="AI25" s="35">
        <f t="shared" si="11"/>
        <v>9883.246262499999</v>
      </c>
      <c r="AJ25" s="35">
        <f t="shared" si="12"/>
        <v>741.3298087</v>
      </c>
      <c r="AK25" s="35">
        <f t="shared" si="94"/>
        <v>7.7027873</v>
      </c>
      <c r="AM25" s="35">
        <f t="shared" si="95"/>
        <v>66266.034</v>
      </c>
      <c r="AN25" s="35">
        <f t="shared" si="13"/>
        <v>5214.8599125</v>
      </c>
      <c r="AO25" s="5">
        <f t="shared" si="14"/>
        <v>71480.8939125</v>
      </c>
      <c r="AP25" s="35">
        <f t="shared" si="15"/>
        <v>5361.6914931</v>
      </c>
      <c r="AQ25" s="35">
        <f t="shared" si="96"/>
        <v>55.7106549</v>
      </c>
      <c r="AS25" s="35">
        <f t="shared" si="97"/>
        <v>52413.856</v>
      </c>
      <c r="AT25" s="35">
        <f t="shared" si="16"/>
        <v>4124.7514</v>
      </c>
      <c r="AU25" s="5">
        <f t="shared" si="17"/>
        <v>56538.6074</v>
      </c>
      <c r="AV25" s="35">
        <f t="shared" si="18"/>
        <v>4240.8894704</v>
      </c>
      <c r="AW25" s="35">
        <f t="shared" si="98"/>
        <v>44.064961600000004</v>
      </c>
      <c r="AY25" s="35">
        <f t="shared" si="99"/>
        <v>13982.024</v>
      </c>
      <c r="AZ25" s="35">
        <f t="shared" si="19"/>
        <v>1100.32685</v>
      </c>
      <c r="BA25" s="5">
        <f t="shared" si="20"/>
        <v>15082.350849999999</v>
      </c>
      <c r="BB25" s="35">
        <f t="shared" si="21"/>
        <v>1131.3080716</v>
      </c>
      <c r="BC25" s="35">
        <f t="shared" si="100"/>
        <v>11.7548564</v>
      </c>
      <c r="BE25" s="35">
        <f t="shared" si="101"/>
        <v>158096.872</v>
      </c>
      <c r="BF25" s="35">
        <f t="shared" si="22"/>
        <v>12441.56305</v>
      </c>
      <c r="BG25" s="5">
        <f t="shared" si="23"/>
        <v>170538.43505</v>
      </c>
      <c r="BH25" s="35">
        <f t="shared" si="24"/>
        <v>12791.8724348</v>
      </c>
      <c r="BI25" s="35">
        <f t="shared" si="102"/>
        <v>132.9139492</v>
      </c>
      <c r="BJ25" s="5"/>
      <c r="BK25" s="35">
        <f t="shared" si="103"/>
        <v>2779.738</v>
      </c>
      <c r="BL25" s="35">
        <f t="shared" si="25"/>
        <v>218.7537625</v>
      </c>
      <c r="BM25" s="5">
        <f t="shared" si="26"/>
        <v>2998.4917625</v>
      </c>
      <c r="BN25" s="35">
        <f t="shared" si="27"/>
        <v>224.9130767</v>
      </c>
      <c r="BO25" s="35">
        <f t="shared" si="104"/>
        <v>2.3369593</v>
      </c>
      <c r="BP25" s="5"/>
      <c r="BQ25" s="35">
        <f t="shared" si="105"/>
        <v>593.674</v>
      </c>
      <c r="BR25" s="35">
        <f t="shared" si="28"/>
        <v>46.7196625</v>
      </c>
      <c r="BS25" s="5">
        <f t="shared" si="29"/>
        <v>640.3936625</v>
      </c>
      <c r="BT25" s="35">
        <f t="shared" si="30"/>
        <v>48.035119099999996</v>
      </c>
      <c r="BU25" s="35"/>
      <c r="BV25" s="5"/>
      <c r="BW25" s="35">
        <f t="shared" si="106"/>
        <v>567795.24</v>
      </c>
      <c r="BX25" s="35">
        <f t="shared" si="31"/>
        <v>44683.11225</v>
      </c>
      <c r="BY25" s="5">
        <f t="shared" si="32"/>
        <v>612478.35225</v>
      </c>
      <c r="BZ25" s="35">
        <f t="shared" si="33"/>
        <v>45941.226966</v>
      </c>
      <c r="CA25" s="35">
        <f t="shared" si="107"/>
        <v>477.352314</v>
      </c>
      <c r="CB25" s="5"/>
      <c r="CC25" s="35">
        <f t="shared" si="108"/>
        <v>1094.97</v>
      </c>
      <c r="CD25" s="35">
        <f t="shared" si="34"/>
        <v>86.1695625</v>
      </c>
      <c r="CE25" s="5">
        <f t="shared" si="35"/>
        <v>1181.1395625</v>
      </c>
      <c r="CF25" s="35">
        <f t="shared" si="36"/>
        <v>88.5957855</v>
      </c>
      <c r="CG25" s="35">
        <f t="shared" si="109"/>
        <v>0.9205545</v>
      </c>
      <c r="CH25" s="5"/>
      <c r="CI25" s="35">
        <f t="shared" si="110"/>
        <v>650.5219999999999</v>
      </c>
      <c r="CJ25" s="35">
        <f t="shared" si="37"/>
        <v>51.1933625</v>
      </c>
      <c r="CK25" s="5">
        <f t="shared" si="38"/>
        <v>701.7153625</v>
      </c>
      <c r="CL25" s="35">
        <f t="shared" si="39"/>
        <v>52.6347823</v>
      </c>
      <c r="CM25" s="35">
        <f t="shared" si="111"/>
        <v>0.5469016999999999</v>
      </c>
      <c r="CN25" s="5"/>
      <c r="CO25" s="35">
        <f t="shared" si="112"/>
        <v>40589.472</v>
      </c>
      <c r="CP25" s="35">
        <f t="shared" si="40"/>
        <v>3194.2218000000003</v>
      </c>
      <c r="CQ25" s="5">
        <f t="shared" si="41"/>
        <v>43783.6938</v>
      </c>
      <c r="CR25" s="35">
        <f t="shared" si="42"/>
        <v>3284.1595248</v>
      </c>
      <c r="CS25" s="35">
        <f t="shared" si="113"/>
        <v>34.1240592</v>
      </c>
      <c r="CT25" s="5"/>
      <c r="CU25" s="35">
        <f t="shared" si="114"/>
        <v>4287.502</v>
      </c>
      <c r="CV25" s="35">
        <f t="shared" si="43"/>
        <v>337.40848750000004</v>
      </c>
      <c r="CW25" s="5">
        <f t="shared" si="44"/>
        <v>4624.9104875</v>
      </c>
      <c r="CX25" s="35">
        <f t="shared" si="45"/>
        <v>346.9086893</v>
      </c>
      <c r="CY25" s="35">
        <f t="shared" si="115"/>
        <v>3.6045547</v>
      </c>
      <c r="CZ25" s="5"/>
      <c r="DA25" s="35">
        <f>$C25*DB$6</f>
        <v>11712.626</v>
      </c>
      <c r="DB25" s="35">
        <f t="shared" si="46"/>
        <v>921.7347125</v>
      </c>
      <c r="DC25" s="5">
        <f t="shared" si="47"/>
        <v>12634.3607125</v>
      </c>
      <c r="DD25" s="35">
        <f t="shared" si="48"/>
        <v>947.6874259</v>
      </c>
      <c r="DE25" s="35">
        <f t="shared" si="116"/>
        <v>9.8469461</v>
      </c>
      <c r="DF25" s="5"/>
      <c r="DG25" s="35">
        <f t="shared" si="117"/>
        <v>114568.746</v>
      </c>
      <c r="DH25" s="35">
        <f t="shared" si="49"/>
        <v>9016.0814625</v>
      </c>
      <c r="DI25" s="35">
        <f t="shared" si="50"/>
        <v>123584.8274625</v>
      </c>
      <c r="DJ25" s="35">
        <f t="shared" si="51"/>
        <v>9269.9416839</v>
      </c>
      <c r="DK25" s="35">
        <f t="shared" si="118"/>
        <v>96.3193281</v>
      </c>
      <c r="DL25" s="5"/>
      <c r="DM25" s="35">
        <f t="shared" si="119"/>
        <v>15821.831999999999</v>
      </c>
      <c r="DN25" s="35">
        <f t="shared" si="52"/>
        <v>1245.11205</v>
      </c>
      <c r="DO25" s="35">
        <f t="shared" si="53"/>
        <v>17066.94405</v>
      </c>
      <c r="DP25" s="35">
        <f t="shared" si="54"/>
        <v>1280.1698988</v>
      </c>
      <c r="DQ25" s="35">
        <f t="shared" si="120"/>
        <v>13.3016052</v>
      </c>
      <c r="DR25" s="5"/>
      <c r="DS25" s="35">
        <f t="shared" si="121"/>
        <v>63204.63999999999</v>
      </c>
      <c r="DT25" s="35">
        <f t="shared" si="55"/>
        <v>4973.941</v>
      </c>
      <c r="DU25" s="5">
        <f t="shared" si="56"/>
        <v>68178.58099999999</v>
      </c>
      <c r="DV25" s="35">
        <f t="shared" si="57"/>
        <v>5113.989176</v>
      </c>
      <c r="DW25" s="35">
        <f t="shared" si="122"/>
        <v>53.136903999999994</v>
      </c>
      <c r="DX25" s="5"/>
      <c r="DY25" s="35">
        <f t="shared" si="123"/>
        <v>508240.49999999994</v>
      </c>
      <c r="DZ25" s="35">
        <f t="shared" si="58"/>
        <v>39996.403125</v>
      </c>
      <c r="EA25" s="35">
        <f t="shared" si="59"/>
        <v>548236.903125</v>
      </c>
      <c r="EB25" s="35">
        <f t="shared" si="60"/>
        <v>41122.557075</v>
      </c>
      <c r="EC25" s="35">
        <f t="shared" si="124"/>
        <v>427.28392499999995</v>
      </c>
      <c r="ED25" s="5"/>
      <c r="EE25" s="35">
        <f t="shared" si="125"/>
        <v>759266.41</v>
      </c>
      <c r="EF25" s="35">
        <f t="shared" si="61"/>
        <v>59751.0930625</v>
      </c>
      <c r="EG25" s="5">
        <f t="shared" si="62"/>
        <v>819017.5030625</v>
      </c>
      <c r="EH25" s="35">
        <f t="shared" si="63"/>
        <v>61433.4675815</v>
      </c>
      <c r="EI25" s="35">
        <f t="shared" si="126"/>
        <v>638.3244385</v>
      </c>
      <c r="EJ25" s="5"/>
      <c r="EK25" s="35">
        <f t="shared" si="127"/>
        <v>6328.215999999999</v>
      </c>
      <c r="EL25" s="35">
        <f t="shared" si="64"/>
        <v>498.00415</v>
      </c>
      <c r="EM25" s="5">
        <f t="shared" si="65"/>
        <v>6826.220149999999</v>
      </c>
      <c r="EN25" s="35">
        <f t="shared" si="66"/>
        <v>512.0261444</v>
      </c>
      <c r="EO25" s="35">
        <f t="shared" si="128"/>
        <v>5.3202076</v>
      </c>
      <c r="EP25" s="5"/>
      <c r="EQ25" s="35">
        <f t="shared" si="129"/>
        <v>242652.458</v>
      </c>
      <c r="ER25" s="35">
        <f t="shared" si="67"/>
        <v>19095.7342625</v>
      </c>
      <c r="ES25" s="5">
        <f t="shared" si="68"/>
        <v>261748.1922625</v>
      </c>
      <c r="ET25" s="35">
        <f t="shared" si="69"/>
        <v>19633.4010247</v>
      </c>
      <c r="EU25" s="35">
        <f t="shared" si="130"/>
        <v>204.0008513</v>
      </c>
      <c r="EV25" s="5"/>
      <c r="EW25" s="35">
        <f t="shared" si="131"/>
        <v>404861.76599999995</v>
      </c>
      <c r="EX25" s="35">
        <f t="shared" si="70"/>
        <v>31860.928837499996</v>
      </c>
      <c r="EY25" s="5">
        <f t="shared" si="71"/>
        <v>436722.69483749993</v>
      </c>
      <c r="EZ25" s="35">
        <f t="shared" si="72"/>
        <v>32758.0172769</v>
      </c>
      <c r="FA25" s="35">
        <f t="shared" si="132"/>
        <v>340.3721751</v>
      </c>
      <c r="FB25" s="5"/>
      <c r="FC25" s="35">
        <f t="shared" si="133"/>
        <v>346618.406</v>
      </c>
      <c r="FD25" s="35">
        <f t="shared" si="73"/>
        <v>27277.419837499998</v>
      </c>
      <c r="FE25" s="5">
        <f t="shared" si="74"/>
        <v>373895.82583750004</v>
      </c>
      <c r="FF25" s="35">
        <f t="shared" si="75"/>
        <v>28045.4532529</v>
      </c>
      <c r="FG25" s="35">
        <f t="shared" si="134"/>
        <v>291.4062791</v>
      </c>
      <c r="FH25" s="5"/>
      <c r="FI25" s="35">
        <f t="shared" si="135"/>
        <v>343703.654</v>
      </c>
      <c r="FJ25" s="35">
        <f t="shared" si="76"/>
        <v>27048.0410375</v>
      </c>
      <c r="FK25" s="5">
        <f t="shared" si="77"/>
        <v>370751.6950375</v>
      </c>
      <c r="FL25" s="35">
        <f t="shared" si="78"/>
        <v>27809.615976099998</v>
      </c>
      <c r="FM25" s="35">
        <f t="shared" si="136"/>
        <v>288.9558119</v>
      </c>
      <c r="FN25" s="5"/>
      <c r="FO25" s="35">
        <f t="shared" si="137"/>
        <v>498354.116</v>
      </c>
      <c r="FP25" s="35">
        <f t="shared" si="79"/>
        <v>39218.386025</v>
      </c>
      <c r="FQ25" s="35">
        <f t="shared" si="80"/>
        <v>537572.5020249999</v>
      </c>
      <c r="FR25" s="35">
        <f t="shared" si="81"/>
        <v>40322.633829399994</v>
      </c>
      <c r="FS25" s="35">
        <f t="shared" si="138"/>
        <v>418.9723226</v>
      </c>
      <c r="FT25" s="5"/>
      <c r="FU25" s="35">
        <f t="shared" si="139"/>
        <v>631246.652</v>
      </c>
      <c r="FV25" s="35">
        <f t="shared" si="82"/>
        <v>49676.473175</v>
      </c>
      <c r="FW25" s="35">
        <f t="shared" si="83"/>
        <v>680923.125175</v>
      </c>
      <c r="FX25" s="35">
        <f t="shared" si="84"/>
        <v>51075.1828618</v>
      </c>
      <c r="FY25" s="35">
        <f t="shared" si="140"/>
        <v>530.6966822</v>
      </c>
      <c r="FZ25" s="5"/>
      <c r="GA25" s="35">
        <f t="shared" si="141"/>
        <v>2912.814</v>
      </c>
      <c r="GB25" s="35">
        <f t="shared" si="85"/>
        <v>229.2262875</v>
      </c>
      <c r="GC25" s="5">
        <f t="shared" si="86"/>
        <v>3142.0402875</v>
      </c>
      <c r="GD25" s="35">
        <f t="shared" si="87"/>
        <v>235.6804701</v>
      </c>
      <c r="GE25" s="35">
        <f t="shared" si="142"/>
        <v>2.4488379</v>
      </c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</row>
    <row r="26" spans="1:230" ht="12.75">
      <c r="A26" s="36">
        <v>47027</v>
      </c>
      <c r="D26" s="3">
        <v>346875</v>
      </c>
      <c r="E26" s="34">
        <f t="shared" si="0"/>
        <v>346875</v>
      </c>
      <c r="F26" s="34">
        <v>522689</v>
      </c>
      <c r="G26" s="34">
        <v>5431</v>
      </c>
      <c r="I26" s="35">
        <f>'2019C Academic'!I26</f>
        <v>0</v>
      </c>
      <c r="J26" s="35">
        <f>'2019C Academic'!J26</f>
        <v>77433.253125</v>
      </c>
      <c r="K26" s="35">
        <f t="shared" si="88"/>
        <v>77433.253125</v>
      </c>
      <c r="L26" s="35">
        <f>'2019C Academic'!L26</f>
        <v>116680.38815900001</v>
      </c>
      <c r="M26" s="35">
        <f>'2019C Academic'!M26</f>
        <v>1212.3675610000003</v>
      </c>
      <c r="O26" s="35"/>
      <c r="P26" s="34">
        <f t="shared" si="1"/>
        <v>269441.746875</v>
      </c>
      <c r="Q26" s="5">
        <f t="shared" si="2"/>
        <v>269441.746875</v>
      </c>
      <c r="R26" s="34">
        <f t="shared" si="3"/>
        <v>406008.61184100003</v>
      </c>
      <c r="S26" s="34">
        <f t="shared" si="3"/>
        <v>4218.1333301</v>
      </c>
      <c r="U26" s="35"/>
      <c r="V26" s="35">
        <f t="shared" si="4"/>
        <v>75.34125</v>
      </c>
      <c r="W26" s="5">
        <f t="shared" si="5"/>
        <v>75.34125</v>
      </c>
      <c r="X26" s="35">
        <f t="shared" si="6"/>
        <v>113.5280508</v>
      </c>
      <c r="Y26" s="35">
        <f t="shared" si="90"/>
        <v>1.1796132</v>
      </c>
      <c r="AA26" s="35"/>
      <c r="AB26" s="35">
        <f t="shared" si="7"/>
        <v>8017.842187499999</v>
      </c>
      <c r="AC26" s="5">
        <f t="shared" si="8"/>
        <v>8017.842187499999</v>
      </c>
      <c r="AD26" s="35">
        <f t="shared" si="9"/>
        <v>12081.694890499999</v>
      </c>
      <c r="AE26" s="35">
        <f t="shared" si="92"/>
        <v>125.53484949999999</v>
      </c>
      <c r="AG26" s="35"/>
      <c r="AH26" s="35">
        <f t="shared" si="10"/>
        <v>491.9728125</v>
      </c>
      <c r="AI26" s="35">
        <f t="shared" si="11"/>
        <v>491.9728125</v>
      </c>
      <c r="AJ26" s="35">
        <f t="shared" si="12"/>
        <v>741.3298087</v>
      </c>
      <c r="AK26" s="35">
        <f t="shared" si="94"/>
        <v>7.7027873</v>
      </c>
      <c r="AM26" s="35"/>
      <c r="AN26" s="35">
        <f t="shared" si="13"/>
        <v>3558.2090625</v>
      </c>
      <c r="AO26" s="5">
        <f t="shared" si="14"/>
        <v>3558.2090625</v>
      </c>
      <c r="AP26" s="35">
        <f t="shared" si="15"/>
        <v>5361.6914931</v>
      </c>
      <c r="AQ26" s="35">
        <f t="shared" si="96"/>
        <v>55.7106549</v>
      </c>
      <c r="AS26" s="35"/>
      <c r="AT26" s="35">
        <f t="shared" si="16"/>
        <v>2814.405</v>
      </c>
      <c r="AU26" s="5">
        <f t="shared" si="17"/>
        <v>2814.405</v>
      </c>
      <c r="AV26" s="35">
        <f t="shared" si="18"/>
        <v>4240.8894704</v>
      </c>
      <c r="AW26" s="35">
        <f t="shared" si="98"/>
        <v>44.064961600000004</v>
      </c>
      <c r="AY26" s="35"/>
      <c r="AZ26" s="35">
        <f t="shared" si="19"/>
        <v>750.77625</v>
      </c>
      <c r="BA26" s="5">
        <f t="shared" si="20"/>
        <v>750.77625</v>
      </c>
      <c r="BB26" s="35">
        <f t="shared" si="21"/>
        <v>1131.3080716</v>
      </c>
      <c r="BC26" s="35">
        <f t="shared" si="100"/>
        <v>11.7548564</v>
      </c>
      <c r="BE26" s="35"/>
      <c r="BF26" s="35">
        <f t="shared" si="22"/>
        <v>8489.14125</v>
      </c>
      <c r="BG26" s="5">
        <f t="shared" si="23"/>
        <v>8489.14125</v>
      </c>
      <c r="BH26" s="35">
        <f t="shared" si="24"/>
        <v>12791.8724348</v>
      </c>
      <c r="BI26" s="35">
        <f t="shared" si="102"/>
        <v>132.9139492</v>
      </c>
      <c r="BJ26" s="5"/>
      <c r="BK26" s="35"/>
      <c r="BL26" s="35">
        <f t="shared" si="25"/>
        <v>149.2603125</v>
      </c>
      <c r="BM26" s="5">
        <f t="shared" si="26"/>
        <v>149.2603125</v>
      </c>
      <c r="BN26" s="35">
        <f t="shared" si="27"/>
        <v>224.9130767</v>
      </c>
      <c r="BO26" s="35">
        <f t="shared" si="104"/>
        <v>2.3369593</v>
      </c>
      <c r="BP26" s="5"/>
      <c r="BQ26" s="35"/>
      <c r="BR26" s="35">
        <f t="shared" si="28"/>
        <v>31.877812499999997</v>
      </c>
      <c r="BS26" s="5">
        <f t="shared" si="29"/>
        <v>31.877812499999997</v>
      </c>
      <c r="BT26" s="35">
        <f t="shared" si="30"/>
        <v>48.035119099999996</v>
      </c>
      <c r="BU26" s="35"/>
      <c r="BV26" s="5"/>
      <c r="BW26" s="35"/>
      <c r="BX26" s="35">
        <f t="shared" si="31"/>
        <v>30488.23125</v>
      </c>
      <c r="BY26" s="5">
        <f t="shared" si="32"/>
        <v>30488.23125</v>
      </c>
      <c r="BZ26" s="35">
        <f t="shared" si="33"/>
        <v>45941.226966</v>
      </c>
      <c r="CA26" s="35">
        <f t="shared" si="107"/>
        <v>477.352314</v>
      </c>
      <c r="CB26" s="5"/>
      <c r="CC26" s="35"/>
      <c r="CD26" s="35">
        <f t="shared" si="34"/>
        <v>58.7953125</v>
      </c>
      <c r="CE26" s="5">
        <f t="shared" si="35"/>
        <v>58.7953125</v>
      </c>
      <c r="CF26" s="35">
        <f t="shared" si="36"/>
        <v>88.5957855</v>
      </c>
      <c r="CG26" s="35">
        <f t="shared" si="109"/>
        <v>0.9205545</v>
      </c>
      <c r="CH26" s="5"/>
      <c r="CI26" s="35"/>
      <c r="CJ26" s="35">
        <f t="shared" si="37"/>
        <v>34.9303125</v>
      </c>
      <c r="CK26" s="5">
        <f t="shared" si="38"/>
        <v>34.9303125</v>
      </c>
      <c r="CL26" s="35">
        <f t="shared" si="39"/>
        <v>52.6347823</v>
      </c>
      <c r="CM26" s="35">
        <f t="shared" si="111"/>
        <v>0.5469016999999999</v>
      </c>
      <c r="CN26" s="5"/>
      <c r="CO26" s="35"/>
      <c r="CP26" s="35">
        <f t="shared" si="40"/>
        <v>2179.485</v>
      </c>
      <c r="CQ26" s="5">
        <f t="shared" si="41"/>
        <v>2179.485</v>
      </c>
      <c r="CR26" s="35">
        <f t="shared" si="42"/>
        <v>3284.1595248</v>
      </c>
      <c r="CS26" s="35">
        <f t="shared" si="113"/>
        <v>34.1240592</v>
      </c>
      <c r="CT26" s="5"/>
      <c r="CU26" s="35"/>
      <c r="CV26" s="35">
        <f t="shared" si="43"/>
        <v>230.22093750000002</v>
      </c>
      <c r="CW26" s="5">
        <f t="shared" si="44"/>
        <v>230.22093750000002</v>
      </c>
      <c r="CX26" s="35">
        <f t="shared" si="45"/>
        <v>346.9086893</v>
      </c>
      <c r="CY26" s="35">
        <f t="shared" si="115"/>
        <v>3.6045547</v>
      </c>
      <c r="CZ26" s="5"/>
      <c r="DA26" s="35"/>
      <c r="DB26" s="35">
        <f t="shared" si="46"/>
        <v>628.9190625</v>
      </c>
      <c r="DC26" s="5">
        <f t="shared" si="47"/>
        <v>628.9190625</v>
      </c>
      <c r="DD26" s="35">
        <f t="shared" si="48"/>
        <v>947.6874259</v>
      </c>
      <c r="DE26" s="35">
        <f t="shared" si="116"/>
        <v>9.8469461</v>
      </c>
      <c r="DF26" s="5"/>
      <c r="DG26" s="35"/>
      <c r="DH26" s="35">
        <f t="shared" si="49"/>
        <v>6151.8628125000005</v>
      </c>
      <c r="DI26" s="35">
        <f t="shared" si="50"/>
        <v>6151.8628125000005</v>
      </c>
      <c r="DJ26" s="35">
        <f t="shared" si="51"/>
        <v>9269.9416839</v>
      </c>
      <c r="DK26" s="35">
        <f t="shared" si="118"/>
        <v>96.3193281</v>
      </c>
      <c r="DL26" s="5"/>
      <c r="DM26" s="35"/>
      <c r="DN26" s="35">
        <f t="shared" si="52"/>
        <v>849.56625</v>
      </c>
      <c r="DO26" s="35">
        <f t="shared" si="53"/>
        <v>849.56625</v>
      </c>
      <c r="DP26" s="35">
        <f t="shared" si="54"/>
        <v>1280.1698988</v>
      </c>
      <c r="DQ26" s="35">
        <f t="shared" si="120"/>
        <v>13.3016052</v>
      </c>
      <c r="DR26" s="5"/>
      <c r="DS26" s="35"/>
      <c r="DT26" s="35">
        <f t="shared" si="55"/>
        <v>3393.825</v>
      </c>
      <c r="DU26" s="5">
        <f t="shared" si="56"/>
        <v>3393.825</v>
      </c>
      <c r="DV26" s="35">
        <f t="shared" si="57"/>
        <v>5113.989176</v>
      </c>
      <c r="DW26" s="35">
        <f t="shared" si="122"/>
        <v>53.136903999999994</v>
      </c>
      <c r="DX26" s="5"/>
      <c r="DY26" s="35"/>
      <c r="DZ26" s="35">
        <f t="shared" si="58"/>
        <v>27290.390625</v>
      </c>
      <c r="EA26" s="35">
        <f t="shared" si="59"/>
        <v>27290.390625</v>
      </c>
      <c r="EB26" s="35">
        <f t="shared" si="60"/>
        <v>41122.557075</v>
      </c>
      <c r="EC26" s="35">
        <f t="shared" si="124"/>
        <v>427.28392499999995</v>
      </c>
      <c r="ED26" s="5"/>
      <c r="EE26" s="35"/>
      <c r="EF26" s="35">
        <f t="shared" si="61"/>
        <v>40769.4328125</v>
      </c>
      <c r="EG26" s="5">
        <f t="shared" si="62"/>
        <v>40769.4328125</v>
      </c>
      <c r="EH26" s="35">
        <f t="shared" si="63"/>
        <v>61433.4675815</v>
      </c>
      <c r="EI26" s="35">
        <f t="shared" si="126"/>
        <v>638.3244385</v>
      </c>
      <c r="EJ26" s="5"/>
      <c r="EK26" s="35"/>
      <c r="EL26" s="35">
        <f t="shared" si="64"/>
        <v>339.79875</v>
      </c>
      <c r="EM26" s="5">
        <f t="shared" si="65"/>
        <v>339.79875</v>
      </c>
      <c r="EN26" s="35">
        <f t="shared" si="66"/>
        <v>512.0261444</v>
      </c>
      <c r="EO26" s="35">
        <f t="shared" si="128"/>
        <v>5.3202076</v>
      </c>
      <c r="EP26" s="5"/>
      <c r="EQ26" s="35"/>
      <c r="ER26" s="35">
        <f t="shared" si="67"/>
        <v>13029.422812499999</v>
      </c>
      <c r="ES26" s="5">
        <f t="shared" si="68"/>
        <v>13029.422812499999</v>
      </c>
      <c r="ET26" s="35">
        <f t="shared" si="69"/>
        <v>19633.4010247</v>
      </c>
      <c r="EU26" s="35">
        <f t="shared" si="130"/>
        <v>204.0008513</v>
      </c>
      <c r="EV26" s="5"/>
      <c r="EW26" s="35"/>
      <c r="EX26" s="35">
        <f t="shared" si="70"/>
        <v>21739.384687499998</v>
      </c>
      <c r="EY26" s="5">
        <f t="shared" si="71"/>
        <v>21739.384687499998</v>
      </c>
      <c r="EZ26" s="35">
        <f t="shared" si="72"/>
        <v>32758.0172769</v>
      </c>
      <c r="FA26" s="35">
        <f t="shared" si="132"/>
        <v>340.3721751</v>
      </c>
      <c r="FB26" s="5"/>
      <c r="FC26" s="35"/>
      <c r="FD26" s="35">
        <f t="shared" si="73"/>
        <v>18611.9596875</v>
      </c>
      <c r="FE26" s="5">
        <f t="shared" si="74"/>
        <v>18611.9596875</v>
      </c>
      <c r="FF26" s="35">
        <f t="shared" si="75"/>
        <v>28045.4532529</v>
      </c>
      <c r="FG26" s="35">
        <f t="shared" si="134"/>
        <v>291.4062791</v>
      </c>
      <c r="FH26" s="5"/>
      <c r="FI26" s="35"/>
      <c r="FJ26" s="35">
        <f t="shared" si="76"/>
        <v>18455.4496875</v>
      </c>
      <c r="FK26" s="5">
        <f t="shared" si="77"/>
        <v>18455.4496875</v>
      </c>
      <c r="FL26" s="35">
        <f t="shared" si="78"/>
        <v>27809.615976099998</v>
      </c>
      <c r="FM26" s="35">
        <f t="shared" si="136"/>
        <v>288.9558119</v>
      </c>
      <c r="FN26" s="5"/>
      <c r="FO26" s="35"/>
      <c r="FP26" s="35">
        <f t="shared" si="79"/>
        <v>26759.533124999998</v>
      </c>
      <c r="FQ26" s="35">
        <f t="shared" si="80"/>
        <v>26759.533124999998</v>
      </c>
      <c r="FR26" s="35">
        <f t="shared" si="81"/>
        <v>40322.633829399994</v>
      </c>
      <c r="FS26" s="35">
        <f t="shared" si="138"/>
        <v>418.9723226</v>
      </c>
      <c r="FT26" s="5"/>
      <c r="FU26" s="35"/>
      <c r="FV26" s="35">
        <f t="shared" si="82"/>
        <v>33895.306875</v>
      </c>
      <c r="FW26" s="35">
        <f t="shared" si="83"/>
        <v>33895.306875</v>
      </c>
      <c r="FX26" s="35">
        <f t="shared" si="84"/>
        <v>51075.1828618</v>
      </c>
      <c r="FY26" s="35">
        <f t="shared" si="140"/>
        <v>530.6966822</v>
      </c>
      <c r="FZ26" s="5"/>
      <c r="GA26" s="35"/>
      <c r="GB26" s="35">
        <f t="shared" si="85"/>
        <v>156.4059375</v>
      </c>
      <c r="GC26" s="5">
        <f t="shared" si="86"/>
        <v>156.4059375</v>
      </c>
      <c r="GD26" s="35">
        <f t="shared" si="87"/>
        <v>235.6804701</v>
      </c>
      <c r="GE26" s="35">
        <f t="shared" si="142"/>
        <v>2.4488379</v>
      </c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</row>
    <row r="27" spans="1:230" ht="12.75">
      <c r="A27" s="36">
        <v>47209</v>
      </c>
      <c r="C27" s="3">
        <v>6775000</v>
      </c>
      <c r="D27" s="3">
        <v>346875</v>
      </c>
      <c r="E27" s="34">
        <f t="shared" si="0"/>
        <v>7121875</v>
      </c>
      <c r="F27" s="34">
        <v>522689</v>
      </c>
      <c r="G27" s="34">
        <v>5431</v>
      </c>
      <c r="I27" s="35">
        <f>'2019C Academic'!I27</f>
        <v>1512390.0250000001</v>
      </c>
      <c r="J27" s="35">
        <f>'2019C Academic'!J27</f>
        <v>77433.253125</v>
      </c>
      <c r="K27" s="35">
        <f t="shared" si="88"/>
        <v>1589823.2781250002</v>
      </c>
      <c r="L27" s="35">
        <f>'2019C Academic'!L27</f>
        <v>116680.38815900001</v>
      </c>
      <c r="M27" s="35">
        <f>'2019C Academic'!M27</f>
        <v>1212.3675610000003</v>
      </c>
      <c r="O27" s="35">
        <f>U27+AA27+AG27+AM27+AS27+AY27+BE27+BK27+BQ27+BW27+CC27+CI27+CO27+CU27+DG27+DM27+DS27+DY27+EE27+EK27+EQ27+EW27+FC27+FI27+DA27+FO27+FU27+GA27+GG27</f>
        <v>5262609.975</v>
      </c>
      <c r="P27" s="34">
        <f t="shared" si="1"/>
        <v>269441.746875</v>
      </c>
      <c r="Q27" s="5">
        <f t="shared" si="2"/>
        <v>5532051.721875</v>
      </c>
      <c r="R27" s="34">
        <f t="shared" si="3"/>
        <v>406008.61184100003</v>
      </c>
      <c r="S27" s="34">
        <f t="shared" si="3"/>
        <v>4218.1333301</v>
      </c>
      <c r="U27" s="35">
        <f t="shared" si="89"/>
        <v>1471.53</v>
      </c>
      <c r="V27" s="35">
        <f t="shared" si="4"/>
        <v>75.34125</v>
      </c>
      <c r="W27" s="5">
        <f t="shared" si="5"/>
        <v>1546.87125</v>
      </c>
      <c r="X27" s="35">
        <f t="shared" si="6"/>
        <v>113.5280508</v>
      </c>
      <c r="Y27" s="35">
        <f t="shared" si="90"/>
        <v>1.1796132</v>
      </c>
      <c r="AA27" s="35">
        <f t="shared" si="91"/>
        <v>156600.7375</v>
      </c>
      <c r="AB27" s="35">
        <f t="shared" si="7"/>
        <v>8017.842187499999</v>
      </c>
      <c r="AC27" s="5">
        <f t="shared" si="8"/>
        <v>164618.5796875</v>
      </c>
      <c r="AD27" s="35">
        <f t="shared" si="9"/>
        <v>12081.694890499999</v>
      </c>
      <c r="AE27" s="35">
        <f t="shared" si="92"/>
        <v>125.53484949999999</v>
      </c>
      <c r="AG27" s="35">
        <f t="shared" si="93"/>
        <v>9608.9825</v>
      </c>
      <c r="AH27" s="35">
        <f t="shared" si="10"/>
        <v>491.9728125</v>
      </c>
      <c r="AI27" s="35">
        <f t="shared" si="11"/>
        <v>10100.9553125</v>
      </c>
      <c r="AJ27" s="35">
        <f t="shared" si="12"/>
        <v>741.3298087</v>
      </c>
      <c r="AK27" s="35">
        <f t="shared" si="94"/>
        <v>7.7027873</v>
      </c>
      <c r="AM27" s="35">
        <f t="shared" si="95"/>
        <v>69497.2725</v>
      </c>
      <c r="AN27" s="35">
        <f t="shared" si="13"/>
        <v>3558.2090625</v>
      </c>
      <c r="AO27" s="5">
        <f t="shared" si="14"/>
        <v>73055.4815625</v>
      </c>
      <c r="AP27" s="35">
        <f t="shared" si="15"/>
        <v>5361.6914931</v>
      </c>
      <c r="AQ27" s="35">
        <f t="shared" si="96"/>
        <v>55.7106549</v>
      </c>
      <c r="AS27" s="35">
        <f t="shared" si="97"/>
        <v>54969.64</v>
      </c>
      <c r="AT27" s="35">
        <f t="shared" si="16"/>
        <v>2814.405</v>
      </c>
      <c r="AU27" s="5">
        <f t="shared" si="17"/>
        <v>57784.045</v>
      </c>
      <c r="AV27" s="35">
        <f t="shared" si="18"/>
        <v>4240.8894704</v>
      </c>
      <c r="AW27" s="35">
        <f t="shared" si="98"/>
        <v>44.064961600000004</v>
      </c>
      <c r="AY27" s="35">
        <f t="shared" si="99"/>
        <v>14663.81</v>
      </c>
      <c r="AZ27" s="35">
        <f t="shared" si="19"/>
        <v>750.77625</v>
      </c>
      <c r="BA27" s="5">
        <f t="shared" si="20"/>
        <v>15414.58625</v>
      </c>
      <c r="BB27" s="35">
        <f t="shared" si="21"/>
        <v>1131.3080716</v>
      </c>
      <c r="BC27" s="35">
        <f t="shared" si="100"/>
        <v>11.7548564</v>
      </c>
      <c r="BE27" s="35">
        <f t="shared" si="101"/>
        <v>165805.93</v>
      </c>
      <c r="BF27" s="35">
        <f t="shared" si="22"/>
        <v>8489.14125</v>
      </c>
      <c r="BG27" s="5">
        <f t="shared" si="23"/>
        <v>174295.07124999998</v>
      </c>
      <c r="BH27" s="35">
        <f t="shared" si="24"/>
        <v>12791.8724348</v>
      </c>
      <c r="BI27" s="35">
        <f t="shared" si="102"/>
        <v>132.9139492</v>
      </c>
      <c r="BJ27" s="5"/>
      <c r="BK27" s="35">
        <f t="shared" si="103"/>
        <v>2915.2825</v>
      </c>
      <c r="BL27" s="35">
        <f t="shared" si="25"/>
        <v>149.2603125</v>
      </c>
      <c r="BM27" s="5">
        <f t="shared" si="26"/>
        <v>3064.5428125</v>
      </c>
      <c r="BN27" s="35">
        <f t="shared" si="27"/>
        <v>224.9130767</v>
      </c>
      <c r="BO27" s="35">
        <f t="shared" si="104"/>
        <v>2.3369593</v>
      </c>
      <c r="BP27" s="5"/>
      <c r="BQ27" s="35">
        <f t="shared" si="105"/>
        <v>622.6225</v>
      </c>
      <c r="BR27" s="35">
        <f t="shared" si="28"/>
        <v>31.877812499999997</v>
      </c>
      <c r="BS27" s="5">
        <f t="shared" si="29"/>
        <v>654.5003125</v>
      </c>
      <c r="BT27" s="35">
        <f t="shared" si="30"/>
        <v>48.035119099999996</v>
      </c>
      <c r="BU27" s="35"/>
      <c r="BV27" s="5"/>
      <c r="BW27" s="35">
        <f t="shared" si="106"/>
        <v>595481.85</v>
      </c>
      <c r="BX27" s="35">
        <f t="shared" si="31"/>
        <v>30488.23125</v>
      </c>
      <c r="BY27" s="5">
        <f t="shared" si="32"/>
        <v>625970.0812499999</v>
      </c>
      <c r="BZ27" s="35">
        <f t="shared" si="33"/>
        <v>45941.226966</v>
      </c>
      <c r="CA27" s="35">
        <f t="shared" si="107"/>
        <v>477.352314</v>
      </c>
      <c r="CB27" s="5"/>
      <c r="CC27" s="35">
        <f t="shared" si="108"/>
        <v>1148.3625</v>
      </c>
      <c r="CD27" s="35">
        <f t="shared" si="34"/>
        <v>58.7953125</v>
      </c>
      <c r="CE27" s="5">
        <f t="shared" si="35"/>
        <v>1207.1578124999999</v>
      </c>
      <c r="CF27" s="35">
        <f t="shared" si="36"/>
        <v>88.5957855</v>
      </c>
      <c r="CG27" s="35">
        <f t="shared" si="109"/>
        <v>0.9205545</v>
      </c>
      <c r="CH27" s="5"/>
      <c r="CI27" s="35">
        <f t="shared" si="110"/>
        <v>682.2425</v>
      </c>
      <c r="CJ27" s="35">
        <f t="shared" si="37"/>
        <v>34.9303125</v>
      </c>
      <c r="CK27" s="5">
        <f t="shared" si="38"/>
        <v>717.1728125</v>
      </c>
      <c r="CL27" s="35">
        <f t="shared" si="39"/>
        <v>52.6347823</v>
      </c>
      <c r="CM27" s="35">
        <f t="shared" si="111"/>
        <v>0.5469016999999999</v>
      </c>
      <c r="CN27" s="5"/>
      <c r="CO27" s="35">
        <f t="shared" si="112"/>
        <v>42568.68</v>
      </c>
      <c r="CP27" s="35">
        <f t="shared" si="40"/>
        <v>2179.485</v>
      </c>
      <c r="CQ27" s="5">
        <f t="shared" si="41"/>
        <v>44748.165</v>
      </c>
      <c r="CR27" s="35">
        <f t="shared" si="42"/>
        <v>3284.1595248</v>
      </c>
      <c r="CS27" s="35">
        <f t="shared" si="113"/>
        <v>34.1240592</v>
      </c>
      <c r="CT27" s="5"/>
      <c r="CU27" s="35">
        <f t="shared" si="114"/>
        <v>4496.5675</v>
      </c>
      <c r="CV27" s="35">
        <f t="shared" si="43"/>
        <v>230.22093750000002</v>
      </c>
      <c r="CW27" s="5">
        <f t="shared" si="44"/>
        <v>4726.7884375</v>
      </c>
      <c r="CX27" s="35">
        <f t="shared" si="45"/>
        <v>346.9086893</v>
      </c>
      <c r="CY27" s="35">
        <f t="shared" si="115"/>
        <v>3.6045547</v>
      </c>
      <c r="CZ27" s="5"/>
      <c r="DA27" s="35">
        <f>$C27*DB$6</f>
        <v>12283.7525</v>
      </c>
      <c r="DB27" s="35">
        <f t="shared" si="46"/>
        <v>628.9190625</v>
      </c>
      <c r="DC27" s="5">
        <f t="shared" si="47"/>
        <v>12912.6715625</v>
      </c>
      <c r="DD27" s="35">
        <f t="shared" si="48"/>
        <v>947.6874259</v>
      </c>
      <c r="DE27" s="35">
        <f t="shared" si="116"/>
        <v>9.8469461</v>
      </c>
      <c r="DF27" s="5"/>
      <c r="DG27" s="35">
        <f t="shared" si="117"/>
        <v>120155.3025</v>
      </c>
      <c r="DH27" s="35">
        <f t="shared" si="49"/>
        <v>6151.8628125000005</v>
      </c>
      <c r="DI27" s="35">
        <f t="shared" si="50"/>
        <v>126307.1653125</v>
      </c>
      <c r="DJ27" s="35">
        <f t="shared" si="51"/>
        <v>9269.9416839</v>
      </c>
      <c r="DK27" s="35">
        <f t="shared" si="118"/>
        <v>96.3193281</v>
      </c>
      <c r="DL27" s="5"/>
      <c r="DM27" s="35">
        <f t="shared" si="119"/>
        <v>16593.329999999998</v>
      </c>
      <c r="DN27" s="35">
        <f t="shared" si="52"/>
        <v>849.56625</v>
      </c>
      <c r="DO27" s="35">
        <f t="shared" si="53"/>
        <v>17442.896249999998</v>
      </c>
      <c r="DP27" s="35">
        <f t="shared" si="54"/>
        <v>1280.1698988</v>
      </c>
      <c r="DQ27" s="35">
        <f t="shared" si="120"/>
        <v>13.3016052</v>
      </c>
      <c r="DR27" s="5"/>
      <c r="DS27" s="35">
        <f t="shared" si="121"/>
        <v>66286.59999999999</v>
      </c>
      <c r="DT27" s="35">
        <f t="shared" si="55"/>
        <v>3393.825</v>
      </c>
      <c r="DU27" s="5">
        <f t="shared" si="56"/>
        <v>69680.42499999999</v>
      </c>
      <c r="DV27" s="35">
        <f t="shared" si="57"/>
        <v>5113.989176</v>
      </c>
      <c r="DW27" s="35">
        <f t="shared" si="122"/>
        <v>53.136903999999994</v>
      </c>
      <c r="DX27" s="5"/>
      <c r="DY27" s="35">
        <f t="shared" si="123"/>
        <v>533023.125</v>
      </c>
      <c r="DZ27" s="35">
        <f t="shared" si="58"/>
        <v>27290.390625</v>
      </c>
      <c r="EA27" s="35">
        <f t="shared" si="59"/>
        <v>560313.515625</v>
      </c>
      <c r="EB27" s="35">
        <f t="shared" si="60"/>
        <v>41122.557075</v>
      </c>
      <c r="EC27" s="35">
        <f t="shared" si="124"/>
        <v>427.28392499999995</v>
      </c>
      <c r="ED27" s="5"/>
      <c r="EE27" s="35">
        <f t="shared" si="125"/>
        <v>796289.4625</v>
      </c>
      <c r="EF27" s="35">
        <f t="shared" si="61"/>
        <v>40769.4328125</v>
      </c>
      <c r="EG27" s="5">
        <f t="shared" si="62"/>
        <v>837058.8953125001</v>
      </c>
      <c r="EH27" s="35">
        <f t="shared" si="63"/>
        <v>61433.4675815</v>
      </c>
      <c r="EI27" s="35">
        <f t="shared" si="126"/>
        <v>638.3244385</v>
      </c>
      <c r="EJ27" s="5"/>
      <c r="EK27" s="35">
        <f t="shared" si="127"/>
        <v>6636.79</v>
      </c>
      <c r="EL27" s="35">
        <f t="shared" si="64"/>
        <v>339.79875</v>
      </c>
      <c r="EM27" s="5">
        <f t="shared" si="65"/>
        <v>6976.58875</v>
      </c>
      <c r="EN27" s="35">
        <f t="shared" si="66"/>
        <v>512.0261444</v>
      </c>
      <c r="EO27" s="35">
        <f t="shared" si="128"/>
        <v>5.3202076</v>
      </c>
      <c r="EP27" s="5"/>
      <c r="EQ27" s="35">
        <f t="shared" si="129"/>
        <v>254484.5825</v>
      </c>
      <c r="ER27" s="35">
        <f t="shared" si="67"/>
        <v>13029.422812499999</v>
      </c>
      <c r="ES27" s="5">
        <f t="shared" si="68"/>
        <v>267514.0053125</v>
      </c>
      <c r="ET27" s="35">
        <f t="shared" si="69"/>
        <v>19633.4010247</v>
      </c>
      <c r="EU27" s="35">
        <f t="shared" si="130"/>
        <v>204.0008513</v>
      </c>
      <c r="EV27" s="5"/>
      <c r="EW27" s="35">
        <f t="shared" si="131"/>
        <v>424603.4775</v>
      </c>
      <c r="EX27" s="35">
        <f t="shared" si="70"/>
        <v>21739.384687499998</v>
      </c>
      <c r="EY27" s="5">
        <f t="shared" si="71"/>
        <v>446342.8621875</v>
      </c>
      <c r="EZ27" s="35">
        <f t="shared" si="72"/>
        <v>32758.0172769</v>
      </c>
      <c r="FA27" s="35">
        <f t="shared" si="132"/>
        <v>340.3721751</v>
      </c>
      <c r="FB27" s="5"/>
      <c r="FC27" s="35">
        <f t="shared" si="133"/>
        <v>363520.0775</v>
      </c>
      <c r="FD27" s="35">
        <f t="shared" si="73"/>
        <v>18611.9596875</v>
      </c>
      <c r="FE27" s="5">
        <f t="shared" si="74"/>
        <v>382132.03718750004</v>
      </c>
      <c r="FF27" s="35">
        <f t="shared" si="75"/>
        <v>28045.4532529</v>
      </c>
      <c r="FG27" s="35">
        <f t="shared" si="134"/>
        <v>291.4062791</v>
      </c>
      <c r="FH27" s="5"/>
      <c r="FI27" s="35">
        <f t="shared" si="135"/>
        <v>360463.1975</v>
      </c>
      <c r="FJ27" s="35">
        <f t="shared" si="76"/>
        <v>18455.4496875</v>
      </c>
      <c r="FK27" s="5">
        <f t="shared" si="77"/>
        <v>378918.6471875</v>
      </c>
      <c r="FL27" s="35">
        <f t="shared" si="78"/>
        <v>27809.615976099998</v>
      </c>
      <c r="FM27" s="35">
        <f t="shared" si="136"/>
        <v>288.9558119</v>
      </c>
      <c r="FN27" s="5"/>
      <c r="FO27" s="35">
        <f t="shared" si="137"/>
        <v>522654.665</v>
      </c>
      <c r="FP27" s="35">
        <f t="shared" si="79"/>
        <v>26759.533124999998</v>
      </c>
      <c r="FQ27" s="35">
        <f t="shared" si="80"/>
        <v>549414.198125</v>
      </c>
      <c r="FR27" s="35">
        <f t="shared" si="81"/>
        <v>40322.633829399994</v>
      </c>
      <c r="FS27" s="35">
        <f t="shared" si="138"/>
        <v>418.9723226</v>
      </c>
      <c r="FT27" s="5"/>
      <c r="FU27" s="35">
        <f t="shared" si="139"/>
        <v>662027.255</v>
      </c>
      <c r="FV27" s="35">
        <f t="shared" si="82"/>
        <v>33895.306875</v>
      </c>
      <c r="FW27" s="35">
        <f t="shared" si="83"/>
        <v>695922.561875</v>
      </c>
      <c r="FX27" s="35">
        <f t="shared" si="84"/>
        <v>51075.1828618</v>
      </c>
      <c r="FY27" s="35">
        <f t="shared" si="140"/>
        <v>530.6966822</v>
      </c>
      <c r="FZ27" s="5"/>
      <c r="GA27" s="35">
        <f t="shared" si="141"/>
        <v>3054.8475</v>
      </c>
      <c r="GB27" s="35">
        <f t="shared" si="85"/>
        <v>156.4059375</v>
      </c>
      <c r="GC27" s="5">
        <f t="shared" si="86"/>
        <v>3211.2534375</v>
      </c>
      <c r="GD27" s="35">
        <f t="shared" si="87"/>
        <v>235.6804701</v>
      </c>
      <c r="GE27" s="35">
        <f t="shared" si="142"/>
        <v>2.4488379</v>
      </c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</row>
    <row r="28" spans="1:230" ht="12.75">
      <c r="A28" s="36">
        <v>47392</v>
      </c>
      <c r="D28" s="3">
        <v>177500</v>
      </c>
      <c r="E28" s="34">
        <f t="shared" si="0"/>
        <v>177500</v>
      </c>
      <c r="F28" s="34">
        <v>522689</v>
      </c>
      <c r="G28" s="34">
        <v>5431</v>
      </c>
      <c r="I28" s="35">
        <f>'2019C Academic'!I28</f>
        <v>0</v>
      </c>
      <c r="J28" s="35">
        <f>'2019C Academic'!J28</f>
        <v>39623.502499999995</v>
      </c>
      <c r="K28" s="35">
        <f t="shared" si="88"/>
        <v>39623.502499999995</v>
      </c>
      <c r="L28" s="35">
        <f>'2019C Academic'!L28</f>
        <v>116680.38815900001</v>
      </c>
      <c r="M28" s="35">
        <f>'2019C Academic'!M28</f>
        <v>1212.3675610000003</v>
      </c>
      <c r="O28" s="35"/>
      <c r="P28" s="34">
        <f t="shared" si="1"/>
        <v>137876.49749999997</v>
      </c>
      <c r="Q28" s="5">
        <f t="shared" si="2"/>
        <v>137876.49749999997</v>
      </c>
      <c r="R28" s="34">
        <f t="shared" si="3"/>
        <v>406008.61184100003</v>
      </c>
      <c r="S28" s="34">
        <f t="shared" si="3"/>
        <v>4218.1333301</v>
      </c>
      <c r="U28" s="35"/>
      <c r="V28" s="35">
        <f t="shared" si="4"/>
        <v>38.553</v>
      </c>
      <c r="W28" s="5">
        <f t="shared" si="5"/>
        <v>38.553</v>
      </c>
      <c r="X28" s="35">
        <f t="shared" si="6"/>
        <v>113.5280508</v>
      </c>
      <c r="Y28" s="35">
        <f t="shared" si="90"/>
        <v>1.1796132</v>
      </c>
      <c r="AA28" s="35"/>
      <c r="AB28" s="35">
        <f t="shared" si="7"/>
        <v>4102.82375</v>
      </c>
      <c r="AC28" s="5">
        <f t="shared" si="8"/>
        <v>4102.82375</v>
      </c>
      <c r="AD28" s="35">
        <f t="shared" si="9"/>
        <v>12081.694890499999</v>
      </c>
      <c r="AE28" s="35">
        <f t="shared" si="92"/>
        <v>125.53484949999999</v>
      </c>
      <c r="AG28" s="35"/>
      <c r="AH28" s="35">
        <f t="shared" si="10"/>
        <v>251.74824999999998</v>
      </c>
      <c r="AI28" s="35">
        <f t="shared" si="11"/>
        <v>251.74824999999998</v>
      </c>
      <c r="AJ28" s="35">
        <f t="shared" si="12"/>
        <v>741.3298087</v>
      </c>
      <c r="AK28" s="35">
        <f t="shared" si="94"/>
        <v>7.7027873</v>
      </c>
      <c r="AM28" s="35"/>
      <c r="AN28" s="35">
        <f t="shared" si="13"/>
        <v>1820.77725</v>
      </c>
      <c r="AO28" s="5">
        <f t="shared" si="14"/>
        <v>1820.77725</v>
      </c>
      <c r="AP28" s="35">
        <f t="shared" si="15"/>
        <v>5361.6914931</v>
      </c>
      <c r="AQ28" s="35">
        <f t="shared" si="96"/>
        <v>55.7106549</v>
      </c>
      <c r="AS28" s="35"/>
      <c r="AT28" s="35">
        <f t="shared" si="16"/>
        <v>1440.164</v>
      </c>
      <c r="AU28" s="5">
        <f t="shared" si="17"/>
        <v>1440.164</v>
      </c>
      <c r="AV28" s="35">
        <f t="shared" si="18"/>
        <v>4240.8894704</v>
      </c>
      <c r="AW28" s="35">
        <f t="shared" si="98"/>
        <v>44.064961600000004</v>
      </c>
      <c r="AY28" s="35"/>
      <c r="AZ28" s="35">
        <f t="shared" si="19"/>
        <v>384.181</v>
      </c>
      <c r="BA28" s="5">
        <f t="shared" si="20"/>
        <v>384.181</v>
      </c>
      <c r="BB28" s="35">
        <f t="shared" si="21"/>
        <v>1131.3080716</v>
      </c>
      <c r="BC28" s="35">
        <f t="shared" si="100"/>
        <v>11.7548564</v>
      </c>
      <c r="BE28" s="35"/>
      <c r="BF28" s="35">
        <f t="shared" si="22"/>
        <v>4343.993</v>
      </c>
      <c r="BG28" s="5">
        <f t="shared" si="23"/>
        <v>4343.993</v>
      </c>
      <c r="BH28" s="35">
        <f t="shared" si="24"/>
        <v>12791.8724348</v>
      </c>
      <c r="BI28" s="35">
        <f t="shared" si="102"/>
        <v>132.9139492</v>
      </c>
      <c r="BJ28" s="5"/>
      <c r="BK28" s="35"/>
      <c r="BL28" s="35">
        <f t="shared" si="25"/>
        <v>76.37825</v>
      </c>
      <c r="BM28" s="5">
        <f t="shared" si="26"/>
        <v>76.37825</v>
      </c>
      <c r="BN28" s="35">
        <f t="shared" si="27"/>
        <v>224.9130767</v>
      </c>
      <c r="BO28" s="35">
        <f t="shared" si="104"/>
        <v>2.3369593</v>
      </c>
      <c r="BP28" s="5"/>
      <c r="BQ28" s="35"/>
      <c r="BR28" s="35">
        <f t="shared" si="28"/>
        <v>16.31225</v>
      </c>
      <c r="BS28" s="5">
        <f t="shared" si="29"/>
        <v>16.31225</v>
      </c>
      <c r="BT28" s="35">
        <f t="shared" si="30"/>
        <v>48.035119099999996</v>
      </c>
      <c r="BU28" s="35"/>
      <c r="BV28" s="5"/>
      <c r="BW28" s="35"/>
      <c r="BX28" s="35">
        <f t="shared" si="31"/>
        <v>15601.185</v>
      </c>
      <c r="BY28" s="5">
        <f t="shared" si="32"/>
        <v>15601.185</v>
      </c>
      <c r="BZ28" s="35">
        <f t="shared" si="33"/>
        <v>45941.226966</v>
      </c>
      <c r="CA28" s="35">
        <f t="shared" si="107"/>
        <v>477.352314</v>
      </c>
      <c r="CB28" s="5"/>
      <c r="CC28" s="35"/>
      <c r="CD28" s="35">
        <f t="shared" si="34"/>
        <v>30.08625</v>
      </c>
      <c r="CE28" s="5">
        <f t="shared" si="35"/>
        <v>30.08625</v>
      </c>
      <c r="CF28" s="35">
        <f t="shared" si="36"/>
        <v>88.5957855</v>
      </c>
      <c r="CG28" s="35">
        <f t="shared" si="109"/>
        <v>0.9205545</v>
      </c>
      <c r="CH28" s="5"/>
      <c r="CI28" s="35"/>
      <c r="CJ28" s="35">
        <f t="shared" si="37"/>
        <v>17.87425</v>
      </c>
      <c r="CK28" s="5">
        <f t="shared" si="38"/>
        <v>17.87425</v>
      </c>
      <c r="CL28" s="35">
        <f t="shared" si="39"/>
        <v>52.6347823</v>
      </c>
      <c r="CM28" s="35">
        <f t="shared" si="111"/>
        <v>0.5469016999999999</v>
      </c>
      <c r="CN28" s="5"/>
      <c r="CO28" s="35"/>
      <c r="CP28" s="35">
        <f t="shared" si="40"/>
        <v>1115.268</v>
      </c>
      <c r="CQ28" s="5">
        <f t="shared" si="41"/>
        <v>1115.268</v>
      </c>
      <c r="CR28" s="35">
        <f t="shared" si="42"/>
        <v>3284.1595248</v>
      </c>
      <c r="CS28" s="35">
        <f t="shared" si="113"/>
        <v>34.1240592</v>
      </c>
      <c r="CT28" s="5"/>
      <c r="CU28" s="35"/>
      <c r="CV28" s="35">
        <f t="shared" si="43"/>
        <v>117.80675000000001</v>
      </c>
      <c r="CW28" s="5">
        <f t="shared" si="44"/>
        <v>117.80675000000001</v>
      </c>
      <c r="CX28" s="35">
        <f t="shared" si="45"/>
        <v>346.9086893</v>
      </c>
      <c r="CY28" s="35">
        <f t="shared" si="115"/>
        <v>3.6045547</v>
      </c>
      <c r="CZ28" s="5"/>
      <c r="DA28" s="35"/>
      <c r="DB28" s="35">
        <f t="shared" si="46"/>
        <v>321.82525</v>
      </c>
      <c r="DC28" s="5">
        <f t="shared" si="47"/>
        <v>321.82525</v>
      </c>
      <c r="DD28" s="35">
        <f t="shared" si="48"/>
        <v>947.6874259</v>
      </c>
      <c r="DE28" s="35">
        <f t="shared" si="116"/>
        <v>9.8469461</v>
      </c>
      <c r="DF28" s="5"/>
      <c r="DG28" s="35"/>
      <c r="DH28" s="35">
        <f t="shared" si="49"/>
        <v>3147.98025</v>
      </c>
      <c r="DI28" s="35">
        <f t="shared" si="50"/>
        <v>3147.98025</v>
      </c>
      <c r="DJ28" s="35">
        <f t="shared" si="51"/>
        <v>9269.9416839</v>
      </c>
      <c r="DK28" s="35">
        <f t="shared" si="118"/>
        <v>96.3193281</v>
      </c>
      <c r="DL28" s="5"/>
      <c r="DM28" s="35"/>
      <c r="DN28" s="35">
        <f t="shared" si="52"/>
        <v>434.733</v>
      </c>
      <c r="DO28" s="35">
        <f t="shared" si="53"/>
        <v>434.733</v>
      </c>
      <c r="DP28" s="35">
        <f t="shared" si="54"/>
        <v>1280.1698988</v>
      </c>
      <c r="DQ28" s="35">
        <f t="shared" si="120"/>
        <v>13.3016052</v>
      </c>
      <c r="DR28" s="5"/>
      <c r="DS28" s="35"/>
      <c r="DT28" s="35">
        <f t="shared" si="55"/>
        <v>1736.6599999999999</v>
      </c>
      <c r="DU28" s="5">
        <f t="shared" si="56"/>
        <v>1736.6599999999999</v>
      </c>
      <c r="DV28" s="35">
        <f t="shared" si="57"/>
        <v>5113.989176</v>
      </c>
      <c r="DW28" s="35">
        <f t="shared" si="122"/>
        <v>53.136903999999994</v>
      </c>
      <c r="DX28" s="5"/>
      <c r="DY28" s="35"/>
      <c r="DZ28" s="35">
        <f t="shared" si="58"/>
        <v>13964.8125</v>
      </c>
      <c r="EA28" s="35">
        <f t="shared" si="59"/>
        <v>13964.8125</v>
      </c>
      <c r="EB28" s="35">
        <f t="shared" si="60"/>
        <v>41122.557075</v>
      </c>
      <c r="EC28" s="35">
        <f t="shared" si="124"/>
        <v>427.28392499999995</v>
      </c>
      <c r="ED28" s="5"/>
      <c r="EE28" s="35"/>
      <c r="EF28" s="35">
        <f t="shared" si="61"/>
        <v>20862.19625</v>
      </c>
      <c r="EG28" s="5">
        <f t="shared" si="62"/>
        <v>20862.19625</v>
      </c>
      <c r="EH28" s="35">
        <f t="shared" si="63"/>
        <v>61433.4675815</v>
      </c>
      <c r="EI28" s="35">
        <f t="shared" si="126"/>
        <v>638.3244385</v>
      </c>
      <c r="EJ28" s="5"/>
      <c r="EK28" s="35"/>
      <c r="EL28" s="35">
        <f t="shared" si="64"/>
        <v>173.879</v>
      </c>
      <c r="EM28" s="5">
        <f t="shared" si="65"/>
        <v>173.879</v>
      </c>
      <c r="EN28" s="35">
        <f t="shared" si="66"/>
        <v>512.0261444</v>
      </c>
      <c r="EO28" s="35">
        <f t="shared" si="128"/>
        <v>5.3202076</v>
      </c>
      <c r="EP28" s="5"/>
      <c r="EQ28" s="35"/>
      <c r="ER28" s="35">
        <f t="shared" si="67"/>
        <v>6667.30825</v>
      </c>
      <c r="ES28" s="5">
        <f t="shared" si="68"/>
        <v>6667.30825</v>
      </c>
      <c r="ET28" s="35">
        <f t="shared" si="69"/>
        <v>19633.4010247</v>
      </c>
      <c r="EU28" s="35">
        <f t="shared" si="130"/>
        <v>204.0008513</v>
      </c>
      <c r="EV28" s="5"/>
      <c r="EW28" s="35"/>
      <c r="EX28" s="35">
        <f t="shared" si="70"/>
        <v>11124.29775</v>
      </c>
      <c r="EY28" s="5">
        <f t="shared" si="71"/>
        <v>11124.29775</v>
      </c>
      <c r="EZ28" s="35">
        <f t="shared" si="72"/>
        <v>32758.0172769</v>
      </c>
      <c r="FA28" s="35">
        <f t="shared" si="132"/>
        <v>340.3721751</v>
      </c>
      <c r="FB28" s="5"/>
      <c r="FC28" s="35"/>
      <c r="FD28" s="35">
        <f t="shared" si="73"/>
        <v>9523.95775</v>
      </c>
      <c r="FE28" s="5">
        <f t="shared" si="74"/>
        <v>9523.95775</v>
      </c>
      <c r="FF28" s="35">
        <f t="shared" si="75"/>
        <v>28045.4532529</v>
      </c>
      <c r="FG28" s="35">
        <f t="shared" si="134"/>
        <v>291.4062791</v>
      </c>
      <c r="FH28" s="5"/>
      <c r="FI28" s="35"/>
      <c r="FJ28" s="35">
        <f t="shared" si="76"/>
        <v>9443.86975</v>
      </c>
      <c r="FK28" s="5">
        <f t="shared" si="77"/>
        <v>9443.86975</v>
      </c>
      <c r="FL28" s="35">
        <f t="shared" si="78"/>
        <v>27809.615976099998</v>
      </c>
      <c r="FM28" s="35">
        <f t="shared" si="136"/>
        <v>288.9558119</v>
      </c>
      <c r="FN28" s="5"/>
      <c r="FO28" s="35"/>
      <c r="FP28" s="35">
        <f t="shared" si="79"/>
        <v>13693.1665</v>
      </c>
      <c r="FQ28" s="35">
        <f t="shared" si="80"/>
        <v>13693.1665</v>
      </c>
      <c r="FR28" s="35">
        <f t="shared" si="81"/>
        <v>40322.633829399994</v>
      </c>
      <c r="FS28" s="35">
        <f t="shared" si="138"/>
        <v>418.9723226</v>
      </c>
      <c r="FT28" s="5"/>
      <c r="FU28" s="35"/>
      <c r="FV28" s="35">
        <f t="shared" si="82"/>
        <v>17344.625500000002</v>
      </c>
      <c r="FW28" s="35">
        <f t="shared" si="83"/>
        <v>17344.625500000002</v>
      </c>
      <c r="FX28" s="35">
        <f t="shared" si="84"/>
        <v>51075.1828618</v>
      </c>
      <c r="FY28" s="35">
        <f t="shared" si="140"/>
        <v>530.6966822</v>
      </c>
      <c r="FZ28" s="5"/>
      <c r="GA28" s="35"/>
      <c r="GB28" s="35">
        <f t="shared" si="85"/>
        <v>80.03475</v>
      </c>
      <c r="GC28" s="5">
        <f t="shared" si="86"/>
        <v>80.03475</v>
      </c>
      <c r="GD28" s="35">
        <f t="shared" si="87"/>
        <v>235.6804701</v>
      </c>
      <c r="GE28" s="35">
        <f t="shared" si="142"/>
        <v>2.4488379</v>
      </c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</row>
    <row r="29" spans="1:230" ht="12.75">
      <c r="A29" s="36">
        <v>11049</v>
      </c>
      <c r="C29" s="3">
        <v>7100000</v>
      </c>
      <c r="D29" s="3">
        <v>177500</v>
      </c>
      <c r="E29" s="34">
        <f t="shared" si="0"/>
        <v>7277500</v>
      </c>
      <c r="F29" s="34">
        <v>522689</v>
      </c>
      <c r="G29" s="34">
        <v>5431</v>
      </c>
      <c r="I29" s="35">
        <f>'2019C Academic'!I29</f>
        <v>1584940.1</v>
      </c>
      <c r="J29" s="35">
        <f>'2019C Academic'!J29</f>
        <v>39623.502499999995</v>
      </c>
      <c r="K29" s="35">
        <f t="shared" si="88"/>
        <v>1624563.6025</v>
      </c>
      <c r="L29" s="35">
        <f>'2019C Academic'!L29</f>
        <v>116680.38815900001</v>
      </c>
      <c r="M29" s="35">
        <f>'2019C Academic'!M29</f>
        <v>1212.3675610000003</v>
      </c>
      <c r="O29" s="35">
        <f>U29+AA29+AG29+AM29+AS29+AY29+BE29+BK29+BQ29+BW29+CC29+CI29+CO29+CU29+DG29+DM29+DS29+DY29+EE29+EK29+EQ29+EW29+FC29+FI29+DA29+FO29+FU29+GA29+GG29</f>
        <v>5515059.899999999</v>
      </c>
      <c r="P29" s="34">
        <f t="shared" si="1"/>
        <v>137876.49749999997</v>
      </c>
      <c r="Q29" s="5">
        <f t="shared" si="2"/>
        <v>5652936.397499999</v>
      </c>
      <c r="R29" s="34">
        <f t="shared" si="3"/>
        <v>406008.61184100003</v>
      </c>
      <c r="S29" s="34">
        <f t="shared" si="3"/>
        <v>4218.1333301</v>
      </c>
      <c r="U29" s="35">
        <f t="shared" si="89"/>
        <v>1542.12</v>
      </c>
      <c r="V29" s="35">
        <f t="shared" si="4"/>
        <v>38.553</v>
      </c>
      <c r="W29" s="5">
        <f t="shared" si="5"/>
        <v>1580.6729999999998</v>
      </c>
      <c r="X29" s="35">
        <f t="shared" si="6"/>
        <v>113.5280508</v>
      </c>
      <c r="Y29" s="35">
        <f t="shared" si="90"/>
        <v>1.1796132</v>
      </c>
      <c r="AA29" s="35">
        <f t="shared" si="91"/>
        <v>164112.95</v>
      </c>
      <c r="AB29" s="35">
        <f t="shared" si="7"/>
        <v>4102.82375</v>
      </c>
      <c r="AC29" s="5">
        <f t="shared" si="8"/>
        <v>168215.77375000002</v>
      </c>
      <c r="AD29" s="35">
        <f t="shared" si="9"/>
        <v>12081.694890499999</v>
      </c>
      <c r="AE29" s="35">
        <f t="shared" si="92"/>
        <v>125.53484949999999</v>
      </c>
      <c r="AG29" s="35">
        <f t="shared" si="93"/>
        <v>10069.93</v>
      </c>
      <c r="AH29" s="35">
        <f t="shared" si="10"/>
        <v>251.74824999999998</v>
      </c>
      <c r="AI29" s="35">
        <f t="shared" si="11"/>
        <v>10321.67825</v>
      </c>
      <c r="AJ29" s="35">
        <f t="shared" si="12"/>
        <v>741.3298087</v>
      </c>
      <c r="AK29" s="35">
        <f t="shared" si="94"/>
        <v>7.7027873</v>
      </c>
      <c r="AM29" s="35">
        <f t="shared" si="95"/>
        <v>72831.09</v>
      </c>
      <c r="AN29" s="35">
        <f t="shared" si="13"/>
        <v>1820.77725</v>
      </c>
      <c r="AO29" s="5">
        <f t="shared" si="14"/>
        <v>74651.86725</v>
      </c>
      <c r="AP29" s="35">
        <f t="shared" si="15"/>
        <v>5361.6914931</v>
      </c>
      <c r="AQ29" s="35">
        <f t="shared" si="96"/>
        <v>55.7106549</v>
      </c>
      <c r="AS29" s="35">
        <f t="shared" si="97"/>
        <v>57606.560000000005</v>
      </c>
      <c r="AT29" s="35">
        <f t="shared" si="16"/>
        <v>1440.164</v>
      </c>
      <c r="AU29" s="5">
        <f t="shared" si="17"/>
        <v>59046.724</v>
      </c>
      <c r="AV29" s="35">
        <f t="shared" si="18"/>
        <v>4240.8894704</v>
      </c>
      <c r="AW29" s="35">
        <f t="shared" si="98"/>
        <v>44.064961600000004</v>
      </c>
      <c r="AY29" s="35">
        <f t="shared" si="99"/>
        <v>15367.24</v>
      </c>
      <c r="AZ29" s="35">
        <f t="shared" si="19"/>
        <v>384.181</v>
      </c>
      <c r="BA29" s="5">
        <f t="shared" si="20"/>
        <v>15751.421</v>
      </c>
      <c r="BB29" s="35">
        <f t="shared" si="21"/>
        <v>1131.3080716</v>
      </c>
      <c r="BC29" s="35">
        <f t="shared" si="100"/>
        <v>11.7548564</v>
      </c>
      <c r="BE29" s="35">
        <f t="shared" si="101"/>
        <v>173759.72</v>
      </c>
      <c r="BF29" s="35">
        <f t="shared" si="22"/>
        <v>4343.993</v>
      </c>
      <c r="BG29" s="5">
        <f t="shared" si="23"/>
        <v>178103.713</v>
      </c>
      <c r="BH29" s="35">
        <f t="shared" si="24"/>
        <v>12791.8724348</v>
      </c>
      <c r="BI29" s="35">
        <f t="shared" si="102"/>
        <v>132.9139492</v>
      </c>
      <c r="BJ29" s="5"/>
      <c r="BK29" s="35">
        <f t="shared" si="103"/>
        <v>3055.13</v>
      </c>
      <c r="BL29" s="35">
        <f t="shared" si="25"/>
        <v>76.37825</v>
      </c>
      <c r="BM29" s="5">
        <f t="shared" si="26"/>
        <v>3131.5082500000003</v>
      </c>
      <c r="BN29" s="35">
        <f t="shared" si="27"/>
        <v>224.9130767</v>
      </c>
      <c r="BO29" s="35">
        <f t="shared" si="104"/>
        <v>2.3369593</v>
      </c>
      <c r="BP29" s="5"/>
      <c r="BQ29" s="35">
        <f t="shared" si="105"/>
        <v>652.49</v>
      </c>
      <c r="BR29" s="35">
        <f t="shared" si="28"/>
        <v>16.31225</v>
      </c>
      <c r="BS29" s="5">
        <f t="shared" si="29"/>
        <v>668.80225</v>
      </c>
      <c r="BT29" s="35">
        <f t="shared" si="30"/>
        <v>48.035119099999996</v>
      </c>
      <c r="BU29" s="35"/>
      <c r="BV29" s="5"/>
      <c r="BW29" s="35">
        <f t="shared" si="106"/>
        <v>624047.4</v>
      </c>
      <c r="BX29" s="35">
        <f t="shared" si="31"/>
        <v>15601.185</v>
      </c>
      <c r="BY29" s="5">
        <f t="shared" si="32"/>
        <v>639648.5850000001</v>
      </c>
      <c r="BZ29" s="35">
        <f t="shared" si="33"/>
        <v>45941.226966</v>
      </c>
      <c r="CA29" s="35">
        <f t="shared" si="107"/>
        <v>477.352314</v>
      </c>
      <c r="CB29" s="5"/>
      <c r="CC29" s="35">
        <f t="shared" si="108"/>
        <v>1203.45</v>
      </c>
      <c r="CD29" s="35">
        <f t="shared" si="34"/>
        <v>30.08625</v>
      </c>
      <c r="CE29" s="5">
        <f t="shared" si="35"/>
        <v>1233.53625</v>
      </c>
      <c r="CF29" s="35">
        <f t="shared" si="36"/>
        <v>88.5957855</v>
      </c>
      <c r="CG29" s="35">
        <f t="shared" si="109"/>
        <v>0.9205545</v>
      </c>
      <c r="CH29" s="5"/>
      <c r="CI29" s="35">
        <f t="shared" si="110"/>
        <v>714.9699999999999</v>
      </c>
      <c r="CJ29" s="35">
        <f t="shared" si="37"/>
        <v>17.87425</v>
      </c>
      <c r="CK29" s="5">
        <f t="shared" si="38"/>
        <v>732.8442499999999</v>
      </c>
      <c r="CL29" s="35">
        <f t="shared" si="39"/>
        <v>52.6347823</v>
      </c>
      <c r="CM29" s="35">
        <f t="shared" si="111"/>
        <v>0.5469016999999999</v>
      </c>
      <c r="CN29" s="5"/>
      <c r="CO29" s="35">
        <f t="shared" si="112"/>
        <v>44610.72</v>
      </c>
      <c r="CP29" s="35">
        <f t="shared" si="40"/>
        <v>1115.268</v>
      </c>
      <c r="CQ29" s="5">
        <f t="shared" si="41"/>
        <v>45725.988</v>
      </c>
      <c r="CR29" s="35">
        <f t="shared" si="42"/>
        <v>3284.1595248</v>
      </c>
      <c r="CS29" s="35">
        <f t="shared" si="113"/>
        <v>34.1240592</v>
      </c>
      <c r="CT29" s="5"/>
      <c r="CU29" s="35">
        <f t="shared" si="114"/>
        <v>4712.27</v>
      </c>
      <c r="CV29" s="35">
        <f t="shared" si="43"/>
        <v>117.80675000000001</v>
      </c>
      <c r="CW29" s="5">
        <f t="shared" si="44"/>
        <v>4830.07675</v>
      </c>
      <c r="CX29" s="35">
        <f t="shared" si="45"/>
        <v>346.9086893</v>
      </c>
      <c r="CY29" s="35">
        <f t="shared" si="115"/>
        <v>3.6045547</v>
      </c>
      <c r="CZ29" s="5"/>
      <c r="DA29" s="35">
        <f>$C29*DB$6</f>
        <v>12873.01</v>
      </c>
      <c r="DB29" s="35">
        <f t="shared" si="46"/>
        <v>321.82525</v>
      </c>
      <c r="DC29" s="5">
        <f t="shared" si="47"/>
        <v>13194.83525</v>
      </c>
      <c r="DD29" s="35">
        <f t="shared" si="48"/>
        <v>947.6874259</v>
      </c>
      <c r="DE29" s="35">
        <f t="shared" si="116"/>
        <v>9.8469461</v>
      </c>
      <c r="DF29" s="5"/>
      <c r="DG29" s="35">
        <f t="shared" si="117"/>
        <v>125919.21</v>
      </c>
      <c r="DH29" s="35">
        <f t="shared" si="49"/>
        <v>3147.98025</v>
      </c>
      <c r="DI29" s="35">
        <f t="shared" si="50"/>
        <v>129067.19025</v>
      </c>
      <c r="DJ29" s="35">
        <f t="shared" si="51"/>
        <v>9269.9416839</v>
      </c>
      <c r="DK29" s="35">
        <f t="shared" si="118"/>
        <v>96.3193281</v>
      </c>
      <c r="DL29" s="5"/>
      <c r="DM29" s="35">
        <f t="shared" si="119"/>
        <v>17389.32</v>
      </c>
      <c r="DN29" s="35">
        <f t="shared" si="52"/>
        <v>434.733</v>
      </c>
      <c r="DO29" s="35">
        <f t="shared" si="53"/>
        <v>17824.053</v>
      </c>
      <c r="DP29" s="35">
        <f t="shared" si="54"/>
        <v>1280.1698988</v>
      </c>
      <c r="DQ29" s="35">
        <f t="shared" si="120"/>
        <v>13.3016052</v>
      </c>
      <c r="DR29" s="5"/>
      <c r="DS29" s="35">
        <f t="shared" si="121"/>
        <v>69466.4</v>
      </c>
      <c r="DT29" s="35">
        <f t="shared" si="55"/>
        <v>1736.6599999999999</v>
      </c>
      <c r="DU29" s="5">
        <f t="shared" si="56"/>
        <v>71203.06</v>
      </c>
      <c r="DV29" s="35">
        <f t="shared" si="57"/>
        <v>5113.989176</v>
      </c>
      <c r="DW29" s="35">
        <f t="shared" si="122"/>
        <v>53.136903999999994</v>
      </c>
      <c r="DX29" s="5"/>
      <c r="DY29" s="35">
        <f t="shared" si="123"/>
        <v>558592.5</v>
      </c>
      <c r="DZ29" s="35">
        <f t="shared" si="58"/>
        <v>13964.8125</v>
      </c>
      <c r="EA29" s="35">
        <f t="shared" si="59"/>
        <v>572557.3125</v>
      </c>
      <c r="EB29" s="35">
        <f t="shared" si="60"/>
        <v>41122.557075</v>
      </c>
      <c r="EC29" s="35">
        <f t="shared" si="124"/>
        <v>427.28392499999995</v>
      </c>
      <c r="ED29" s="5"/>
      <c r="EE29" s="35">
        <f t="shared" si="125"/>
        <v>834487.85</v>
      </c>
      <c r="EF29" s="35">
        <f t="shared" si="61"/>
        <v>20862.19625</v>
      </c>
      <c r="EG29" s="5">
        <f t="shared" si="62"/>
        <v>855350.04625</v>
      </c>
      <c r="EH29" s="35">
        <f t="shared" si="63"/>
        <v>61433.4675815</v>
      </c>
      <c r="EI29" s="35">
        <f t="shared" si="126"/>
        <v>638.3244385</v>
      </c>
      <c r="EJ29" s="5"/>
      <c r="EK29" s="35">
        <f t="shared" si="127"/>
        <v>6955.16</v>
      </c>
      <c r="EL29" s="35">
        <f t="shared" si="64"/>
        <v>173.879</v>
      </c>
      <c r="EM29" s="5">
        <f t="shared" si="65"/>
        <v>7129.039</v>
      </c>
      <c r="EN29" s="35">
        <f t="shared" si="66"/>
        <v>512.0261444</v>
      </c>
      <c r="EO29" s="35">
        <f t="shared" si="128"/>
        <v>5.3202076</v>
      </c>
      <c r="EP29" s="5"/>
      <c r="EQ29" s="35">
        <f t="shared" si="129"/>
        <v>266692.33</v>
      </c>
      <c r="ER29" s="35">
        <f t="shared" si="67"/>
        <v>6667.30825</v>
      </c>
      <c r="ES29" s="5">
        <f t="shared" si="68"/>
        <v>273359.63825</v>
      </c>
      <c r="ET29" s="35">
        <f t="shared" si="69"/>
        <v>19633.4010247</v>
      </c>
      <c r="EU29" s="35">
        <f t="shared" si="130"/>
        <v>204.0008513</v>
      </c>
      <c r="EV29" s="5"/>
      <c r="EW29" s="35">
        <f t="shared" si="131"/>
        <v>444971.91</v>
      </c>
      <c r="EX29" s="35">
        <f t="shared" si="70"/>
        <v>11124.29775</v>
      </c>
      <c r="EY29" s="5">
        <f t="shared" si="71"/>
        <v>456096.20775</v>
      </c>
      <c r="EZ29" s="35">
        <f t="shared" si="72"/>
        <v>32758.0172769</v>
      </c>
      <c r="FA29" s="35">
        <f t="shared" si="132"/>
        <v>340.3721751</v>
      </c>
      <c r="FB29" s="5"/>
      <c r="FC29" s="35">
        <f t="shared" si="133"/>
        <v>380958.31</v>
      </c>
      <c r="FD29" s="35">
        <f t="shared" si="73"/>
        <v>9523.95775</v>
      </c>
      <c r="FE29" s="5">
        <f t="shared" si="74"/>
        <v>390482.26775</v>
      </c>
      <c r="FF29" s="35">
        <f t="shared" si="75"/>
        <v>28045.4532529</v>
      </c>
      <c r="FG29" s="35">
        <f t="shared" si="134"/>
        <v>291.4062791</v>
      </c>
      <c r="FH29" s="5"/>
      <c r="FI29" s="35">
        <f t="shared" si="135"/>
        <v>377754.79</v>
      </c>
      <c r="FJ29" s="35">
        <f t="shared" si="76"/>
        <v>9443.86975</v>
      </c>
      <c r="FK29" s="5">
        <f t="shared" si="77"/>
        <v>387198.65975</v>
      </c>
      <c r="FL29" s="35">
        <f t="shared" si="78"/>
        <v>27809.615976099998</v>
      </c>
      <c r="FM29" s="35">
        <f t="shared" si="136"/>
        <v>288.9558119</v>
      </c>
      <c r="FN29" s="5"/>
      <c r="FO29" s="35">
        <f t="shared" si="137"/>
        <v>547726.6599999999</v>
      </c>
      <c r="FP29" s="35">
        <f t="shared" si="79"/>
        <v>13693.1665</v>
      </c>
      <c r="FQ29" s="35">
        <f t="shared" si="80"/>
        <v>561419.8265</v>
      </c>
      <c r="FR29" s="35">
        <f t="shared" si="81"/>
        <v>40322.633829399994</v>
      </c>
      <c r="FS29" s="35">
        <f t="shared" si="138"/>
        <v>418.9723226</v>
      </c>
      <c r="FT29" s="5"/>
      <c r="FU29" s="35">
        <f t="shared" si="139"/>
        <v>693785.02</v>
      </c>
      <c r="FV29" s="35">
        <f t="shared" si="82"/>
        <v>17344.625500000002</v>
      </c>
      <c r="FW29" s="35">
        <f t="shared" si="83"/>
        <v>711129.6455</v>
      </c>
      <c r="FX29" s="35">
        <f t="shared" si="84"/>
        <v>51075.1828618</v>
      </c>
      <c r="FY29" s="35">
        <f t="shared" si="140"/>
        <v>530.6966822</v>
      </c>
      <c r="FZ29" s="5"/>
      <c r="GA29" s="35">
        <f t="shared" si="141"/>
        <v>3201.39</v>
      </c>
      <c r="GB29" s="35">
        <f t="shared" si="85"/>
        <v>80.03475</v>
      </c>
      <c r="GC29" s="5">
        <f t="shared" si="86"/>
        <v>3281.4247499999997</v>
      </c>
      <c r="GD29" s="35">
        <f t="shared" si="87"/>
        <v>235.6804701</v>
      </c>
      <c r="GE29" s="35">
        <f t="shared" si="142"/>
        <v>2.4488379</v>
      </c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</row>
    <row r="30" spans="2:230" ht="12.75">
      <c r="B30" s="33"/>
      <c r="C30" s="34"/>
      <c r="D30" s="34"/>
      <c r="E30" s="34"/>
      <c r="F30" s="34"/>
      <c r="G30" s="34"/>
      <c r="U30" s="5"/>
      <c r="V30" s="5"/>
      <c r="W30" s="5"/>
      <c r="X30" s="5"/>
      <c r="Y30" s="5"/>
      <c r="AA30" s="5"/>
      <c r="AB30" s="5"/>
      <c r="AC30" s="5"/>
      <c r="AD30" s="5"/>
      <c r="AE30" s="5"/>
      <c r="AY30" s="5"/>
      <c r="AZ30" s="5"/>
      <c r="BA30" s="5"/>
      <c r="BB30" s="5"/>
      <c r="BC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35"/>
      <c r="FQ30" s="3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</row>
    <row r="31" spans="1:230" ht="13.5" thickBot="1">
      <c r="A31" s="37" t="s">
        <v>18</v>
      </c>
      <c r="C31" s="38">
        <f>SUM(C8:C30)</f>
        <v>53815000</v>
      </c>
      <c r="D31" s="38">
        <f>SUM(D8:D30)</f>
        <v>17245688</v>
      </c>
      <c r="E31" s="38">
        <f>SUM(E8:E30)</f>
        <v>71060688</v>
      </c>
      <c r="F31" s="38">
        <f>SUM(F8:F30)</f>
        <v>10976459</v>
      </c>
      <c r="G31" s="38">
        <f>SUM(G8:G30)</f>
        <v>114045</v>
      </c>
      <c r="I31" s="38">
        <f>SUM(I8:I30)</f>
        <v>12013176.265</v>
      </c>
      <c r="J31" s="38">
        <f>SUM(J8:J30)</f>
        <v>3849772.1779279993</v>
      </c>
      <c r="K31" s="38">
        <f>SUM(K8:K30)</f>
        <v>15862948.442928001</v>
      </c>
      <c r="L31" s="38">
        <f>SUM(L8:L30)</f>
        <v>2450285.919029</v>
      </c>
      <c r="M31" s="38">
        <f>SUM(M8:M30)</f>
        <v>25458.379395</v>
      </c>
      <c r="O31" s="38">
        <f>SUM(O8:O30)</f>
        <v>41801823.735</v>
      </c>
      <c r="P31" s="38">
        <f>SUM(P8:P30)</f>
        <v>13395915.822071997</v>
      </c>
      <c r="Q31" s="38">
        <f>SUM(Q8:Q30)</f>
        <v>55197739.557072006</v>
      </c>
      <c r="R31" s="38">
        <f>SUM(R8:R30)</f>
        <v>8526173.080970999</v>
      </c>
      <c r="S31" s="38">
        <f>SUM(S8:S30)</f>
        <v>88586.13986949998</v>
      </c>
      <c r="U31" s="38">
        <f>SUM(U8:U30)</f>
        <v>11688.617999999999</v>
      </c>
      <c r="V31" s="38">
        <f>SUM(V8:V30)</f>
        <v>3745.7634335999996</v>
      </c>
      <c r="W31" s="38">
        <f>SUM(W8:W30)</f>
        <v>15434.3814336</v>
      </c>
      <c r="X31" s="38">
        <f>SUM(X8:X30)</f>
        <v>2384.0868948000007</v>
      </c>
      <c r="Y31" s="38">
        <f>SUM(Y8:Y30)</f>
        <v>24.770573999999993</v>
      </c>
      <c r="AA31" s="38">
        <f>SUM(AA8:AA30)</f>
        <v>1243906.8175</v>
      </c>
      <c r="AB31" s="38">
        <f>SUM(AB8:AB30)</f>
        <v>398625.4552759999</v>
      </c>
      <c r="AC31" s="38">
        <f>SUM(AC8:AC30)</f>
        <v>1642532.272776</v>
      </c>
      <c r="AD31" s="38">
        <f>SUM(AD8:AD30)</f>
        <v>253715.3615554999</v>
      </c>
      <c r="AE31" s="38">
        <f>SUM(AE8:AE30)</f>
        <v>2636.0931524999996</v>
      </c>
      <c r="AG31" s="38">
        <f>SUM(AG8:AG30)</f>
        <v>76325.81450000001</v>
      </c>
      <c r="AH31" s="38">
        <f>SUM(AH8:AH30)</f>
        <v>24459.5592904</v>
      </c>
      <c r="AI31" s="38">
        <f>SUM(AI8:AI30)</f>
        <v>100785.37379039999</v>
      </c>
      <c r="AJ31" s="38">
        <f>SUM(AJ8:AJ30)</f>
        <v>15567.911799700003</v>
      </c>
      <c r="AK31" s="38">
        <f>SUM(AK8:AK30)</f>
        <v>161.75002350000003</v>
      </c>
      <c r="AM31" s="38">
        <f>SUM(AM8:AM30)</f>
        <v>552028.8885</v>
      </c>
      <c r="AN31" s="38">
        <f>SUM(AN8:AN30)</f>
        <v>176904.54293520006</v>
      </c>
      <c r="AO31" s="38">
        <f>SUM(AO8:AO30)</f>
        <v>728933.4314352002</v>
      </c>
      <c r="AP31" s="38">
        <f>SUM(AP8:AP30)</f>
        <v>112595.41877610005</v>
      </c>
      <c r="AQ31" s="38">
        <f>SUM(AQ8:AQ30)</f>
        <v>1169.8622055</v>
      </c>
      <c r="AS31" s="38">
        <f>SUM(AS8:AS30)</f>
        <v>436633.384</v>
      </c>
      <c r="AT31" s="38">
        <f>SUM(AT8:AT30)</f>
        <v>139924.6141568</v>
      </c>
      <c r="AU31" s="38">
        <f>SUM(AU8:AU30)</f>
        <v>576557.9981567999</v>
      </c>
      <c r="AV31" s="38">
        <f>SUM(AV8:AV30)</f>
        <v>89058.59774239999</v>
      </c>
      <c r="AW31" s="38">
        <f>SUM(AW8:AW30)</f>
        <v>925.3155120000006</v>
      </c>
      <c r="AY31" s="38">
        <f>SUM(AY8:AY30)</f>
        <v>116477.18600000002</v>
      </c>
      <c r="AZ31" s="38">
        <f>SUM(AZ8:AZ30)</f>
        <v>37326.5671072</v>
      </c>
      <c r="BA31" s="38">
        <f>SUM(BA8:BA30)</f>
        <v>153803.75310720003</v>
      </c>
      <c r="BB31" s="38">
        <f>SUM(BB8:BB30)</f>
        <v>23757.447859600004</v>
      </c>
      <c r="BC31" s="38">
        <f>SUM(BC8:BC30)</f>
        <v>246.83899799999992</v>
      </c>
      <c r="BE31" s="38">
        <f>SUM(BE8:BE30)</f>
        <v>1317025.258</v>
      </c>
      <c r="BF31" s="38">
        <f>SUM(BF8:BF30)</f>
        <v>422057.1715616</v>
      </c>
      <c r="BG31" s="38">
        <f>SUM(BG8:BG30)</f>
        <v>1739082.4295616</v>
      </c>
      <c r="BH31" s="38">
        <f>SUM(BH8:BH30)</f>
        <v>268629.07639879995</v>
      </c>
      <c r="BI31" s="38">
        <f>SUM(BI8:BI30)</f>
        <v>2791.046093999999</v>
      </c>
      <c r="BJ31" s="5"/>
      <c r="BK31" s="38">
        <f>SUM(BK8:BK30)</f>
        <v>23156.594500000003</v>
      </c>
      <c r="BL31" s="38">
        <f>SUM(BL8:BL30)</f>
        <v>7420.819546399998</v>
      </c>
      <c r="BM31" s="38">
        <f>SUM(BM8:BM30)</f>
        <v>30577.414046399994</v>
      </c>
      <c r="BN31" s="38">
        <f>SUM(BN8:BN30)</f>
        <v>4723.1703077</v>
      </c>
      <c r="BO31" s="38">
        <f>SUM(BO8:BO30)</f>
        <v>49.073563500000034</v>
      </c>
      <c r="BP31" s="5"/>
      <c r="BQ31" s="38">
        <f>SUM(BQ8:BQ30)</f>
        <v>4945.5985</v>
      </c>
      <c r="BR31" s="38">
        <f>SUM(BR8:BR30)</f>
        <v>1584.8787271999997</v>
      </c>
      <c r="BS31" s="38">
        <f>SUM(BS8:BS30)</f>
        <v>6530.477227199999</v>
      </c>
      <c r="BT31" s="38">
        <f>SUM(BT8:BT30)</f>
        <v>1008.7365820999996</v>
      </c>
      <c r="BU31" s="38">
        <f>SUM(BU8:BU30)</f>
        <v>10</v>
      </c>
      <c r="BV31" s="34"/>
      <c r="BW31" s="38">
        <f>SUM(BW8:BW30)</f>
        <v>4730015.61</v>
      </c>
      <c r="BX31" s="38">
        <f>SUM(BX8:BX30)</f>
        <v>1515792.5010720002</v>
      </c>
      <c r="BY31" s="38">
        <f>SUM(BY8:BY30)</f>
        <v>6245808.111072</v>
      </c>
      <c r="BZ31" s="38">
        <f>SUM(BZ8:BZ30)</f>
        <v>964764.8873460003</v>
      </c>
      <c r="CA31" s="38">
        <f>SUM(CA8:CA30)</f>
        <v>10023.871229999997</v>
      </c>
      <c r="CB31" s="5"/>
      <c r="CC31" s="38">
        <f>SUM(CC8:CC30)</f>
        <v>9121.6425</v>
      </c>
      <c r="CD31" s="38">
        <f>SUM(CD8:CD30)</f>
        <v>2923.1441159999995</v>
      </c>
      <c r="CE31" s="38">
        <f>SUM(CE8:CE30)</f>
        <v>12044.786616000001</v>
      </c>
      <c r="CF31" s="38">
        <f>SUM(CF8:CF30)</f>
        <v>1860.5098004999995</v>
      </c>
      <c r="CG31" s="38">
        <f>SUM(CG8:CG30)</f>
        <v>19.330627500000002</v>
      </c>
      <c r="CH31" s="5"/>
      <c r="CI31" s="38">
        <f>SUM(CI8:CI30)</f>
        <v>5419.1705</v>
      </c>
      <c r="CJ31" s="38">
        <f>SUM(CJ8:CJ30)</f>
        <v>1736.6407815999999</v>
      </c>
      <c r="CK31" s="38">
        <f>SUM(CK8:CK30)</f>
        <v>7155.811281599999</v>
      </c>
      <c r="CL31" s="38">
        <f>SUM(CL8:CL30)</f>
        <v>1105.3294213</v>
      </c>
      <c r="CM31" s="38">
        <f>SUM(CM8:CM30)</f>
        <v>11.484331499999996</v>
      </c>
      <c r="CN31" s="5"/>
      <c r="CO31" s="38">
        <f>SUM(CO8:CO30)</f>
        <v>338130.40800000005</v>
      </c>
      <c r="CP31" s="38">
        <f>SUM(CP8:CP30)</f>
        <v>108358.1068416</v>
      </c>
      <c r="CQ31" s="38">
        <f>SUM(CQ8:CQ30)</f>
        <v>446488.5148416</v>
      </c>
      <c r="CR31" s="38">
        <f>SUM(CR8:CR30)</f>
        <v>68967.28718880001</v>
      </c>
      <c r="CS31" s="38">
        <f>SUM(CS8:CS30)</f>
        <v>716.567544</v>
      </c>
      <c r="CT31" s="5"/>
      <c r="CU31" s="38">
        <f>SUM(CU8:CU30)</f>
        <v>35717.0155</v>
      </c>
      <c r="CV31" s="38">
        <f>SUM(CV8:CV30)</f>
        <v>11445.963125600001</v>
      </c>
      <c r="CW31" s="38">
        <f>SUM(CW8:CW30)</f>
        <v>47162.978625600015</v>
      </c>
      <c r="CX31" s="38">
        <f>SUM(CX8:CX30)</f>
        <v>7285.075838300002</v>
      </c>
      <c r="CY31" s="38">
        <f>SUM(CY8:CY30)</f>
        <v>75.6916665</v>
      </c>
      <c r="CZ31" s="5"/>
      <c r="DA31" s="38">
        <f>SUM(DA8:DA30)</f>
        <v>97571.9765</v>
      </c>
      <c r="DB31" s="38">
        <f>SUM(DB8:DB30)</f>
        <v>31268.156912800012</v>
      </c>
      <c r="DC31" s="38">
        <f>SUM(DC8:DC30)</f>
        <v>128840.1334128</v>
      </c>
      <c r="DD31" s="38">
        <f>SUM(DD8:DD30)</f>
        <v>19901.417812899996</v>
      </c>
      <c r="DE31" s="38">
        <f>SUM(DE8:DE30)</f>
        <v>206.77498949999995</v>
      </c>
      <c r="DF31" s="5"/>
      <c r="DG31" s="38">
        <f>SUM(DG8:DG30)</f>
        <v>954414.4065</v>
      </c>
      <c r="DH31" s="38">
        <f>SUM(DH8:DH30)</f>
        <v>305854.00124879996</v>
      </c>
      <c r="DI31" s="38">
        <f>SUM(DI8:DI30)</f>
        <v>1260268.4077488</v>
      </c>
      <c r="DJ31" s="38">
        <f>SUM(DJ8:DJ30)</f>
        <v>194668.59801089996</v>
      </c>
      <c r="DK31" s="38">
        <f>SUM(DK8:DK30)</f>
        <v>2022.5994794999992</v>
      </c>
      <c r="DL31" s="5"/>
      <c r="DM31" s="38">
        <f>SUM(DM8:DM30)</f>
        <v>131803.698</v>
      </c>
      <c r="DN31" s="38">
        <f>SUM(DN8:DN30)</f>
        <v>42238.13904960001</v>
      </c>
      <c r="DO31" s="38">
        <f>SUM(DO8:DO30)</f>
        <v>174041.83704959997</v>
      </c>
      <c r="DP31" s="38">
        <f>SUM(DP8:DP30)</f>
        <v>26883.543382799995</v>
      </c>
      <c r="DQ31" s="38">
        <f>SUM(DQ8:DQ30)</f>
        <v>279.3190140000001</v>
      </c>
      <c r="DR31" s="5"/>
      <c r="DS31" s="38">
        <f>SUM(DS8:DS30)</f>
        <v>526525.96</v>
      </c>
      <c r="DT31" s="38">
        <f>SUM(DT8:DT30)</f>
        <v>168731.811392</v>
      </c>
      <c r="DU31" s="38">
        <f>SUM(DU8:DU30)</f>
        <v>695257.7713919999</v>
      </c>
      <c r="DV31" s="38">
        <f>SUM(DV8:DV30)</f>
        <v>107393.67485600003</v>
      </c>
      <c r="DW31" s="38">
        <f>SUM(DW8:DW30)</f>
        <v>1115.8162799999996</v>
      </c>
      <c r="DX31" s="5"/>
      <c r="DY31" s="38">
        <f>SUM(DY8:DY30)</f>
        <v>4233895.125</v>
      </c>
      <c r="DZ31" s="38">
        <f>SUM(DZ8:DZ30)</f>
        <v>1356804.5033999998</v>
      </c>
      <c r="EA31" s="38">
        <f>SUM(EA8:EA30)</f>
        <v>5590699.6284</v>
      </c>
      <c r="EB31" s="38">
        <f>SUM(EB8:EB30)</f>
        <v>863572.9118250002</v>
      </c>
      <c r="EC31" s="38">
        <f>SUM(EC8:EC30)</f>
        <v>8972.490374999996</v>
      </c>
      <c r="ED31" s="5"/>
      <c r="EE31" s="38">
        <f>SUM(EE8:EE30)</f>
        <v>6325065.3025</v>
      </c>
      <c r="EF31" s="38">
        <f>SUM(EF8:EF30)</f>
        <v>2026946.0705480003</v>
      </c>
      <c r="EG31" s="38">
        <f>SUM(EG8:EG30)</f>
        <v>8352011.373047999</v>
      </c>
      <c r="EH31" s="38">
        <f>SUM(EH8:EH30)</f>
        <v>1290101.6438764997</v>
      </c>
      <c r="EI31" s="38">
        <f>SUM(EI8:EI30)</f>
        <v>13404.108007499997</v>
      </c>
      <c r="EJ31" s="5"/>
      <c r="EK31" s="38">
        <f>SUM(EK8:EK30)</f>
        <v>52717.174</v>
      </c>
      <c r="EL31" s="38">
        <f>SUM(EL8:EL30)</f>
        <v>16893.8759648</v>
      </c>
      <c r="EM31" s="38">
        <f>SUM(EM8:EM30)</f>
        <v>69611.04996480001</v>
      </c>
      <c r="EN31" s="38">
        <f>SUM(EN8:EN30)</f>
        <v>10752.539236400002</v>
      </c>
      <c r="EO31" s="38">
        <f>SUM(EO8:EO30)</f>
        <v>111.71848200000005</v>
      </c>
      <c r="EP31" s="5"/>
      <c r="EQ31" s="38">
        <f>SUM(EQ8:EQ30)</f>
        <v>2021415.1745000002</v>
      </c>
      <c r="ER31" s="38">
        <f>SUM(ER8:ER30)</f>
        <v>647787.7063624</v>
      </c>
      <c r="ES31" s="38">
        <f>SUM(ES8:ES30)</f>
        <v>2669202.8808623995</v>
      </c>
      <c r="ET31" s="38">
        <f>SUM(ET8:ET30)</f>
        <v>412301.04589570017</v>
      </c>
      <c r="EU31" s="38">
        <f>SUM(EU8:EU30)</f>
        <v>4283.792503499998</v>
      </c>
      <c r="EV31" s="5"/>
      <c r="EW31" s="38">
        <f>SUM(EW8:EW30)</f>
        <v>3372699.0615</v>
      </c>
      <c r="EX31" s="38">
        <f>SUM(EX8:EX30)</f>
        <v>1080823.4829047997</v>
      </c>
      <c r="EY31" s="38">
        <f>SUM(EY8:EY30)</f>
        <v>4453522.544404799</v>
      </c>
      <c r="EZ31" s="38">
        <f>SUM(EZ8:EZ30)</f>
        <v>687917.7360939</v>
      </c>
      <c r="FA31" s="38">
        <f>SUM(FA8:FA30)</f>
        <v>7147.439644500001</v>
      </c>
      <c r="FB31" s="5"/>
      <c r="FC31" s="38">
        <f>SUM(FC8:FC30)</f>
        <v>2887503.0215</v>
      </c>
      <c r="FD31" s="38">
        <f>SUM(FD8:FD30)</f>
        <v>925336.3598968</v>
      </c>
      <c r="FE31" s="38">
        <f>SUM(FE8:FE30)</f>
        <v>3812839.3813968</v>
      </c>
      <c r="FF31" s="38">
        <f>SUM(FF8:FF30)</f>
        <v>588953.9817498999</v>
      </c>
      <c r="FG31" s="38">
        <f>SUM(FG8:FG30)</f>
        <v>6119.209924499999</v>
      </c>
      <c r="FH31" s="5"/>
      <c r="FI31" s="38">
        <f>SUM(FI8:FI30)</f>
        <v>2863221.6935</v>
      </c>
      <c r="FJ31" s="38">
        <f>SUM(FJ8:FJ30)</f>
        <v>917555.1054712001</v>
      </c>
      <c r="FK31" s="38">
        <f>SUM(FK8:FK30)</f>
        <v>3780776.7989712004</v>
      </c>
      <c r="FL31" s="38">
        <f>SUM(FL8:FL30)</f>
        <v>584001.4034490997</v>
      </c>
      <c r="FM31" s="38">
        <f>SUM(FM8:FM30)</f>
        <v>6067.752820500001</v>
      </c>
      <c r="FN31" s="5"/>
      <c r="FO31" s="38">
        <f>SUM(FO8:FO30)</f>
        <v>4151536.649</v>
      </c>
      <c r="FP31" s="38">
        <f>SUM(FP8:FP30)</f>
        <v>1330411.7024848002</v>
      </c>
      <c r="FQ31" s="38">
        <f>SUM(FQ8:FQ30)</f>
        <v>5481948.3514848</v>
      </c>
      <c r="FR31" s="38">
        <f>SUM(FR8:FR30)</f>
        <v>846774.5389713995</v>
      </c>
      <c r="FS31" s="38">
        <f>SUM(FS8:FS30)</f>
        <v>8797.955906999998</v>
      </c>
      <c r="FT31" s="5"/>
      <c r="FU31" s="38">
        <f>SUM(FU8:FU30)</f>
        <v>5258597.302999999</v>
      </c>
      <c r="FV31" s="38">
        <f>SUM(FV8:FV30)</f>
        <v>1685183.0977456002</v>
      </c>
      <c r="FW31" s="38">
        <f>SUM(FW8:FW30)</f>
        <v>6943780.4007456</v>
      </c>
      <c r="FX31" s="38">
        <f>SUM(FX8:FX30)</f>
        <v>1072577.8629357996</v>
      </c>
      <c r="FY31" s="38">
        <f>SUM(FY8:FY30)</f>
        <v>11144.044029</v>
      </c>
      <c r="FZ31" s="5"/>
      <c r="GA31" s="38">
        <f>SUM(GA8:GA30)</f>
        <v>24265.1835</v>
      </c>
      <c r="GB31" s="38">
        <f>SUM(GB8:GB30)</f>
        <v>7776.080719199998</v>
      </c>
      <c r="GC31" s="38">
        <f>SUM(GC8:GC30)</f>
        <v>32041.2642192</v>
      </c>
      <c r="GD31" s="38">
        <f>SUM(GD8:GD30)</f>
        <v>4949.285363100001</v>
      </c>
      <c r="GE31" s="38">
        <f>SUM(GE8:GE30)</f>
        <v>51.422890500000015</v>
      </c>
      <c r="GF31" s="34"/>
      <c r="GG31" s="38">
        <f>SUM(GG8:GG30)</f>
        <v>0</v>
      </c>
      <c r="GH31" s="38">
        <f>SUM(GH8:GH30)</f>
        <v>0</v>
      </c>
      <c r="GI31" s="38">
        <f>SUM(GI8:GI30)</f>
        <v>0</v>
      </c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</row>
    <row r="32" spans="21:230" ht="13.5" thickTop="1">
      <c r="U32" s="5"/>
      <c r="V32" s="5"/>
      <c r="W32" s="5"/>
      <c r="X32" s="5"/>
      <c r="Y32" s="5"/>
      <c r="AA32" s="5"/>
      <c r="AB32" s="5"/>
      <c r="AC32" s="5"/>
      <c r="AD32" s="5"/>
      <c r="AE32" s="5"/>
      <c r="AY32" s="5"/>
      <c r="AZ32" s="5"/>
      <c r="BA32" s="5"/>
      <c r="BB32" s="5"/>
      <c r="BC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</row>
    <row r="33" spans="3:230" ht="12.75">
      <c r="C33" s="3">
        <f>I31+O31</f>
        <v>53815000</v>
      </c>
      <c r="D33" s="3">
        <f>J31+P31</f>
        <v>17245687.999999996</v>
      </c>
      <c r="E33" s="3">
        <f>K31+Q31</f>
        <v>71060688</v>
      </c>
      <c r="F33" s="3">
        <f>L31+R31</f>
        <v>10976459</v>
      </c>
      <c r="G33" s="3">
        <f>M31+S31</f>
        <v>114044.51926449998</v>
      </c>
      <c r="P33" s="5"/>
      <c r="U33" s="5"/>
      <c r="V33" s="5"/>
      <c r="W33" s="5"/>
      <c r="X33" s="5"/>
      <c r="Y33" s="5"/>
      <c r="AA33" s="5"/>
      <c r="AB33" s="5"/>
      <c r="AC33" s="5"/>
      <c r="AD33" s="5"/>
      <c r="AE33" s="5"/>
      <c r="AY33" s="5"/>
      <c r="AZ33" s="5"/>
      <c r="BA33" s="5"/>
      <c r="BB33" s="5"/>
      <c r="BC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</row>
    <row r="34" spans="21:230" ht="12.75">
      <c r="U34" s="5"/>
      <c r="V34" s="5"/>
      <c r="W34" s="5"/>
      <c r="X34" s="5"/>
      <c r="Y34" s="5"/>
      <c r="AA34" s="5"/>
      <c r="AB34" s="5"/>
      <c r="AC34" s="5"/>
      <c r="AD34" s="5"/>
      <c r="AE34" s="5"/>
      <c r="AY34" s="5"/>
      <c r="AZ34" s="5"/>
      <c r="BA34" s="5"/>
      <c r="BB34" s="5"/>
      <c r="BC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</row>
    <row r="35" spans="21:230" ht="12.75">
      <c r="U35" s="5"/>
      <c r="V35" s="5"/>
      <c r="W35" s="5"/>
      <c r="X35" s="5"/>
      <c r="Y35" s="5"/>
      <c r="AA35" s="5"/>
      <c r="AB35" s="5"/>
      <c r="AC35" s="5"/>
      <c r="AD35" s="5"/>
      <c r="AE35" s="5"/>
      <c r="AY35" s="5"/>
      <c r="AZ35" s="5"/>
      <c r="BA35" s="5"/>
      <c r="BB35" s="5"/>
      <c r="BC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</row>
    <row r="36" spans="21:230" ht="12.75">
      <c r="U36" s="5"/>
      <c r="V36" s="5"/>
      <c r="W36" s="5"/>
      <c r="X36" s="5"/>
      <c r="Y36" s="5"/>
      <c r="AA36" s="5"/>
      <c r="AB36" s="5"/>
      <c r="AC36" s="5"/>
      <c r="AD36" s="5"/>
      <c r="AE36" s="5"/>
      <c r="AY36" s="5"/>
      <c r="AZ36" s="5"/>
      <c r="BA36" s="5"/>
      <c r="BB36" s="5"/>
      <c r="BC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</row>
    <row r="37" spans="21:230" ht="12.75">
      <c r="U37" s="5"/>
      <c r="V37" s="5"/>
      <c r="W37" s="5"/>
      <c r="X37" s="5"/>
      <c r="Y37" s="5"/>
      <c r="AA37" s="5"/>
      <c r="AB37" s="5"/>
      <c r="AC37" s="5"/>
      <c r="AD37" s="5"/>
      <c r="AE37" s="5"/>
      <c r="AY37" s="5"/>
      <c r="AZ37" s="5"/>
      <c r="BA37" s="5"/>
      <c r="BB37" s="5"/>
      <c r="BC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</row>
    <row r="38" spans="21:230" ht="12.75">
      <c r="U38" s="5"/>
      <c r="V38" s="5"/>
      <c r="W38" s="5"/>
      <c r="X38" s="5"/>
      <c r="Y38" s="5"/>
      <c r="AA38" s="5"/>
      <c r="AB38" s="5"/>
      <c r="AC38" s="5"/>
      <c r="AD38" s="5"/>
      <c r="AE38" s="5"/>
      <c r="AY38" s="5"/>
      <c r="AZ38" s="5"/>
      <c r="BA38" s="5"/>
      <c r="BB38" s="5"/>
      <c r="BC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</row>
    <row r="39" spans="1:230" ht="12.75">
      <c r="A39"/>
      <c r="U39" s="5"/>
      <c r="V39" s="5"/>
      <c r="W39" s="5"/>
      <c r="X39" s="5"/>
      <c r="Y39" s="5"/>
      <c r="AA39" s="5"/>
      <c r="AB39" s="5"/>
      <c r="AC39" s="5"/>
      <c r="AD39" s="5"/>
      <c r="AE39" s="5"/>
      <c r="AY39" s="5"/>
      <c r="AZ39" s="5"/>
      <c r="BA39" s="5"/>
      <c r="BB39" s="5"/>
      <c r="BC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</row>
    <row r="40" spans="1:230" ht="12.75">
      <c r="A40"/>
      <c r="U40" s="5"/>
      <c r="V40" s="5"/>
      <c r="W40" s="5"/>
      <c r="X40" s="5"/>
      <c r="Y40" s="5"/>
      <c r="AA40" s="5"/>
      <c r="AB40" s="5"/>
      <c r="AC40" s="5"/>
      <c r="AD40" s="5"/>
      <c r="AE40" s="5"/>
      <c r="AY40" s="5"/>
      <c r="AZ40" s="5"/>
      <c r="BA40" s="5"/>
      <c r="BB40" s="5"/>
      <c r="BC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</row>
    <row r="41" spans="1:230" ht="12.75">
      <c r="A41"/>
      <c r="U41" s="5"/>
      <c r="V41" s="5"/>
      <c r="W41" s="5"/>
      <c r="X41" s="5"/>
      <c r="Y41" s="5"/>
      <c r="AA41" s="5"/>
      <c r="AB41" s="5"/>
      <c r="AC41" s="5"/>
      <c r="AD41" s="5"/>
      <c r="AE41" s="5"/>
      <c r="AY41" s="5"/>
      <c r="AZ41" s="5"/>
      <c r="BA41" s="5"/>
      <c r="BB41" s="5"/>
      <c r="BC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</row>
    <row r="42" spans="1:230" ht="12.75">
      <c r="A42"/>
      <c r="U42" s="5"/>
      <c r="V42" s="5"/>
      <c r="W42" s="5"/>
      <c r="X42" s="5"/>
      <c r="Y42" s="5"/>
      <c r="AA42" s="5"/>
      <c r="AB42" s="5"/>
      <c r="AC42" s="5"/>
      <c r="AD42" s="5"/>
      <c r="AE42" s="5"/>
      <c r="AY42" s="5"/>
      <c r="AZ42" s="5"/>
      <c r="BA42" s="5"/>
      <c r="BB42" s="5"/>
      <c r="BC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</row>
    <row r="43" spans="1:230" ht="12.75">
      <c r="A43"/>
      <c r="U43" s="5"/>
      <c r="V43" s="5"/>
      <c r="W43" s="5"/>
      <c r="X43" s="5"/>
      <c r="Y43" s="5"/>
      <c r="AA43" s="5"/>
      <c r="AB43" s="5"/>
      <c r="AC43" s="5"/>
      <c r="AD43" s="5"/>
      <c r="AE43" s="5"/>
      <c r="AY43" s="5"/>
      <c r="AZ43" s="5"/>
      <c r="BA43" s="5"/>
      <c r="BB43" s="5"/>
      <c r="BC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</row>
    <row r="44" spans="1:230" ht="12.75">
      <c r="A44"/>
      <c r="I44"/>
      <c r="J44"/>
      <c r="K44"/>
      <c r="L44"/>
      <c r="M44"/>
      <c r="U44" s="5"/>
      <c r="V44" s="5"/>
      <c r="W44" s="5"/>
      <c r="X44" s="5"/>
      <c r="Y44" s="5"/>
      <c r="AA44" s="5"/>
      <c r="AB44" s="5"/>
      <c r="AC44" s="5"/>
      <c r="AD44" s="5"/>
      <c r="AE44" s="5"/>
      <c r="AY44" s="5"/>
      <c r="AZ44" s="5"/>
      <c r="BA44" s="5"/>
      <c r="BB44" s="5"/>
      <c r="BC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</row>
    <row r="45" spans="1:230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5"/>
      <c r="V45" s="5"/>
      <c r="W45" s="5"/>
      <c r="X45" s="5"/>
      <c r="Y45" s="5"/>
      <c r="Z45"/>
      <c r="AA45" s="5"/>
      <c r="AB45" s="5"/>
      <c r="AC45" s="5"/>
      <c r="AD45" s="5"/>
      <c r="AE45" s="5"/>
      <c r="AY45" s="5"/>
      <c r="AZ45" s="5"/>
      <c r="BA45" s="5"/>
      <c r="BB45" s="5"/>
      <c r="BC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</row>
    <row r="46" spans="1:230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5"/>
      <c r="V46" s="5"/>
      <c r="W46" s="5"/>
      <c r="X46" s="5"/>
      <c r="Y46" s="5"/>
      <c r="Z46"/>
      <c r="AA46" s="5"/>
      <c r="AB46" s="5"/>
      <c r="AC46" s="5"/>
      <c r="AD46" s="5"/>
      <c r="AE46" s="5"/>
      <c r="AY46" s="5"/>
      <c r="AZ46" s="5"/>
      <c r="BA46" s="5"/>
      <c r="BB46" s="5"/>
      <c r="BC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</row>
    <row r="47" spans="1:230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Z47"/>
      <c r="AA47" s="5"/>
      <c r="AB47" s="5"/>
      <c r="AC47" s="5"/>
      <c r="AD47" s="5"/>
      <c r="AE47" s="5"/>
      <c r="AY47" s="5"/>
      <c r="AZ47" s="5"/>
      <c r="BA47" s="5"/>
      <c r="BB47" s="5"/>
      <c r="BC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</row>
    <row r="48" spans="1:230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Z48"/>
      <c r="AA48" s="5"/>
      <c r="AB48" s="5"/>
      <c r="AC48" s="5"/>
      <c r="AD48" s="5"/>
      <c r="AE48" s="5"/>
      <c r="AY48" s="5"/>
      <c r="AZ48" s="5"/>
      <c r="BA48" s="5"/>
      <c r="BB48" s="5"/>
      <c r="BC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</row>
    <row r="49" spans="1:230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Z49"/>
      <c r="AA49" s="5"/>
      <c r="AB49" s="5"/>
      <c r="AC49" s="5"/>
      <c r="AD49" s="5"/>
      <c r="AE49" s="5"/>
      <c r="AY49" s="5"/>
      <c r="AZ49" s="5"/>
      <c r="BA49" s="5"/>
      <c r="BB49" s="5"/>
      <c r="BC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</row>
    <row r="50" spans="1:230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Z50"/>
      <c r="AA50" s="5"/>
      <c r="AB50" s="5"/>
      <c r="AC50" s="5"/>
      <c r="AD50" s="5"/>
      <c r="AE50" s="5"/>
      <c r="AY50" s="5"/>
      <c r="AZ50" s="5"/>
      <c r="BA50" s="5"/>
      <c r="BB50" s="5"/>
      <c r="BC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</row>
    <row r="51" spans="1:230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Z51"/>
      <c r="AA51" s="5"/>
      <c r="AB51" s="5"/>
      <c r="AC51" s="5"/>
      <c r="AD51" s="5"/>
      <c r="AE51" s="5"/>
      <c r="AY51" s="5"/>
      <c r="AZ51" s="5"/>
      <c r="BA51" s="5"/>
      <c r="BB51" s="5"/>
      <c r="BC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</row>
    <row r="52" spans="1:230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Z52"/>
      <c r="AA52" s="5"/>
      <c r="AB52" s="5"/>
      <c r="AC52" s="5"/>
      <c r="AD52" s="5"/>
      <c r="AE52" s="5"/>
      <c r="AY52" s="5"/>
      <c r="AZ52" s="5"/>
      <c r="BA52" s="5"/>
      <c r="BB52" s="5"/>
      <c r="BC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</row>
    <row r="53" spans="1:230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Z53"/>
      <c r="AA53" s="5"/>
      <c r="AB53" s="5"/>
      <c r="AC53" s="5"/>
      <c r="AD53" s="5"/>
      <c r="AE53" s="5"/>
      <c r="AY53" s="5"/>
      <c r="AZ53" s="5"/>
      <c r="BA53" s="5"/>
      <c r="BB53" s="5"/>
      <c r="BC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</row>
    <row r="54" spans="1:230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Z54"/>
      <c r="AA54" s="5"/>
      <c r="AB54" s="5"/>
      <c r="AC54" s="5"/>
      <c r="AD54" s="5"/>
      <c r="AE54" s="5"/>
      <c r="AY54" s="5"/>
      <c r="AZ54" s="5"/>
      <c r="BA54" s="5"/>
      <c r="BB54" s="5"/>
      <c r="BC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</row>
    <row r="55" spans="1:230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Z55"/>
      <c r="AA55" s="5"/>
      <c r="AB55" s="5"/>
      <c r="AC55" s="5"/>
      <c r="AD55" s="5"/>
      <c r="AE55" s="5"/>
      <c r="AY55" s="5"/>
      <c r="AZ55" s="5"/>
      <c r="BA55" s="5"/>
      <c r="BB55" s="5"/>
      <c r="BC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</row>
    <row r="56" spans="1:230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Z56"/>
      <c r="AA56" s="5"/>
      <c r="AB56" s="5"/>
      <c r="AC56" s="5"/>
      <c r="AD56" s="5"/>
      <c r="AE56" s="5"/>
      <c r="AY56" s="5"/>
      <c r="AZ56" s="5"/>
      <c r="BA56" s="5"/>
      <c r="BB56" s="5"/>
      <c r="BC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</row>
    <row r="57" spans="1:230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Z57"/>
      <c r="AA57" s="5"/>
      <c r="AB57" s="5"/>
      <c r="AC57" s="5"/>
      <c r="AD57" s="5"/>
      <c r="AE57" s="5"/>
      <c r="AY57" s="5"/>
      <c r="AZ57" s="5"/>
      <c r="BA57" s="5"/>
      <c r="BB57" s="5"/>
      <c r="BC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</row>
    <row r="58" spans="1:230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Z58"/>
      <c r="AA58" s="5"/>
      <c r="AB58" s="5"/>
      <c r="AC58" s="5"/>
      <c r="AD58" s="5"/>
      <c r="AE58" s="5"/>
      <c r="AY58" s="5"/>
      <c r="AZ58" s="5"/>
      <c r="BA58" s="5"/>
      <c r="BB58" s="5"/>
      <c r="BC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</row>
    <row r="59" spans="1:230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Z59"/>
      <c r="AA59" s="5"/>
      <c r="AB59" s="5"/>
      <c r="AC59" s="5"/>
      <c r="AD59" s="5"/>
      <c r="AE59" s="5"/>
      <c r="AY59" s="5"/>
      <c r="AZ59" s="5"/>
      <c r="BA59" s="5"/>
      <c r="BB59" s="5"/>
      <c r="BC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</row>
    <row r="60" spans="1:230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Z60"/>
      <c r="AA60" s="5"/>
      <c r="AB60" s="5"/>
      <c r="AC60" s="5"/>
      <c r="AD60" s="5"/>
      <c r="AE60" s="5"/>
      <c r="AY60" s="5"/>
      <c r="AZ60" s="5"/>
      <c r="BA60" s="5"/>
      <c r="BB60" s="5"/>
      <c r="BC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</row>
    <row r="61" spans="1:230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Z61"/>
      <c r="AA61" s="5"/>
      <c r="AB61" s="5"/>
      <c r="AC61" s="5"/>
      <c r="AD61" s="5"/>
      <c r="AE61" s="5"/>
      <c r="AY61" s="5"/>
      <c r="AZ61" s="5"/>
      <c r="BA61" s="5"/>
      <c r="BB61" s="5"/>
      <c r="BC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</row>
    <row r="62" spans="1:230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Z62"/>
      <c r="AA62" s="5"/>
      <c r="AB62" s="5"/>
      <c r="AC62" s="5"/>
      <c r="AD62" s="5"/>
      <c r="AE62" s="5"/>
      <c r="AY62" s="5"/>
      <c r="AZ62" s="5"/>
      <c r="BA62" s="5"/>
      <c r="BB62" s="5"/>
      <c r="BC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</row>
    <row r="63" spans="1:230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Z63"/>
      <c r="AA63" s="5"/>
      <c r="AB63" s="5"/>
      <c r="AC63" s="5"/>
      <c r="AD63" s="5"/>
      <c r="AE63" s="5"/>
      <c r="AY63" s="5"/>
      <c r="AZ63" s="5"/>
      <c r="BA63" s="5"/>
      <c r="BB63" s="5"/>
      <c r="BC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</row>
    <row r="64" spans="1:230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Z64"/>
      <c r="AA64" s="5"/>
      <c r="AB64" s="5"/>
      <c r="AC64" s="5"/>
      <c r="AD64" s="5"/>
      <c r="AE64" s="5"/>
      <c r="AY64" s="5"/>
      <c r="AZ64" s="5"/>
      <c r="BA64" s="5"/>
      <c r="BB64" s="5"/>
      <c r="BC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</row>
    <row r="65" spans="1:230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Z65"/>
      <c r="AA65" s="5"/>
      <c r="AB65" s="5"/>
      <c r="AC65" s="5"/>
      <c r="AD65" s="5"/>
      <c r="AE65" s="5"/>
      <c r="AY65" s="5"/>
      <c r="AZ65" s="5"/>
      <c r="BA65" s="5"/>
      <c r="BB65" s="5"/>
      <c r="BC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</row>
    <row r="66" spans="3:230" ht="12.75"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Z66"/>
      <c r="AA66" s="5"/>
      <c r="AB66" s="5"/>
      <c r="AC66" s="5"/>
      <c r="AD66" s="5"/>
      <c r="AE66" s="5"/>
      <c r="AY66" s="5"/>
      <c r="AZ66" s="5"/>
      <c r="BA66" s="5"/>
      <c r="BB66" s="5"/>
      <c r="BC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</row>
    <row r="67" spans="3:230" ht="12.75"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Z67"/>
      <c r="AA67" s="5"/>
      <c r="AB67" s="5"/>
      <c r="AC67" s="5"/>
      <c r="AD67" s="5"/>
      <c r="AE67" s="5"/>
      <c r="AY67" s="5"/>
      <c r="AZ67" s="5"/>
      <c r="BA67" s="5"/>
      <c r="BB67" s="5"/>
      <c r="BC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</row>
    <row r="68" spans="3:230" ht="12.75"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Z68"/>
      <c r="AA68" s="5"/>
      <c r="AB68" s="5"/>
      <c r="AC68" s="5"/>
      <c r="AD68" s="5"/>
      <c r="AE68" s="5"/>
      <c r="AY68" s="5"/>
      <c r="AZ68" s="5"/>
      <c r="BA68" s="5"/>
      <c r="BB68" s="5"/>
      <c r="BC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</row>
    <row r="69" spans="3:230" ht="12.75">
      <c r="C69"/>
      <c r="D69"/>
      <c r="E69"/>
      <c r="F69"/>
      <c r="G69"/>
      <c r="H69"/>
      <c r="I69"/>
      <c r="J69"/>
      <c r="K69"/>
      <c r="L69"/>
      <c r="M69"/>
      <c r="N69"/>
      <c r="T69"/>
      <c r="U69" s="5"/>
      <c r="V69" s="5"/>
      <c r="W69" s="5"/>
      <c r="X69" s="5"/>
      <c r="Y69" s="5"/>
      <c r="Z69"/>
      <c r="AA69" s="5"/>
      <c r="AB69" s="5"/>
      <c r="AC69" s="5"/>
      <c r="AD69" s="5"/>
      <c r="AE69" s="5"/>
      <c r="AY69" s="5"/>
      <c r="AZ69" s="5"/>
      <c r="BA69" s="5"/>
      <c r="BB69" s="5"/>
      <c r="BC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</row>
    <row r="70" spans="3:230" ht="12.75">
      <c r="C70"/>
      <c r="D70"/>
      <c r="E70"/>
      <c r="F70"/>
      <c r="G70"/>
      <c r="H70"/>
      <c r="I70"/>
      <c r="J70"/>
      <c r="K70"/>
      <c r="L70"/>
      <c r="M70"/>
      <c r="N70"/>
      <c r="T70"/>
      <c r="U70" s="5"/>
      <c r="V70" s="5"/>
      <c r="W70" s="5"/>
      <c r="X70" s="5"/>
      <c r="Y70" s="5"/>
      <c r="Z70"/>
      <c r="AA70" s="5"/>
      <c r="AB70" s="5"/>
      <c r="AC70" s="5"/>
      <c r="AD70" s="5"/>
      <c r="AE70" s="5"/>
      <c r="AY70" s="5"/>
      <c r="AZ70" s="5"/>
      <c r="BA70" s="5"/>
      <c r="BB70" s="5"/>
      <c r="BC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</row>
    <row r="71" spans="3:230" ht="12.75">
      <c r="C71"/>
      <c r="D71"/>
      <c r="E71"/>
      <c r="F71"/>
      <c r="G71"/>
      <c r="H71"/>
      <c r="N71"/>
      <c r="T71"/>
      <c r="U71" s="5"/>
      <c r="V71" s="5"/>
      <c r="W71" s="5"/>
      <c r="X71" s="5"/>
      <c r="Y71" s="5"/>
      <c r="Z71"/>
      <c r="AA71" s="5"/>
      <c r="AB71" s="5"/>
      <c r="AC71" s="5"/>
      <c r="AD71" s="5"/>
      <c r="AE71" s="5"/>
      <c r="AY71" s="5"/>
      <c r="AZ71" s="5"/>
      <c r="BA71" s="5"/>
      <c r="BB71" s="5"/>
      <c r="BC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</row>
    <row r="72" spans="21:230" ht="12.75">
      <c r="U72" s="5"/>
      <c r="V72" s="5"/>
      <c r="W72" s="5"/>
      <c r="X72" s="5"/>
      <c r="Y72" s="5"/>
      <c r="AA72" s="5"/>
      <c r="AB72" s="5"/>
      <c r="AC72" s="5"/>
      <c r="AD72" s="5"/>
      <c r="AE72" s="5"/>
      <c r="AY72" s="5"/>
      <c r="AZ72" s="5"/>
      <c r="BA72" s="5"/>
      <c r="BB72" s="5"/>
      <c r="BC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</row>
    <row r="73" spans="21:230" ht="12.75">
      <c r="U73" s="5"/>
      <c r="V73" s="5"/>
      <c r="W73" s="5"/>
      <c r="X73" s="5"/>
      <c r="Y73" s="5"/>
      <c r="AA73" s="5"/>
      <c r="AB73" s="5"/>
      <c r="AC73" s="5"/>
      <c r="AD73" s="5"/>
      <c r="AE73" s="5"/>
      <c r="AY73" s="5"/>
      <c r="AZ73" s="5"/>
      <c r="BA73" s="5"/>
      <c r="BB73" s="5"/>
      <c r="BC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</row>
    <row r="74" spans="21:230" ht="12.75">
      <c r="U74" s="5"/>
      <c r="V74" s="5"/>
      <c r="W74" s="5"/>
      <c r="X74" s="5"/>
      <c r="Y74" s="5"/>
      <c r="AA74" s="5"/>
      <c r="AB74" s="5"/>
      <c r="AC74" s="5"/>
      <c r="AD74" s="5"/>
      <c r="AE74" s="5"/>
      <c r="AY74" s="5"/>
      <c r="AZ74" s="5"/>
      <c r="BA74" s="5"/>
      <c r="BB74" s="5"/>
      <c r="BC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</row>
    <row r="75" spans="21:230" ht="12.75">
      <c r="U75" s="5"/>
      <c r="V75" s="5"/>
      <c r="W75" s="5"/>
      <c r="X75" s="5"/>
      <c r="Y75" s="5"/>
      <c r="AA75" s="5"/>
      <c r="AB75" s="5"/>
      <c r="AC75" s="5"/>
      <c r="AD75" s="5"/>
      <c r="AE75" s="5"/>
      <c r="AY75" s="5"/>
      <c r="AZ75" s="5"/>
      <c r="BA75" s="5"/>
      <c r="BB75" s="5"/>
      <c r="BC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</row>
    <row r="76" spans="21:230" ht="12.75">
      <c r="U76" s="5"/>
      <c r="V76" s="5"/>
      <c r="W76" s="5"/>
      <c r="X76" s="5"/>
      <c r="Y76" s="5"/>
      <c r="AA76" s="5"/>
      <c r="AB76" s="5"/>
      <c r="AC76" s="5"/>
      <c r="AD76" s="5"/>
      <c r="AE76" s="5"/>
      <c r="AY76" s="5"/>
      <c r="AZ76" s="5"/>
      <c r="BA76" s="5"/>
      <c r="BB76" s="5"/>
      <c r="BC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</row>
    <row r="77" spans="21:230" ht="12.75">
      <c r="U77" s="5"/>
      <c r="V77" s="5"/>
      <c r="W77" s="5"/>
      <c r="X77" s="5"/>
      <c r="Y77" s="5"/>
      <c r="AA77" s="5"/>
      <c r="AB77" s="5"/>
      <c r="AC77" s="5"/>
      <c r="AD77" s="5"/>
      <c r="AE77" s="5"/>
      <c r="AY77" s="5"/>
      <c r="AZ77" s="5"/>
      <c r="BA77" s="5"/>
      <c r="BB77" s="5"/>
      <c r="BC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</row>
    <row r="78" spans="21:230" ht="12.75">
      <c r="U78" s="5"/>
      <c r="V78" s="5"/>
      <c r="W78" s="5"/>
      <c r="X78" s="5"/>
      <c r="Y78" s="5"/>
      <c r="AA78" s="5"/>
      <c r="AB78" s="5"/>
      <c r="AC78" s="5"/>
      <c r="AD78" s="5"/>
      <c r="AE78" s="5"/>
      <c r="AY78" s="5"/>
      <c r="AZ78" s="5"/>
      <c r="BA78" s="5"/>
      <c r="BB78" s="5"/>
      <c r="BC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</row>
    <row r="79" spans="21:230" ht="12.75">
      <c r="U79" s="5"/>
      <c r="V79" s="5"/>
      <c r="W79" s="5"/>
      <c r="X79" s="5"/>
      <c r="Y79" s="5"/>
      <c r="AA79" s="5"/>
      <c r="AB79" s="5"/>
      <c r="AC79" s="5"/>
      <c r="AD79" s="5"/>
      <c r="AE79" s="5"/>
      <c r="AY79" s="5"/>
      <c r="AZ79" s="5"/>
      <c r="BA79" s="5"/>
      <c r="BB79" s="5"/>
      <c r="BC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</row>
    <row r="80" spans="21:230" ht="12.75">
      <c r="U80" s="5"/>
      <c r="V80" s="5"/>
      <c r="W80" s="5"/>
      <c r="X80" s="5"/>
      <c r="Y80" s="5"/>
      <c r="AA80" s="5"/>
      <c r="AB80" s="5"/>
      <c r="AC80" s="5"/>
      <c r="AD80" s="5"/>
      <c r="AE80" s="5"/>
      <c r="AY80" s="5"/>
      <c r="AZ80" s="5"/>
      <c r="BA80" s="5"/>
      <c r="BB80" s="5"/>
      <c r="BC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</row>
    <row r="81" spans="21:230" ht="12.75">
      <c r="U81" s="5"/>
      <c r="V81" s="5"/>
      <c r="W81" s="5"/>
      <c r="X81" s="5"/>
      <c r="Y81" s="5"/>
      <c r="AA81" s="5"/>
      <c r="AB81" s="5"/>
      <c r="AC81" s="5"/>
      <c r="AD81" s="5"/>
      <c r="AE81" s="5"/>
      <c r="AY81" s="5"/>
      <c r="AZ81" s="5"/>
      <c r="BA81" s="5"/>
      <c r="BB81" s="5"/>
      <c r="BC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</row>
    <row r="82" spans="21:230" ht="12.75">
      <c r="U82" s="5"/>
      <c r="V82" s="5"/>
      <c r="W82" s="5"/>
      <c r="X82" s="5"/>
      <c r="Y82" s="5"/>
      <c r="AA82" s="5"/>
      <c r="AB82" s="5"/>
      <c r="AC82" s="5"/>
      <c r="AD82" s="5"/>
      <c r="AE82" s="5"/>
      <c r="AY82" s="5"/>
      <c r="AZ82" s="5"/>
      <c r="BA82" s="5"/>
      <c r="BB82" s="5"/>
      <c r="BC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</row>
    <row r="83" spans="21:230" ht="12.75">
      <c r="U83" s="5"/>
      <c r="V83" s="5"/>
      <c r="W83" s="5"/>
      <c r="X83" s="5"/>
      <c r="Y83" s="5"/>
      <c r="AA83" s="5"/>
      <c r="AB83" s="5"/>
      <c r="AC83" s="5"/>
      <c r="AD83" s="5"/>
      <c r="AE83" s="5"/>
      <c r="AY83" s="5"/>
      <c r="AZ83" s="5"/>
      <c r="BA83" s="5"/>
      <c r="BB83" s="5"/>
      <c r="BC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</row>
    <row r="84" spans="21:230" ht="12.75">
      <c r="U84" s="5"/>
      <c r="V84" s="5"/>
      <c r="W84" s="5"/>
      <c r="X84" s="5"/>
      <c r="Y84" s="5"/>
      <c r="AA84" s="5"/>
      <c r="AB84" s="5"/>
      <c r="AC84" s="5"/>
      <c r="AD84" s="5"/>
      <c r="AE84" s="5"/>
      <c r="AY84" s="5"/>
      <c r="AZ84" s="5"/>
      <c r="BA84" s="5"/>
      <c r="BB84" s="5"/>
      <c r="BC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</row>
    <row r="85" spans="21:230" ht="12.75">
      <c r="U85" s="5"/>
      <c r="V85" s="5"/>
      <c r="W85" s="5"/>
      <c r="X85" s="5"/>
      <c r="Y85" s="5"/>
      <c r="AA85" s="5"/>
      <c r="AB85" s="5"/>
      <c r="AC85" s="5"/>
      <c r="AD85" s="5"/>
      <c r="AE85" s="5"/>
      <c r="AY85" s="5"/>
      <c r="AZ85" s="5"/>
      <c r="BA85" s="5"/>
      <c r="BB85" s="5"/>
      <c r="BC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</row>
    <row r="86" spans="21:230" ht="12.75">
      <c r="U86" s="5"/>
      <c r="V86" s="5"/>
      <c r="W86" s="5"/>
      <c r="X86" s="5"/>
      <c r="Y86" s="5"/>
      <c r="AA86" s="5"/>
      <c r="AB86" s="5"/>
      <c r="AC86" s="5"/>
      <c r="AD86" s="5"/>
      <c r="AE86" s="5"/>
      <c r="AY86" s="5"/>
      <c r="AZ86" s="5"/>
      <c r="BA86" s="5"/>
      <c r="BB86" s="5"/>
      <c r="BC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</row>
    <row r="87" spans="21:230" ht="12.75">
      <c r="U87" s="5"/>
      <c r="V87" s="5"/>
      <c r="W87" s="5"/>
      <c r="X87" s="5"/>
      <c r="Y87" s="5"/>
      <c r="AA87" s="5"/>
      <c r="AB87" s="5"/>
      <c r="AC87" s="5"/>
      <c r="AD87" s="5"/>
      <c r="AE87" s="5"/>
      <c r="AY87" s="5"/>
      <c r="AZ87" s="5"/>
      <c r="BA87" s="5"/>
      <c r="BB87" s="5"/>
      <c r="BC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</row>
    <row r="88" spans="21:230" ht="12.75">
      <c r="U88" s="5"/>
      <c r="V88" s="5"/>
      <c r="W88" s="5"/>
      <c r="X88" s="5"/>
      <c r="Y88" s="5"/>
      <c r="AA88" s="5"/>
      <c r="AB88" s="5"/>
      <c r="AC88" s="5"/>
      <c r="AD88" s="5"/>
      <c r="AE88" s="5"/>
      <c r="AY88" s="5"/>
      <c r="AZ88" s="5"/>
      <c r="BA88" s="5"/>
      <c r="BB88" s="5"/>
      <c r="BC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</row>
    <row r="89" spans="21:230" ht="12.75">
      <c r="U89" s="5"/>
      <c r="V89" s="5"/>
      <c r="W89" s="5"/>
      <c r="X89" s="5"/>
      <c r="Y89" s="5"/>
      <c r="AA89" s="5"/>
      <c r="AB89" s="5"/>
      <c r="AC89" s="5"/>
      <c r="AD89" s="5"/>
      <c r="AE89" s="5"/>
      <c r="AY89" s="5"/>
      <c r="AZ89" s="5"/>
      <c r="BA89" s="5"/>
      <c r="BB89" s="5"/>
      <c r="BC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</row>
    <row r="90" spans="21:230" ht="12.75">
      <c r="U90" s="5"/>
      <c r="V90" s="5"/>
      <c r="W90" s="5"/>
      <c r="X90" s="5"/>
      <c r="Y90" s="5"/>
      <c r="AA90" s="5"/>
      <c r="AB90" s="5"/>
      <c r="AC90" s="5"/>
      <c r="AD90" s="5"/>
      <c r="AE90" s="5"/>
      <c r="AY90" s="5"/>
      <c r="AZ90" s="5"/>
      <c r="BA90" s="5"/>
      <c r="BB90" s="5"/>
      <c r="BC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</row>
    <row r="91" spans="21:230" ht="12.75">
      <c r="U91" s="5"/>
      <c r="V91" s="5"/>
      <c r="W91" s="5"/>
      <c r="X91" s="5"/>
      <c r="Y91" s="5"/>
      <c r="AA91" s="5"/>
      <c r="AB91" s="5"/>
      <c r="AC91" s="5"/>
      <c r="AD91" s="5"/>
      <c r="AE91" s="5"/>
      <c r="AY91" s="5"/>
      <c r="AZ91" s="5"/>
      <c r="BA91" s="5"/>
      <c r="BB91" s="5"/>
      <c r="BC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</row>
    <row r="92" spans="21:230" ht="12.75">
      <c r="U92" s="5"/>
      <c r="V92" s="5"/>
      <c r="W92" s="5"/>
      <c r="X92" s="5"/>
      <c r="Y92" s="5"/>
      <c r="AA92" s="5"/>
      <c r="AB92" s="5"/>
      <c r="AC92" s="5"/>
      <c r="AD92" s="5"/>
      <c r="AE92" s="5"/>
      <c r="AY92" s="5"/>
      <c r="AZ92" s="5"/>
      <c r="BA92" s="5"/>
      <c r="BB92" s="5"/>
      <c r="BC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</row>
    <row r="93" spans="21:230" ht="12.75">
      <c r="U93" s="5"/>
      <c r="V93" s="5"/>
      <c r="W93" s="5"/>
      <c r="X93" s="5"/>
      <c r="Y93" s="5"/>
      <c r="AA93" s="5"/>
      <c r="AB93" s="5"/>
      <c r="AC93" s="5"/>
      <c r="AD93" s="5"/>
      <c r="AE93" s="5"/>
      <c r="AY93" s="5"/>
      <c r="AZ93" s="5"/>
      <c r="BA93" s="5"/>
      <c r="BB93" s="5"/>
      <c r="BC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</row>
    <row r="94" spans="21:230" ht="12.75">
      <c r="U94" s="5"/>
      <c r="V94" s="5"/>
      <c r="W94" s="5"/>
      <c r="X94" s="5"/>
      <c r="Y94" s="5"/>
      <c r="AA94" s="5"/>
      <c r="AB94" s="5"/>
      <c r="AC94" s="5"/>
      <c r="AD94" s="5"/>
      <c r="AE94" s="5"/>
      <c r="AY94" s="5"/>
      <c r="AZ94" s="5"/>
      <c r="BA94" s="5"/>
      <c r="BB94" s="5"/>
      <c r="BC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</row>
    <row r="95" spans="21:230" ht="12.75">
      <c r="U95" s="5"/>
      <c r="V95" s="5"/>
      <c r="W95" s="5"/>
      <c r="X95" s="5"/>
      <c r="Y95" s="5"/>
      <c r="AA95" s="5"/>
      <c r="AB95" s="5"/>
      <c r="AC95" s="5"/>
      <c r="AD95" s="5"/>
      <c r="AE95" s="5"/>
      <c r="AY95" s="5"/>
      <c r="AZ95" s="5"/>
      <c r="BA95" s="5"/>
      <c r="BB95" s="5"/>
      <c r="BC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</row>
    <row r="96" spans="21:230" ht="12.75">
      <c r="U96" s="5"/>
      <c r="V96" s="5"/>
      <c r="W96" s="5"/>
      <c r="X96" s="5"/>
      <c r="Y96" s="5"/>
      <c r="AA96" s="5"/>
      <c r="AB96" s="5"/>
      <c r="AC96" s="5"/>
      <c r="AD96" s="5"/>
      <c r="AE96" s="5"/>
      <c r="AY96" s="5"/>
      <c r="AZ96" s="5"/>
      <c r="BA96" s="5"/>
      <c r="BB96" s="5"/>
      <c r="BC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</row>
    <row r="97" spans="21:230" ht="12.75">
      <c r="U97" s="5"/>
      <c r="V97" s="5"/>
      <c r="W97" s="5"/>
      <c r="X97" s="5"/>
      <c r="Y97" s="5"/>
      <c r="AA97" s="5"/>
      <c r="AB97" s="5"/>
      <c r="AC97" s="5"/>
      <c r="AD97" s="5"/>
      <c r="AE97" s="5"/>
      <c r="AY97" s="5"/>
      <c r="AZ97" s="5"/>
      <c r="BA97" s="5"/>
      <c r="BB97" s="5"/>
      <c r="BC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</row>
    <row r="98" spans="21:230" ht="12.75">
      <c r="U98" s="5"/>
      <c r="V98" s="5"/>
      <c r="W98" s="5"/>
      <c r="X98" s="5"/>
      <c r="Y98" s="5"/>
      <c r="AA98" s="5"/>
      <c r="AB98" s="5"/>
      <c r="AC98" s="5"/>
      <c r="AD98" s="5"/>
      <c r="AE98" s="5"/>
      <c r="AY98" s="5"/>
      <c r="AZ98" s="5"/>
      <c r="BA98" s="5"/>
      <c r="BB98" s="5"/>
      <c r="BC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</row>
    <row r="99" spans="21:230" ht="12.75">
      <c r="U99" s="5"/>
      <c r="V99" s="5"/>
      <c r="W99" s="5"/>
      <c r="X99" s="5"/>
      <c r="Y99" s="5"/>
      <c r="AA99" s="5"/>
      <c r="AB99" s="5"/>
      <c r="AC99" s="5"/>
      <c r="AD99" s="5"/>
      <c r="AE99" s="5"/>
      <c r="AY99" s="5"/>
      <c r="AZ99" s="5"/>
      <c r="BA99" s="5"/>
      <c r="BB99" s="5"/>
      <c r="BC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</row>
    <row r="100" spans="21:230" ht="12.75">
      <c r="U100" s="5"/>
      <c r="V100" s="5"/>
      <c r="W100" s="5"/>
      <c r="X100" s="5"/>
      <c r="Y100" s="5"/>
      <c r="AA100" s="5"/>
      <c r="AB100" s="5"/>
      <c r="AC100" s="5"/>
      <c r="AD100" s="5"/>
      <c r="AE100" s="5"/>
      <c r="AY100" s="5"/>
      <c r="AZ100" s="5"/>
      <c r="BA100" s="5"/>
      <c r="BB100" s="5"/>
      <c r="BC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</row>
    <row r="101" spans="21:230" ht="12.75">
      <c r="U101" s="5"/>
      <c r="V101" s="5"/>
      <c r="W101" s="5"/>
      <c r="X101" s="5"/>
      <c r="Y101" s="5"/>
      <c r="AA101" s="5"/>
      <c r="AB101" s="5"/>
      <c r="AC101" s="5"/>
      <c r="AD101" s="5"/>
      <c r="AE101" s="5"/>
      <c r="AY101" s="5"/>
      <c r="AZ101" s="5"/>
      <c r="BA101" s="5"/>
      <c r="BB101" s="5"/>
      <c r="BC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</row>
    <row r="102" spans="21:230" ht="12.75">
      <c r="U102" s="5"/>
      <c r="V102" s="5"/>
      <c r="W102" s="5"/>
      <c r="X102" s="5"/>
      <c r="Y102" s="5"/>
      <c r="AA102" s="5"/>
      <c r="AB102" s="5"/>
      <c r="AC102" s="5"/>
      <c r="AD102" s="5"/>
      <c r="AE102" s="5"/>
      <c r="AY102" s="5"/>
      <c r="AZ102" s="5"/>
      <c r="BA102" s="5"/>
      <c r="BB102" s="5"/>
      <c r="BC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</row>
    <row r="103" spans="21:230" ht="12.75">
      <c r="U103" s="5"/>
      <c r="V103" s="5"/>
      <c r="W103" s="5"/>
      <c r="X103" s="5"/>
      <c r="Y103" s="5"/>
      <c r="AA103" s="5"/>
      <c r="AB103" s="5"/>
      <c r="AC103" s="5"/>
      <c r="AD103" s="5"/>
      <c r="AE103" s="5"/>
      <c r="AY103" s="5"/>
      <c r="AZ103" s="5"/>
      <c r="BA103" s="5"/>
      <c r="BB103" s="5"/>
      <c r="BC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</row>
    <row r="104" spans="21:230" ht="12.75">
      <c r="U104" s="5"/>
      <c r="V104" s="5"/>
      <c r="W104" s="5"/>
      <c r="X104" s="5"/>
      <c r="Y104" s="5"/>
      <c r="AA104" s="5"/>
      <c r="AB104" s="5"/>
      <c r="AC104" s="5"/>
      <c r="AD104" s="5"/>
      <c r="AE104" s="5"/>
      <c r="AY104" s="5"/>
      <c r="AZ104" s="5"/>
      <c r="BA104" s="5"/>
      <c r="BB104" s="5"/>
      <c r="BC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</row>
    <row r="105" spans="21:230" ht="12.75">
      <c r="U105" s="5"/>
      <c r="V105" s="5"/>
      <c r="W105" s="5"/>
      <c r="X105" s="5"/>
      <c r="Y105" s="5"/>
      <c r="AA105" s="5"/>
      <c r="AB105" s="5"/>
      <c r="AC105" s="5"/>
      <c r="AD105" s="5"/>
      <c r="AE105" s="5"/>
      <c r="AY105" s="5"/>
      <c r="AZ105" s="5"/>
      <c r="BA105" s="5"/>
      <c r="BB105" s="5"/>
      <c r="BC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</row>
    <row r="106" spans="21:230" ht="12.75">
      <c r="U106" s="5"/>
      <c r="V106" s="5"/>
      <c r="W106" s="5"/>
      <c r="X106" s="5"/>
      <c r="Y106" s="5"/>
      <c r="AA106" s="5"/>
      <c r="AB106" s="5"/>
      <c r="AC106" s="5"/>
      <c r="AD106" s="5"/>
      <c r="AE106" s="5"/>
      <c r="AY106" s="5"/>
      <c r="AZ106" s="5"/>
      <c r="BA106" s="5"/>
      <c r="BB106" s="5"/>
      <c r="BC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</row>
    <row r="107" spans="21:230" ht="12.75">
      <c r="U107" s="5"/>
      <c r="V107" s="5"/>
      <c r="W107" s="5"/>
      <c r="X107" s="5"/>
      <c r="Y107" s="5"/>
      <c r="AA107" s="5"/>
      <c r="AB107" s="5"/>
      <c r="AC107" s="5"/>
      <c r="AD107" s="5"/>
      <c r="AE107" s="5"/>
      <c r="AY107" s="5"/>
      <c r="AZ107" s="5"/>
      <c r="BA107" s="5"/>
      <c r="BB107" s="5"/>
      <c r="BC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</row>
    <row r="108" spans="21:230" ht="12.75">
      <c r="U108" s="5"/>
      <c r="V108" s="5"/>
      <c r="W108" s="5"/>
      <c r="X108" s="5"/>
      <c r="Y108" s="5"/>
      <c r="AA108" s="5"/>
      <c r="AB108" s="5"/>
      <c r="AC108" s="5"/>
      <c r="AD108" s="5"/>
      <c r="AE108" s="5"/>
      <c r="AY108" s="5"/>
      <c r="AZ108" s="5"/>
      <c r="BA108" s="5"/>
      <c r="BB108" s="5"/>
      <c r="BC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</row>
    <row r="109" spans="21:230" ht="12.75">
      <c r="U109" s="5"/>
      <c r="V109" s="5"/>
      <c r="W109" s="5"/>
      <c r="X109" s="5"/>
      <c r="Y109" s="5"/>
      <c r="AA109" s="5"/>
      <c r="AB109" s="5"/>
      <c r="AC109" s="5"/>
      <c r="AD109" s="5"/>
      <c r="AE109" s="5"/>
      <c r="AY109" s="5"/>
      <c r="AZ109" s="5"/>
      <c r="BA109" s="5"/>
      <c r="BB109" s="5"/>
      <c r="BC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</row>
    <row r="110" spans="21:230" ht="12.75">
      <c r="U110" s="5"/>
      <c r="V110" s="5"/>
      <c r="W110" s="5"/>
      <c r="X110" s="5"/>
      <c r="Y110" s="5"/>
      <c r="AA110" s="5"/>
      <c r="AB110" s="5"/>
      <c r="AC110" s="5"/>
      <c r="AD110" s="5"/>
      <c r="AE110" s="5"/>
      <c r="AY110" s="5"/>
      <c r="AZ110" s="5"/>
      <c r="BA110" s="5"/>
      <c r="BB110" s="5"/>
      <c r="BC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</row>
    <row r="111" spans="21:230" ht="12.75"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Y111" s="5"/>
      <c r="AZ111" s="5"/>
      <c r="BA111" s="5"/>
      <c r="BB111" s="5"/>
      <c r="BC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</row>
    <row r="112" spans="21:230" ht="12.75">
      <c r="U112" s="5"/>
      <c r="V112" s="5"/>
      <c r="W112" s="5"/>
      <c r="X112" s="5"/>
      <c r="Y112" s="5"/>
      <c r="AA112" s="5"/>
      <c r="AB112" s="5"/>
      <c r="AC112" s="5"/>
      <c r="AD112" s="5"/>
      <c r="AE112" s="5"/>
      <c r="AY112" s="5"/>
      <c r="AZ112" s="5"/>
      <c r="BA112" s="5"/>
      <c r="BB112" s="5"/>
      <c r="BC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</row>
    <row r="113" spans="21:230" ht="12.75">
      <c r="U113" s="5"/>
      <c r="V113" s="5"/>
      <c r="W113" s="5"/>
      <c r="X113" s="5"/>
      <c r="Y113" s="5"/>
      <c r="AA113" s="5"/>
      <c r="AB113" s="5"/>
      <c r="AC113" s="5"/>
      <c r="AD113" s="5"/>
      <c r="AE113" s="5"/>
      <c r="AY113" s="5"/>
      <c r="AZ113" s="5"/>
      <c r="BA113" s="5"/>
      <c r="BB113" s="5"/>
      <c r="BC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</row>
    <row r="114" spans="21:230" ht="12.75">
      <c r="U114" s="5"/>
      <c r="V114" s="5"/>
      <c r="W114" s="5"/>
      <c r="X114" s="5"/>
      <c r="Y114" s="5"/>
      <c r="AA114" s="5"/>
      <c r="AB114" s="5"/>
      <c r="AC114" s="5"/>
      <c r="AD114" s="5"/>
      <c r="AE114" s="5"/>
      <c r="AY114" s="5"/>
      <c r="AZ114" s="5"/>
      <c r="BA114" s="5"/>
      <c r="BB114" s="5"/>
      <c r="BC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</row>
    <row r="115" spans="21:230" ht="12.75">
      <c r="U115" s="5"/>
      <c r="V115" s="5"/>
      <c r="W115" s="5"/>
      <c r="X115" s="5"/>
      <c r="Y115" s="5"/>
      <c r="AA115" s="5"/>
      <c r="AB115" s="5"/>
      <c r="AC115" s="5"/>
      <c r="AD115" s="5"/>
      <c r="AE115" s="5"/>
      <c r="AY115" s="5"/>
      <c r="AZ115" s="5"/>
      <c r="BA115" s="5"/>
      <c r="BB115" s="5"/>
      <c r="BC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</row>
    <row r="116" spans="21:230" ht="12.75">
      <c r="U116" s="5"/>
      <c r="V116" s="5"/>
      <c r="W116" s="5"/>
      <c r="X116" s="5"/>
      <c r="Y116" s="5"/>
      <c r="AA116" s="5"/>
      <c r="AB116" s="5"/>
      <c r="AC116" s="5"/>
      <c r="AD116" s="5"/>
      <c r="AE116" s="5"/>
      <c r="AY116" s="5"/>
      <c r="AZ116" s="5"/>
      <c r="BA116" s="5"/>
      <c r="BB116" s="5"/>
      <c r="BC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</row>
    <row r="117" spans="21:230" ht="12.75">
      <c r="U117" s="5"/>
      <c r="V117" s="5"/>
      <c r="W117" s="5"/>
      <c r="X117" s="5"/>
      <c r="Y117" s="5"/>
      <c r="AA117" s="5"/>
      <c r="AB117" s="5"/>
      <c r="AC117" s="5"/>
      <c r="AD117" s="5"/>
      <c r="AE117" s="5"/>
      <c r="AY117" s="5"/>
      <c r="AZ117" s="5"/>
      <c r="BA117" s="5"/>
      <c r="BB117" s="5"/>
      <c r="BC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</row>
    <row r="118" spans="21:230" ht="12.75">
      <c r="U118" s="5"/>
      <c r="V118" s="5"/>
      <c r="W118" s="5"/>
      <c r="X118" s="5"/>
      <c r="Y118" s="5"/>
      <c r="AA118" s="5"/>
      <c r="AB118" s="5"/>
      <c r="AC118" s="5"/>
      <c r="AD118" s="5"/>
      <c r="AE118" s="5"/>
      <c r="AY118" s="5"/>
      <c r="AZ118" s="5"/>
      <c r="BA118" s="5"/>
      <c r="BB118" s="5"/>
      <c r="BC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</row>
    <row r="119" spans="21:230" ht="12.75">
      <c r="U119" s="5"/>
      <c r="V119" s="5"/>
      <c r="W119" s="5"/>
      <c r="X119" s="5"/>
      <c r="Y119" s="5"/>
      <c r="AA119" s="5"/>
      <c r="AB119" s="5"/>
      <c r="AC119" s="5"/>
      <c r="AD119" s="5"/>
      <c r="AE119" s="5"/>
      <c r="AY119" s="5"/>
      <c r="AZ119" s="5"/>
      <c r="BA119" s="5"/>
      <c r="BB119" s="5"/>
      <c r="BC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</row>
    <row r="120" spans="21:230" ht="12.75">
      <c r="U120" s="5"/>
      <c r="V120" s="5"/>
      <c r="W120" s="5"/>
      <c r="X120" s="5"/>
      <c r="Y120" s="5"/>
      <c r="AA120" s="5"/>
      <c r="AB120" s="5"/>
      <c r="AC120" s="5"/>
      <c r="AD120" s="5"/>
      <c r="AE120" s="5"/>
      <c r="AY120" s="5"/>
      <c r="AZ120" s="5"/>
      <c r="BA120" s="5"/>
      <c r="BB120" s="5"/>
      <c r="BC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</row>
    <row r="121" spans="21:230" ht="12.75">
      <c r="U121" s="5"/>
      <c r="V121" s="5"/>
      <c r="W121" s="5"/>
      <c r="X121" s="5"/>
      <c r="Y121" s="5"/>
      <c r="AA121" s="5"/>
      <c r="AB121" s="5"/>
      <c r="AC121" s="5"/>
      <c r="AD121" s="5"/>
      <c r="AE121" s="5"/>
      <c r="AY121" s="5"/>
      <c r="AZ121" s="5"/>
      <c r="BA121" s="5"/>
      <c r="BB121" s="5"/>
      <c r="BC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</row>
    <row r="122" spans="21:230" ht="12.75">
      <c r="U122" s="5"/>
      <c r="V122" s="5"/>
      <c r="W122" s="5"/>
      <c r="X122" s="5"/>
      <c r="Y122" s="5"/>
      <c r="AA122" s="5"/>
      <c r="AB122" s="5"/>
      <c r="AC122" s="5"/>
      <c r="AD122" s="5"/>
      <c r="AE122" s="5"/>
      <c r="AY122" s="5"/>
      <c r="AZ122" s="5"/>
      <c r="BA122" s="5"/>
      <c r="BB122" s="5"/>
      <c r="BC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</row>
    <row r="123" spans="21:230" ht="12.75">
      <c r="U123" s="5"/>
      <c r="V123" s="5"/>
      <c r="W123" s="5"/>
      <c r="X123" s="5"/>
      <c r="Y123" s="5"/>
      <c r="AA123" s="5"/>
      <c r="AB123" s="5"/>
      <c r="AC123" s="5"/>
      <c r="AD123" s="5"/>
      <c r="AE123" s="5"/>
      <c r="AY123" s="5"/>
      <c r="AZ123" s="5"/>
      <c r="BA123" s="5"/>
      <c r="BB123" s="5"/>
      <c r="BC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</row>
    <row r="124" spans="21:230" ht="12.75">
      <c r="U124" s="5"/>
      <c r="V124" s="5"/>
      <c r="W124" s="5"/>
      <c r="X124" s="5"/>
      <c r="Y124" s="5"/>
      <c r="AA124" s="5"/>
      <c r="AB124" s="5"/>
      <c r="AC124" s="5"/>
      <c r="AD124" s="5"/>
      <c r="AE124" s="5"/>
      <c r="AY124" s="5"/>
      <c r="AZ124" s="5"/>
      <c r="BA124" s="5"/>
      <c r="BB124" s="5"/>
      <c r="BC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</row>
    <row r="125" spans="21:230" ht="12.75">
      <c r="U125" s="5"/>
      <c r="V125" s="5"/>
      <c r="W125" s="5"/>
      <c r="X125" s="5"/>
      <c r="Y125" s="5"/>
      <c r="AA125" s="5"/>
      <c r="AB125" s="5"/>
      <c r="AC125" s="5"/>
      <c r="AD125" s="5"/>
      <c r="AE125" s="5"/>
      <c r="AY125" s="5"/>
      <c r="AZ125" s="5"/>
      <c r="BA125" s="5"/>
      <c r="BB125" s="5"/>
      <c r="BC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</row>
    <row r="126" spans="21:230" ht="12.75">
      <c r="U126" s="5"/>
      <c r="V126" s="5"/>
      <c r="W126" s="5"/>
      <c r="X126" s="5"/>
      <c r="Y126" s="5"/>
      <c r="AA126" s="5"/>
      <c r="AB126" s="5"/>
      <c r="AC126" s="5"/>
      <c r="AD126" s="5"/>
      <c r="AE126" s="5"/>
      <c r="AY126" s="5"/>
      <c r="AZ126" s="5"/>
      <c r="BA126" s="5"/>
      <c r="BB126" s="5"/>
      <c r="BC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</row>
    <row r="127" spans="21:230" ht="12.75">
      <c r="U127" s="5"/>
      <c r="V127" s="5"/>
      <c r="W127" s="5"/>
      <c r="X127" s="5"/>
      <c r="Y127" s="5"/>
      <c r="AA127" s="5"/>
      <c r="AB127" s="5"/>
      <c r="AC127" s="5"/>
      <c r="AD127" s="5"/>
      <c r="AE127" s="5"/>
      <c r="AY127" s="5"/>
      <c r="AZ127" s="5"/>
      <c r="BA127" s="5"/>
      <c r="BB127" s="5"/>
      <c r="BC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</row>
    <row r="128" spans="21:230" ht="12.75">
      <c r="U128" s="5"/>
      <c r="V128" s="5"/>
      <c r="W128" s="5"/>
      <c r="X128" s="5"/>
      <c r="Y128" s="5"/>
      <c r="AA128" s="5"/>
      <c r="AB128" s="5"/>
      <c r="AC128" s="5"/>
      <c r="AD128" s="5"/>
      <c r="AE128" s="5"/>
      <c r="AY128" s="5"/>
      <c r="AZ128" s="5"/>
      <c r="BA128" s="5"/>
      <c r="BB128" s="5"/>
      <c r="BC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</row>
    <row r="129" spans="21:230" ht="12.75">
      <c r="U129" s="5"/>
      <c r="V129" s="5"/>
      <c r="W129" s="5"/>
      <c r="X129" s="5"/>
      <c r="Y129" s="5"/>
      <c r="AA129" s="5"/>
      <c r="AB129" s="5"/>
      <c r="AC129" s="5"/>
      <c r="AD129" s="5"/>
      <c r="AE129" s="5"/>
      <c r="AY129" s="5"/>
      <c r="AZ129" s="5"/>
      <c r="BA129" s="5"/>
      <c r="BB129" s="5"/>
      <c r="BC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</row>
    <row r="130" spans="21:230" ht="12.75">
      <c r="U130" s="5"/>
      <c r="V130" s="5"/>
      <c r="W130" s="5"/>
      <c r="X130" s="5"/>
      <c r="Y130" s="5"/>
      <c r="AA130" s="5"/>
      <c r="AB130" s="5"/>
      <c r="AC130" s="5"/>
      <c r="AD130" s="5"/>
      <c r="AE130" s="5"/>
      <c r="AY130" s="5"/>
      <c r="AZ130" s="5"/>
      <c r="BA130" s="5"/>
      <c r="BB130" s="5"/>
      <c r="BC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</row>
    <row r="131" spans="21:230" ht="12.75">
      <c r="U131" s="5"/>
      <c r="V131" s="5"/>
      <c r="W131" s="5"/>
      <c r="X131" s="5"/>
      <c r="Y131" s="5"/>
      <c r="AA131" s="5"/>
      <c r="AB131" s="5"/>
      <c r="AC131" s="5"/>
      <c r="AD131" s="5"/>
      <c r="AE131" s="5"/>
      <c r="AY131" s="5"/>
      <c r="AZ131" s="5"/>
      <c r="BA131" s="5"/>
      <c r="BB131" s="5"/>
      <c r="BC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</row>
    <row r="132" spans="21:230" ht="12.75">
      <c r="U132" s="5"/>
      <c r="V132" s="5"/>
      <c r="W132" s="5"/>
      <c r="X132" s="5"/>
      <c r="Y132" s="5"/>
      <c r="AA132" s="5"/>
      <c r="AB132" s="5"/>
      <c r="AC132" s="5"/>
      <c r="AD132" s="5"/>
      <c r="AE132" s="5"/>
      <c r="AY132" s="5"/>
      <c r="AZ132" s="5"/>
      <c r="BA132" s="5"/>
      <c r="BB132" s="5"/>
      <c r="BC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</row>
    <row r="133" spans="21:230" ht="12.75">
      <c r="U133" s="5"/>
      <c r="V133" s="5"/>
      <c r="W133" s="5"/>
      <c r="X133" s="5"/>
      <c r="Y133" s="5"/>
      <c r="AA133" s="5"/>
      <c r="AB133" s="5"/>
      <c r="AC133" s="5"/>
      <c r="AD133" s="5"/>
      <c r="AE133" s="5"/>
      <c r="AY133" s="5"/>
      <c r="AZ133" s="5"/>
      <c r="BA133" s="5"/>
      <c r="BB133" s="5"/>
      <c r="BC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</row>
    <row r="134" spans="21:230" ht="12.75">
      <c r="U134" s="5"/>
      <c r="V134" s="5"/>
      <c r="W134" s="5"/>
      <c r="X134" s="5"/>
      <c r="Y134" s="5"/>
      <c r="AA134" s="5"/>
      <c r="AB134" s="5"/>
      <c r="AC134" s="5"/>
      <c r="AD134" s="5"/>
      <c r="AE134" s="5"/>
      <c r="AY134" s="5"/>
      <c r="AZ134" s="5"/>
      <c r="BA134" s="5"/>
      <c r="BB134" s="5"/>
      <c r="BC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</row>
    <row r="135" spans="21:230" ht="12.75">
      <c r="U135" s="5"/>
      <c r="V135" s="5"/>
      <c r="W135" s="5"/>
      <c r="X135" s="5"/>
      <c r="Y135" s="5"/>
      <c r="AA135" s="5"/>
      <c r="AB135" s="5"/>
      <c r="AC135" s="5"/>
      <c r="AD135" s="5"/>
      <c r="AE135" s="5"/>
      <c r="AY135" s="5"/>
      <c r="AZ135" s="5"/>
      <c r="BA135" s="5"/>
      <c r="BB135" s="5"/>
      <c r="BC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</row>
    <row r="136" spans="21:230" ht="12.75">
      <c r="U136" s="5"/>
      <c r="V136" s="5"/>
      <c r="W136" s="5"/>
      <c r="X136" s="5"/>
      <c r="Y136" s="5"/>
      <c r="AA136" s="5"/>
      <c r="AB136" s="5"/>
      <c r="AC136" s="5"/>
      <c r="AD136" s="5"/>
      <c r="AE136" s="5"/>
      <c r="AY136" s="5"/>
      <c r="AZ136" s="5"/>
      <c r="BA136" s="5"/>
      <c r="BB136" s="5"/>
      <c r="BC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</row>
    <row r="137" spans="21:230" ht="12.75">
      <c r="U137" s="5"/>
      <c r="V137" s="5"/>
      <c r="W137" s="5"/>
      <c r="X137" s="5"/>
      <c r="Y137" s="5"/>
      <c r="AA137" s="5"/>
      <c r="AB137" s="5"/>
      <c r="AC137" s="5"/>
      <c r="AD137" s="5"/>
      <c r="AE137" s="5"/>
      <c r="AY137" s="5"/>
      <c r="AZ137" s="5"/>
      <c r="BA137" s="5"/>
      <c r="BB137" s="5"/>
      <c r="BC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</row>
    <row r="138" spans="21:230" ht="12.75">
      <c r="U138" s="5"/>
      <c r="V138" s="5"/>
      <c r="W138" s="5"/>
      <c r="X138" s="5"/>
      <c r="Y138" s="5"/>
      <c r="AA138" s="5"/>
      <c r="AB138" s="5"/>
      <c r="AC138" s="5"/>
      <c r="AD138" s="5"/>
      <c r="AE138" s="5"/>
      <c r="AY138" s="5"/>
      <c r="AZ138" s="5"/>
      <c r="BA138" s="5"/>
      <c r="BB138" s="5"/>
      <c r="BC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</row>
    <row r="139" spans="21:230" ht="12.75">
      <c r="U139" s="5"/>
      <c r="V139" s="5"/>
      <c r="W139" s="5"/>
      <c r="X139" s="5"/>
      <c r="Y139" s="5"/>
      <c r="AA139" s="5"/>
      <c r="AB139" s="5"/>
      <c r="AC139" s="5"/>
      <c r="AD139" s="5"/>
      <c r="AE139" s="5"/>
      <c r="AY139" s="5"/>
      <c r="AZ139" s="5"/>
      <c r="BA139" s="5"/>
      <c r="BB139" s="5"/>
      <c r="BC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</row>
    <row r="140" spans="21:230" ht="12.75">
      <c r="U140" s="5"/>
      <c r="V140" s="5"/>
      <c r="W140" s="5"/>
      <c r="X140" s="5"/>
      <c r="Y140" s="5"/>
      <c r="AA140" s="5"/>
      <c r="AB140" s="5"/>
      <c r="AC140" s="5"/>
      <c r="AD140" s="5"/>
      <c r="AE140" s="5"/>
      <c r="AY140" s="5"/>
      <c r="AZ140" s="5"/>
      <c r="BA140" s="5"/>
      <c r="BB140" s="5"/>
      <c r="BC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</row>
    <row r="141" spans="21:230" ht="12.75">
      <c r="U141" s="5"/>
      <c r="V141" s="5"/>
      <c r="W141" s="5"/>
      <c r="X141" s="5"/>
      <c r="Y141" s="5"/>
      <c r="AA141" s="5"/>
      <c r="AB141" s="5"/>
      <c r="AC141" s="5"/>
      <c r="AD141" s="5"/>
      <c r="AE141" s="5"/>
      <c r="AY141" s="5"/>
      <c r="AZ141" s="5"/>
      <c r="BA141" s="5"/>
      <c r="BB141" s="5"/>
      <c r="BC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</row>
    <row r="142" spans="21:230" ht="12.75">
      <c r="U142" s="5"/>
      <c r="V142" s="5"/>
      <c r="W142" s="5"/>
      <c r="X142" s="5"/>
      <c r="Y142" s="5"/>
      <c r="AA142" s="5"/>
      <c r="AB142" s="5"/>
      <c r="AC142" s="5"/>
      <c r="AD142" s="5"/>
      <c r="AE142" s="5"/>
      <c r="AY142" s="5"/>
      <c r="AZ142" s="5"/>
      <c r="BA142" s="5"/>
      <c r="BB142" s="5"/>
      <c r="BC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</row>
    <row r="143" spans="21:230" ht="12.75">
      <c r="U143" s="5"/>
      <c r="V143" s="5"/>
      <c r="W143" s="5"/>
      <c r="X143" s="5"/>
      <c r="Y143" s="5"/>
      <c r="AA143" s="5"/>
      <c r="AB143" s="5"/>
      <c r="AC143" s="5"/>
      <c r="AD143" s="5"/>
      <c r="AE143" s="5"/>
      <c r="AY143" s="5"/>
      <c r="AZ143" s="5"/>
      <c r="BA143" s="5"/>
      <c r="BB143" s="5"/>
      <c r="BC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</row>
    <row r="144" spans="21:230" ht="12.75">
      <c r="U144" s="5"/>
      <c r="V144" s="5"/>
      <c r="W144" s="5"/>
      <c r="X144" s="5"/>
      <c r="Y144" s="5"/>
      <c r="AA144" s="5"/>
      <c r="AB144" s="5"/>
      <c r="AC144" s="5"/>
      <c r="AD144" s="5"/>
      <c r="AE144" s="5"/>
      <c r="AY144" s="5"/>
      <c r="AZ144" s="5"/>
      <c r="BA144" s="5"/>
      <c r="BB144" s="5"/>
      <c r="BC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</row>
    <row r="145" spans="21:230" ht="12.75">
      <c r="U145" s="5"/>
      <c r="V145" s="5"/>
      <c r="W145" s="5"/>
      <c r="X145" s="5"/>
      <c r="Y145" s="5"/>
      <c r="AA145" s="5"/>
      <c r="AB145" s="5"/>
      <c r="AC145" s="5"/>
      <c r="AD145" s="5"/>
      <c r="AE145" s="5"/>
      <c r="AY145" s="5"/>
      <c r="AZ145" s="5"/>
      <c r="BA145" s="5"/>
      <c r="BB145" s="5"/>
      <c r="BC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</row>
    <row r="146" spans="21:230" ht="12.75">
      <c r="U146" s="5"/>
      <c r="V146" s="5"/>
      <c r="W146" s="5"/>
      <c r="X146" s="5"/>
      <c r="Y146" s="5"/>
      <c r="AA146" s="5"/>
      <c r="AB146" s="5"/>
      <c r="AC146" s="5"/>
      <c r="AD146" s="5"/>
      <c r="AE146" s="5"/>
      <c r="AY146" s="5"/>
      <c r="AZ146" s="5"/>
      <c r="BA146" s="5"/>
      <c r="BB146" s="5"/>
      <c r="BC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</row>
    <row r="147" spans="21:230" ht="12.75">
      <c r="U147" s="5"/>
      <c r="V147" s="5"/>
      <c r="W147" s="5"/>
      <c r="X147" s="5"/>
      <c r="Y147" s="5"/>
      <c r="AA147" s="5"/>
      <c r="AB147" s="5"/>
      <c r="AC147" s="5"/>
      <c r="AD147" s="5"/>
      <c r="AE147" s="5"/>
      <c r="AY147" s="5"/>
      <c r="AZ147" s="5"/>
      <c r="BA147" s="5"/>
      <c r="BB147" s="5"/>
      <c r="BC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</row>
    <row r="148" spans="21:230" ht="12.75">
      <c r="U148" s="5"/>
      <c r="V148" s="5"/>
      <c r="W148" s="5"/>
      <c r="X148" s="5"/>
      <c r="Y148" s="5"/>
      <c r="AA148" s="5"/>
      <c r="AB148" s="5"/>
      <c r="AC148" s="5"/>
      <c r="AD148" s="5"/>
      <c r="AE148" s="5"/>
      <c r="AY148" s="5"/>
      <c r="AZ148" s="5"/>
      <c r="BA148" s="5"/>
      <c r="BB148" s="5"/>
      <c r="BC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</row>
    <row r="149" spans="21:230" ht="12.75">
      <c r="U149" s="5"/>
      <c r="V149" s="5"/>
      <c r="W149" s="5"/>
      <c r="X149" s="5"/>
      <c r="Y149" s="5"/>
      <c r="AA149" s="5"/>
      <c r="AB149" s="5"/>
      <c r="AC149" s="5"/>
      <c r="AD149" s="5"/>
      <c r="AE149" s="5"/>
      <c r="AY149" s="5"/>
      <c r="AZ149" s="5"/>
      <c r="BA149" s="5"/>
      <c r="BB149" s="5"/>
      <c r="BC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</row>
    <row r="150" spans="21:230" ht="12.75">
      <c r="U150" s="5"/>
      <c r="V150" s="5"/>
      <c r="W150" s="5"/>
      <c r="X150" s="5"/>
      <c r="Y150" s="5"/>
      <c r="AA150" s="5"/>
      <c r="AB150" s="5"/>
      <c r="AC150" s="5"/>
      <c r="AD150" s="5"/>
      <c r="AE150" s="5"/>
      <c r="AY150" s="5"/>
      <c r="AZ150" s="5"/>
      <c r="BA150" s="5"/>
      <c r="BB150" s="5"/>
      <c r="BC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</row>
    <row r="151" spans="21:230" ht="12.75">
      <c r="U151" s="5"/>
      <c r="V151" s="5"/>
      <c r="W151" s="5"/>
      <c r="X151" s="5"/>
      <c r="Y151" s="5"/>
      <c r="AA151" s="5"/>
      <c r="AB151" s="5"/>
      <c r="AC151" s="5"/>
      <c r="AD151" s="5"/>
      <c r="AE151" s="5"/>
      <c r="AY151" s="5"/>
      <c r="AZ151" s="5"/>
      <c r="BA151" s="5"/>
      <c r="BB151" s="5"/>
      <c r="BC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</row>
    <row r="152" spans="21:230" ht="12.75">
      <c r="U152" s="5"/>
      <c r="V152" s="5"/>
      <c r="W152" s="5"/>
      <c r="X152" s="5"/>
      <c r="Y152" s="5"/>
      <c r="AA152" s="5"/>
      <c r="AB152" s="5"/>
      <c r="AC152" s="5"/>
      <c r="AD152" s="5"/>
      <c r="AE152" s="5"/>
      <c r="AY152" s="5"/>
      <c r="AZ152" s="5"/>
      <c r="BA152" s="5"/>
      <c r="BB152" s="5"/>
      <c r="BC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</row>
    <row r="153" spans="21:230" ht="12.75">
      <c r="U153" s="5"/>
      <c r="V153" s="5"/>
      <c r="W153" s="5"/>
      <c r="X153" s="5"/>
      <c r="Y153" s="5"/>
      <c r="AA153" s="5"/>
      <c r="AB153" s="5"/>
      <c r="AC153" s="5"/>
      <c r="AD153" s="5"/>
      <c r="AE153" s="5"/>
      <c r="AY153" s="5"/>
      <c r="AZ153" s="5"/>
      <c r="BA153" s="5"/>
      <c r="BB153" s="5"/>
      <c r="BC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</row>
    <row r="154" spans="21:230" ht="12.75">
      <c r="U154" s="5"/>
      <c r="V154" s="5"/>
      <c r="W154" s="5"/>
      <c r="X154" s="5"/>
      <c r="Y154" s="5"/>
      <c r="AA154" s="5"/>
      <c r="AB154" s="5"/>
      <c r="AC154" s="5"/>
      <c r="AD154" s="5"/>
      <c r="AE154" s="5"/>
      <c r="AY154" s="5"/>
      <c r="AZ154" s="5"/>
      <c r="BA154" s="5"/>
      <c r="BB154" s="5"/>
      <c r="BC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</row>
    <row r="155" spans="21:230" ht="12.75">
      <c r="U155" s="5"/>
      <c r="V155" s="5"/>
      <c r="W155" s="5"/>
      <c r="X155" s="5"/>
      <c r="Y155" s="5"/>
      <c r="AA155" s="5"/>
      <c r="AB155" s="5"/>
      <c r="AC155" s="5"/>
      <c r="AD155" s="5"/>
      <c r="AE155" s="5"/>
      <c r="AY155" s="5"/>
      <c r="AZ155" s="5"/>
      <c r="BA155" s="5"/>
      <c r="BB155" s="5"/>
      <c r="BC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</row>
    <row r="156" spans="21:230" ht="12.75">
      <c r="U156" s="5"/>
      <c r="V156" s="5"/>
      <c r="W156" s="5"/>
      <c r="X156" s="5"/>
      <c r="Y156" s="5"/>
      <c r="AA156" s="5"/>
      <c r="AB156" s="5"/>
      <c r="AC156" s="5"/>
      <c r="AD156" s="5"/>
      <c r="AE156" s="5"/>
      <c r="AY156" s="5"/>
      <c r="AZ156" s="5"/>
      <c r="BA156" s="5"/>
      <c r="BB156" s="5"/>
      <c r="BC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</row>
    <row r="157" spans="21:230" ht="12.75">
      <c r="U157" s="5"/>
      <c r="V157" s="5"/>
      <c r="W157" s="5"/>
      <c r="X157" s="5"/>
      <c r="Y157" s="5"/>
      <c r="AA157" s="5"/>
      <c r="AB157" s="5"/>
      <c r="AC157" s="5"/>
      <c r="AD157" s="5"/>
      <c r="AE157" s="5"/>
      <c r="AY157" s="5"/>
      <c r="AZ157" s="5"/>
      <c r="BA157" s="5"/>
      <c r="BB157" s="5"/>
      <c r="BC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</row>
    <row r="158" spans="21:230" ht="12.75">
      <c r="U158" s="5"/>
      <c r="V158" s="5"/>
      <c r="W158" s="5"/>
      <c r="X158" s="5"/>
      <c r="Y158" s="5"/>
      <c r="AA158" s="5"/>
      <c r="AB158" s="5"/>
      <c r="AC158" s="5"/>
      <c r="AD158" s="5"/>
      <c r="AE158" s="5"/>
      <c r="AY158" s="5"/>
      <c r="AZ158" s="5"/>
      <c r="BA158" s="5"/>
      <c r="BB158" s="5"/>
      <c r="BC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</row>
    <row r="159" spans="21:230" ht="12.75">
      <c r="U159" s="5"/>
      <c r="V159" s="5"/>
      <c r="W159" s="5"/>
      <c r="X159" s="5"/>
      <c r="Y159" s="5"/>
      <c r="AA159" s="5"/>
      <c r="AB159" s="5"/>
      <c r="AC159" s="5"/>
      <c r="AD159" s="5"/>
      <c r="AE159" s="5"/>
      <c r="AY159" s="5"/>
      <c r="AZ159" s="5"/>
      <c r="BA159" s="5"/>
      <c r="BB159" s="5"/>
      <c r="BC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</row>
    <row r="160" spans="21:230" ht="12.75">
      <c r="U160" s="5"/>
      <c r="V160" s="5"/>
      <c r="W160" s="5"/>
      <c r="X160" s="5"/>
      <c r="Y160" s="5"/>
      <c r="AA160" s="5"/>
      <c r="AB160" s="5"/>
      <c r="AC160" s="5"/>
      <c r="AD160" s="5"/>
      <c r="AE160" s="5"/>
      <c r="AY160" s="5"/>
      <c r="AZ160" s="5"/>
      <c r="BA160" s="5"/>
      <c r="BB160" s="5"/>
      <c r="BC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</row>
    <row r="161" spans="21:230" ht="12.75">
      <c r="U161" s="5"/>
      <c r="V161" s="5"/>
      <c r="W161" s="5"/>
      <c r="X161" s="5"/>
      <c r="Y161" s="5"/>
      <c r="AA161" s="5"/>
      <c r="AB161" s="5"/>
      <c r="AC161" s="5"/>
      <c r="AD161" s="5"/>
      <c r="AE161" s="5"/>
      <c r="AY161" s="5"/>
      <c r="AZ161" s="5"/>
      <c r="BA161" s="5"/>
      <c r="BB161" s="5"/>
      <c r="BC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</row>
    <row r="162" spans="21:230" ht="12.75">
      <c r="U162" s="5"/>
      <c r="V162" s="5"/>
      <c r="W162" s="5"/>
      <c r="X162" s="5"/>
      <c r="Y162" s="5"/>
      <c r="AA162" s="5"/>
      <c r="AB162" s="5"/>
      <c r="AC162" s="5"/>
      <c r="AD162" s="5"/>
      <c r="AE162" s="5"/>
      <c r="AY162" s="5"/>
      <c r="AZ162" s="5"/>
      <c r="BA162" s="5"/>
      <c r="BB162" s="5"/>
      <c r="BC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</row>
    <row r="163" spans="21:230" ht="12.75">
      <c r="U163" s="5"/>
      <c r="V163" s="5"/>
      <c r="W163" s="5"/>
      <c r="X163" s="5"/>
      <c r="Y163" s="5"/>
      <c r="AA163" s="5"/>
      <c r="AB163" s="5"/>
      <c r="AC163" s="5"/>
      <c r="AD163" s="5"/>
      <c r="AE163" s="5"/>
      <c r="AY163" s="5"/>
      <c r="AZ163" s="5"/>
      <c r="BA163" s="5"/>
      <c r="BB163" s="5"/>
      <c r="BC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</row>
    <row r="164" spans="21:230" ht="12.75">
      <c r="U164" s="5"/>
      <c r="V164" s="5"/>
      <c r="W164" s="5"/>
      <c r="X164" s="5"/>
      <c r="Y164" s="5"/>
      <c r="AA164" s="5"/>
      <c r="AB164" s="5"/>
      <c r="AC164" s="5"/>
      <c r="AD164" s="5"/>
      <c r="AE164" s="5"/>
      <c r="AY164" s="5"/>
      <c r="AZ164" s="5"/>
      <c r="BA164" s="5"/>
      <c r="BB164" s="5"/>
      <c r="BC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</row>
    <row r="165" spans="21:230" ht="12.75">
      <c r="U165" s="5"/>
      <c r="V165" s="5"/>
      <c r="W165" s="5"/>
      <c r="X165" s="5"/>
      <c r="Y165" s="5"/>
      <c r="AA165" s="5"/>
      <c r="AB165" s="5"/>
      <c r="AC165" s="5"/>
      <c r="AD165" s="5"/>
      <c r="AE165" s="5"/>
      <c r="AY165" s="5"/>
      <c r="AZ165" s="5"/>
      <c r="BA165" s="5"/>
      <c r="BB165" s="5"/>
      <c r="BC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</row>
    <row r="166" spans="21:230" ht="12.75">
      <c r="U166" s="5"/>
      <c r="V166" s="5"/>
      <c r="W166" s="5"/>
      <c r="X166" s="5"/>
      <c r="Y166" s="5"/>
      <c r="AA166" s="5"/>
      <c r="AB166" s="5"/>
      <c r="AC166" s="5"/>
      <c r="AD166" s="5"/>
      <c r="AE166" s="5"/>
      <c r="AY166" s="5"/>
      <c r="AZ166" s="5"/>
      <c r="BA166" s="5"/>
      <c r="BB166" s="5"/>
      <c r="BC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</row>
    <row r="167" spans="21:230" ht="12.75">
      <c r="U167" s="5"/>
      <c r="V167" s="5"/>
      <c r="W167" s="5"/>
      <c r="X167" s="5"/>
      <c r="Y167" s="5"/>
      <c r="AA167" s="5"/>
      <c r="AB167" s="5"/>
      <c r="AC167" s="5"/>
      <c r="AD167" s="5"/>
      <c r="AE167" s="5"/>
      <c r="AY167" s="5"/>
      <c r="AZ167" s="5"/>
      <c r="BA167" s="5"/>
      <c r="BB167" s="5"/>
      <c r="BC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</row>
    <row r="168" spans="21:230" ht="12.75">
      <c r="U168" s="5"/>
      <c r="V168" s="5"/>
      <c r="W168" s="5"/>
      <c r="X168" s="5"/>
      <c r="Y168" s="5"/>
      <c r="AA168" s="5"/>
      <c r="AB168" s="5"/>
      <c r="AC168" s="5"/>
      <c r="AD168" s="5"/>
      <c r="AE168" s="5"/>
      <c r="AY168" s="5"/>
      <c r="AZ168" s="5"/>
      <c r="BA168" s="5"/>
      <c r="BB168" s="5"/>
      <c r="BC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</row>
    <row r="169" spans="21:230" ht="12.75">
      <c r="U169" s="5"/>
      <c r="V169" s="5"/>
      <c r="W169" s="5"/>
      <c r="X169" s="5"/>
      <c r="Y169" s="5"/>
      <c r="AA169" s="5"/>
      <c r="AB169" s="5"/>
      <c r="AC169" s="5"/>
      <c r="AD169" s="5"/>
      <c r="AE169" s="5"/>
      <c r="AY169" s="5"/>
      <c r="AZ169" s="5"/>
      <c r="BA169" s="5"/>
      <c r="BB169" s="5"/>
      <c r="BC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</row>
    <row r="170" spans="21:230" ht="12.75">
      <c r="U170" s="5"/>
      <c r="V170" s="5"/>
      <c r="W170" s="5"/>
      <c r="X170" s="5"/>
      <c r="Y170" s="5"/>
      <c r="AA170" s="5"/>
      <c r="AB170" s="5"/>
      <c r="AC170" s="5"/>
      <c r="AD170" s="5"/>
      <c r="AE170" s="5"/>
      <c r="AY170" s="5"/>
      <c r="AZ170" s="5"/>
      <c r="BA170" s="5"/>
      <c r="BB170" s="5"/>
      <c r="BC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</row>
    <row r="171" spans="21:230" ht="12.75">
      <c r="U171" s="5"/>
      <c r="V171" s="5"/>
      <c r="W171" s="5"/>
      <c r="X171" s="5"/>
      <c r="Y171" s="5"/>
      <c r="AA171" s="5"/>
      <c r="AB171" s="5"/>
      <c r="AC171" s="5"/>
      <c r="AD171" s="5"/>
      <c r="AE171" s="5"/>
      <c r="AY171" s="5"/>
      <c r="AZ171" s="5"/>
      <c r="BA171" s="5"/>
      <c r="BB171" s="5"/>
      <c r="BC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</row>
    <row r="172" spans="21:230" ht="12.75">
      <c r="U172" s="5"/>
      <c r="V172" s="5"/>
      <c r="W172" s="5"/>
      <c r="X172" s="5"/>
      <c r="Y172" s="5"/>
      <c r="AA172" s="5"/>
      <c r="AB172" s="5"/>
      <c r="AC172" s="5"/>
      <c r="AD172" s="5"/>
      <c r="AE172" s="5"/>
      <c r="AY172" s="5"/>
      <c r="AZ172" s="5"/>
      <c r="BA172" s="5"/>
      <c r="BB172" s="5"/>
      <c r="BC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</row>
    <row r="173" spans="21:230" ht="12.75">
      <c r="U173" s="5"/>
      <c r="V173" s="5"/>
      <c r="W173" s="5"/>
      <c r="X173" s="5"/>
      <c r="Y173" s="5"/>
      <c r="AA173" s="5"/>
      <c r="AB173" s="5"/>
      <c r="AC173" s="5"/>
      <c r="AD173" s="5"/>
      <c r="AE173" s="5"/>
      <c r="AY173" s="5"/>
      <c r="AZ173" s="5"/>
      <c r="BA173" s="5"/>
      <c r="BB173" s="5"/>
      <c r="BC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</row>
    <row r="174" spans="21:230" ht="12.75">
      <c r="U174" s="5"/>
      <c r="V174" s="5"/>
      <c r="W174" s="5"/>
      <c r="X174" s="5"/>
      <c r="Y174" s="5"/>
      <c r="AA174" s="5"/>
      <c r="AB174" s="5"/>
      <c r="AC174" s="5"/>
      <c r="AD174" s="5"/>
      <c r="AE174" s="5"/>
      <c r="AY174" s="5"/>
      <c r="AZ174" s="5"/>
      <c r="BA174" s="5"/>
      <c r="BB174" s="5"/>
      <c r="BC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</row>
    <row r="175" spans="21:230" ht="12.75">
      <c r="U175" s="5"/>
      <c r="V175" s="5"/>
      <c r="W175" s="5"/>
      <c r="X175" s="5"/>
      <c r="Y175" s="5"/>
      <c r="AA175" s="5"/>
      <c r="AB175" s="5"/>
      <c r="AC175" s="5"/>
      <c r="AD175" s="5"/>
      <c r="AE175" s="5"/>
      <c r="AY175" s="5"/>
      <c r="AZ175" s="5"/>
      <c r="BA175" s="5"/>
      <c r="BB175" s="5"/>
      <c r="BC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</row>
    <row r="176" spans="21:230" ht="12.75">
      <c r="U176" s="5"/>
      <c r="V176" s="5"/>
      <c r="W176" s="5"/>
      <c r="X176" s="5"/>
      <c r="Y176" s="5"/>
      <c r="AA176" s="5"/>
      <c r="AB176" s="5"/>
      <c r="AC176" s="5"/>
      <c r="AD176" s="5"/>
      <c r="AE176" s="5"/>
      <c r="AY176" s="5"/>
      <c r="AZ176" s="5"/>
      <c r="BA176" s="5"/>
      <c r="BB176" s="5"/>
      <c r="BC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</row>
    <row r="177" spans="21:230" ht="12.75">
      <c r="U177" s="5"/>
      <c r="V177" s="5"/>
      <c r="W177" s="5"/>
      <c r="X177" s="5"/>
      <c r="Y177" s="5"/>
      <c r="AA177" s="5"/>
      <c r="AB177" s="5"/>
      <c r="AC177" s="5"/>
      <c r="AD177" s="5"/>
      <c r="AE177" s="5"/>
      <c r="AY177" s="5"/>
      <c r="AZ177" s="5"/>
      <c r="BA177" s="5"/>
      <c r="BB177" s="5"/>
      <c r="BC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</row>
    <row r="178" spans="21:230" ht="12.75">
      <c r="U178" s="5"/>
      <c r="V178" s="5"/>
      <c r="W178" s="5"/>
      <c r="X178" s="5"/>
      <c r="Y178" s="5"/>
      <c r="AA178" s="5"/>
      <c r="AB178" s="5"/>
      <c r="AC178" s="5"/>
      <c r="AD178" s="5"/>
      <c r="AE178" s="5"/>
      <c r="AY178" s="5"/>
      <c r="AZ178" s="5"/>
      <c r="BA178" s="5"/>
      <c r="BB178" s="5"/>
      <c r="BC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</row>
    <row r="179" spans="21:230" ht="12.75">
      <c r="U179" s="5"/>
      <c r="V179" s="5"/>
      <c r="W179" s="5"/>
      <c r="X179" s="5"/>
      <c r="Y179" s="5"/>
      <c r="AA179" s="5"/>
      <c r="AB179" s="5"/>
      <c r="AC179" s="5"/>
      <c r="AD179" s="5"/>
      <c r="AE179" s="5"/>
      <c r="AY179" s="5"/>
      <c r="AZ179" s="5"/>
      <c r="BA179" s="5"/>
      <c r="BB179" s="5"/>
      <c r="BC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</row>
    <row r="180" spans="21:230" ht="12.75">
      <c r="U180" s="5"/>
      <c r="V180" s="5"/>
      <c r="W180" s="5"/>
      <c r="X180" s="5"/>
      <c r="Y180" s="5"/>
      <c r="AA180" s="5"/>
      <c r="AB180" s="5"/>
      <c r="AC180" s="5"/>
      <c r="AD180" s="5"/>
      <c r="AE180" s="5"/>
      <c r="AY180" s="5"/>
      <c r="AZ180" s="5"/>
      <c r="BA180" s="5"/>
      <c r="BB180" s="5"/>
      <c r="BC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</row>
    <row r="181" spans="21:230" ht="12.75">
      <c r="U181" s="5"/>
      <c r="V181" s="5"/>
      <c r="W181" s="5"/>
      <c r="X181" s="5"/>
      <c r="Y181" s="5"/>
      <c r="AA181" s="5"/>
      <c r="AB181" s="5"/>
      <c r="AC181" s="5"/>
      <c r="AD181" s="5"/>
      <c r="AE181" s="5"/>
      <c r="AY181" s="5"/>
      <c r="AZ181" s="5"/>
      <c r="BA181" s="5"/>
      <c r="BB181" s="5"/>
      <c r="BC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</row>
    <row r="182" spans="21:230" ht="12.75">
      <c r="U182" s="5"/>
      <c r="V182" s="5"/>
      <c r="W182" s="5"/>
      <c r="X182" s="5"/>
      <c r="Y182" s="5"/>
      <c r="AA182" s="5"/>
      <c r="AB182" s="5"/>
      <c r="AC182" s="5"/>
      <c r="AD182" s="5"/>
      <c r="AE182" s="5"/>
      <c r="AY182" s="5"/>
      <c r="AZ182" s="5"/>
      <c r="BA182" s="5"/>
      <c r="BB182" s="5"/>
      <c r="BC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</row>
    <row r="183" spans="21:230" ht="12.75">
      <c r="U183" s="5"/>
      <c r="V183" s="5"/>
      <c r="W183" s="5"/>
      <c r="X183" s="5"/>
      <c r="Y183" s="5"/>
      <c r="AA183" s="5"/>
      <c r="AB183" s="5"/>
      <c r="AC183" s="5"/>
      <c r="AD183" s="5"/>
      <c r="AE183" s="5"/>
      <c r="AY183" s="5"/>
      <c r="AZ183" s="5"/>
      <c r="BA183" s="5"/>
      <c r="BB183" s="5"/>
      <c r="BC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</row>
    <row r="184" spans="21:230" ht="12.75">
      <c r="U184" s="5"/>
      <c r="V184" s="5"/>
      <c r="W184" s="5"/>
      <c r="X184" s="5"/>
      <c r="Y184" s="5"/>
      <c r="AA184" s="5"/>
      <c r="AB184" s="5"/>
      <c r="AC184" s="5"/>
      <c r="AD184" s="5"/>
      <c r="AE184" s="5"/>
      <c r="AY184" s="5"/>
      <c r="AZ184" s="5"/>
      <c r="BA184" s="5"/>
      <c r="BB184" s="5"/>
      <c r="BC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</row>
    <row r="185" spans="21:230" ht="12.75">
      <c r="U185" s="5"/>
      <c r="V185" s="5"/>
      <c r="W185" s="5"/>
      <c r="X185" s="5"/>
      <c r="Y185" s="5"/>
      <c r="AA185" s="5"/>
      <c r="AB185" s="5"/>
      <c r="AC185" s="5"/>
      <c r="AD185" s="5"/>
      <c r="AE185" s="5"/>
      <c r="AY185" s="5"/>
      <c r="AZ185" s="5"/>
      <c r="BA185" s="5"/>
      <c r="BB185" s="5"/>
      <c r="BC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</row>
    <row r="186" spans="21:230" ht="12.75">
      <c r="U186" s="5"/>
      <c r="V186" s="5"/>
      <c r="W186" s="5"/>
      <c r="X186" s="5"/>
      <c r="Y186" s="5"/>
      <c r="AA186" s="5"/>
      <c r="AB186" s="5"/>
      <c r="AC186" s="5"/>
      <c r="AD186" s="5"/>
      <c r="AE186" s="5"/>
      <c r="AY186" s="5"/>
      <c r="AZ186" s="5"/>
      <c r="BA186" s="5"/>
      <c r="BB186" s="5"/>
      <c r="BC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</row>
    <row r="187" spans="21:230" ht="12.75">
      <c r="U187" s="5"/>
      <c r="V187" s="5"/>
      <c r="W187" s="5"/>
      <c r="X187" s="5"/>
      <c r="Y187" s="5"/>
      <c r="AA187" s="5"/>
      <c r="AB187" s="5"/>
      <c r="AC187" s="5"/>
      <c r="AD187" s="5"/>
      <c r="AE187" s="5"/>
      <c r="AY187" s="5"/>
      <c r="AZ187" s="5"/>
      <c r="BA187" s="5"/>
      <c r="BB187" s="5"/>
      <c r="BC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</row>
    <row r="188" spans="21:230" ht="12.75">
      <c r="U188" s="5"/>
      <c r="V188" s="5"/>
      <c r="W188" s="5"/>
      <c r="X188" s="5"/>
      <c r="Y188" s="5"/>
      <c r="AA188" s="5"/>
      <c r="AB188" s="5"/>
      <c r="AC188" s="5"/>
      <c r="AD188" s="5"/>
      <c r="AE188" s="5"/>
      <c r="AY188" s="5"/>
      <c r="AZ188" s="5"/>
      <c r="BA188" s="5"/>
      <c r="BB188" s="5"/>
      <c r="BC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</row>
    <row r="189" spans="21:230" ht="12.75">
      <c r="U189" s="5"/>
      <c r="V189" s="5"/>
      <c r="W189" s="5"/>
      <c r="X189" s="5"/>
      <c r="Y189" s="5"/>
      <c r="AA189" s="5"/>
      <c r="AB189" s="5"/>
      <c r="AC189" s="5"/>
      <c r="AD189" s="5"/>
      <c r="AE189" s="5"/>
      <c r="AY189" s="5"/>
      <c r="AZ189" s="5"/>
      <c r="BA189" s="5"/>
      <c r="BB189" s="5"/>
      <c r="BC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</row>
    <row r="190" spans="21:230" ht="12.75">
      <c r="U190" s="5"/>
      <c r="V190" s="5"/>
      <c r="W190" s="5"/>
      <c r="X190" s="5"/>
      <c r="Y190" s="5"/>
      <c r="AA190" s="5"/>
      <c r="AB190" s="5"/>
      <c r="AC190" s="5"/>
      <c r="AD190" s="5"/>
      <c r="AE190" s="5"/>
      <c r="AY190" s="5"/>
      <c r="AZ190" s="5"/>
      <c r="BA190" s="5"/>
      <c r="BB190" s="5"/>
      <c r="BC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</row>
    <row r="191" spans="21:230" ht="12.75">
      <c r="U191" s="5"/>
      <c r="V191" s="5"/>
      <c r="W191" s="5"/>
      <c r="X191" s="5"/>
      <c r="Y191" s="5"/>
      <c r="AA191" s="5"/>
      <c r="AB191" s="5"/>
      <c r="AC191" s="5"/>
      <c r="AD191" s="5"/>
      <c r="AE191" s="5"/>
      <c r="AY191" s="5"/>
      <c r="AZ191" s="5"/>
      <c r="BA191" s="5"/>
      <c r="BB191" s="5"/>
      <c r="BC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</row>
    <row r="192" spans="21:230" ht="12.75">
      <c r="U192" s="5"/>
      <c r="V192" s="5"/>
      <c r="W192" s="5"/>
      <c r="X192" s="5"/>
      <c r="Y192" s="5"/>
      <c r="AA192" s="5"/>
      <c r="AB192" s="5"/>
      <c r="AC192" s="5"/>
      <c r="AD192" s="5"/>
      <c r="AE192" s="5"/>
      <c r="AY192" s="5"/>
      <c r="AZ192" s="5"/>
      <c r="BA192" s="5"/>
      <c r="BB192" s="5"/>
      <c r="BC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</row>
    <row r="193" spans="21:230" ht="12.75">
      <c r="U193" s="5"/>
      <c r="V193" s="5"/>
      <c r="W193" s="5"/>
      <c r="X193" s="5"/>
      <c r="Y193" s="5"/>
      <c r="AA193" s="5"/>
      <c r="AB193" s="5"/>
      <c r="AC193" s="5"/>
      <c r="AD193" s="5"/>
      <c r="AE193" s="5"/>
      <c r="AY193" s="5"/>
      <c r="AZ193" s="5"/>
      <c r="BA193" s="5"/>
      <c r="BB193" s="5"/>
      <c r="BC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</row>
    <row r="194" spans="21:230" ht="12.75">
      <c r="U194" s="5"/>
      <c r="V194" s="5"/>
      <c r="W194" s="5"/>
      <c r="X194" s="5"/>
      <c r="Y194" s="5"/>
      <c r="AA194" s="5"/>
      <c r="AB194" s="5"/>
      <c r="AC194" s="5"/>
      <c r="AD194" s="5"/>
      <c r="AE194" s="5"/>
      <c r="AY194" s="5"/>
      <c r="AZ194" s="5"/>
      <c r="BA194" s="5"/>
      <c r="BB194" s="5"/>
      <c r="BC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</row>
    <row r="195" spans="21:230" ht="12.75">
      <c r="U195" s="5"/>
      <c r="V195" s="5"/>
      <c r="W195" s="5"/>
      <c r="X195" s="5"/>
      <c r="Y195" s="5"/>
      <c r="AA195" s="5"/>
      <c r="AB195" s="5"/>
      <c r="AC195" s="5"/>
      <c r="AD195" s="5"/>
      <c r="AE195" s="5"/>
      <c r="AY195" s="5"/>
      <c r="AZ195" s="5"/>
      <c r="BA195" s="5"/>
      <c r="BB195" s="5"/>
      <c r="BC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</row>
    <row r="196" spans="21:230" ht="12.75">
      <c r="U196" s="5"/>
      <c r="V196" s="5"/>
      <c r="W196" s="5"/>
      <c r="X196" s="5"/>
      <c r="Y196" s="5"/>
      <c r="AA196" s="5"/>
      <c r="AB196" s="5"/>
      <c r="AC196" s="5"/>
      <c r="AD196" s="5"/>
      <c r="AE196" s="5"/>
      <c r="AY196" s="5"/>
      <c r="AZ196" s="5"/>
      <c r="BA196" s="5"/>
      <c r="BB196" s="5"/>
      <c r="BC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</row>
    <row r="197" spans="21:230" ht="12.75">
      <c r="U197" s="5"/>
      <c r="V197" s="5"/>
      <c r="W197" s="5"/>
      <c r="X197" s="5"/>
      <c r="Y197" s="5"/>
      <c r="AA197" s="5"/>
      <c r="AB197" s="5"/>
      <c r="AC197" s="5"/>
      <c r="AD197" s="5"/>
      <c r="AE197" s="5"/>
      <c r="AY197" s="5"/>
      <c r="AZ197" s="5"/>
      <c r="BA197" s="5"/>
      <c r="BB197" s="5"/>
      <c r="BC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</row>
    <row r="198" spans="21:230" ht="12.75">
      <c r="U198" s="5"/>
      <c r="V198" s="5"/>
      <c r="W198" s="5"/>
      <c r="X198" s="5"/>
      <c r="Y198" s="5"/>
      <c r="AA198" s="5"/>
      <c r="AB198" s="5"/>
      <c r="AC198" s="5"/>
      <c r="AD198" s="5"/>
      <c r="AE198" s="5"/>
      <c r="AY198" s="5"/>
      <c r="AZ198" s="5"/>
      <c r="BA198" s="5"/>
      <c r="BB198" s="5"/>
      <c r="BC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</row>
    <row r="199" spans="21:230" ht="12.75">
      <c r="U199" s="5"/>
      <c r="V199" s="5"/>
      <c r="W199" s="5"/>
      <c r="X199" s="5"/>
      <c r="Y199" s="5"/>
      <c r="AA199" s="5"/>
      <c r="AB199" s="5"/>
      <c r="AC199" s="5"/>
      <c r="AD199" s="5"/>
      <c r="AE199" s="5"/>
      <c r="AY199" s="5"/>
      <c r="AZ199" s="5"/>
      <c r="BA199" s="5"/>
      <c r="BB199" s="5"/>
      <c r="BC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</row>
    <row r="200" spans="21:230" ht="12.75">
      <c r="U200" s="5"/>
      <c r="V200" s="5"/>
      <c r="W200" s="5"/>
      <c r="X200" s="5"/>
      <c r="Y200" s="5"/>
      <c r="AA200" s="5"/>
      <c r="AB200" s="5"/>
      <c r="AC200" s="5"/>
      <c r="AD200" s="5"/>
      <c r="AE200" s="5"/>
      <c r="AY200" s="5"/>
      <c r="AZ200" s="5"/>
      <c r="BA200" s="5"/>
      <c r="BB200" s="5"/>
      <c r="BC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</row>
    <row r="201" spans="21:230" ht="12.75">
      <c r="U201" s="5"/>
      <c r="V201" s="5"/>
      <c r="W201" s="5"/>
      <c r="X201" s="5"/>
      <c r="Y201" s="5"/>
      <c r="AA201" s="5"/>
      <c r="AB201" s="5"/>
      <c r="AC201" s="5"/>
      <c r="AD201" s="5"/>
      <c r="AE201" s="5"/>
      <c r="AY201" s="5"/>
      <c r="AZ201" s="5"/>
      <c r="BA201" s="5"/>
      <c r="BB201" s="5"/>
      <c r="BC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</row>
    <row r="202" spans="21:230" ht="12.75">
      <c r="U202" s="5"/>
      <c r="V202" s="5"/>
      <c r="W202" s="5"/>
      <c r="X202" s="5"/>
      <c r="Y202" s="5"/>
      <c r="AA202" s="5"/>
      <c r="AB202" s="5"/>
      <c r="AC202" s="5"/>
      <c r="AD202" s="5"/>
      <c r="AE202" s="5"/>
      <c r="AY202" s="5"/>
      <c r="AZ202" s="5"/>
      <c r="BA202" s="5"/>
      <c r="BB202" s="5"/>
      <c r="BC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</row>
    <row r="203" spans="21:230" ht="12.75">
      <c r="U203" s="5"/>
      <c r="V203" s="5"/>
      <c r="W203" s="5"/>
      <c r="X203" s="5"/>
      <c r="Y203" s="5"/>
      <c r="AA203" s="5"/>
      <c r="AB203" s="5"/>
      <c r="AC203" s="5"/>
      <c r="AD203" s="5"/>
      <c r="AE203" s="5"/>
      <c r="AY203" s="5"/>
      <c r="AZ203" s="5"/>
      <c r="BA203" s="5"/>
      <c r="BB203" s="5"/>
      <c r="BC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</row>
    <row r="204" spans="21:230" ht="12.75">
      <c r="U204" s="5"/>
      <c r="V204" s="5"/>
      <c r="W204" s="5"/>
      <c r="X204" s="5"/>
      <c r="Y204" s="5"/>
      <c r="AA204" s="5"/>
      <c r="AB204" s="5"/>
      <c r="AC204" s="5"/>
      <c r="AD204" s="5"/>
      <c r="AE204" s="5"/>
      <c r="AY204" s="5"/>
      <c r="AZ204" s="5"/>
      <c r="BA204" s="5"/>
      <c r="BB204" s="5"/>
      <c r="BC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</row>
    <row r="205" spans="21:230" ht="12.75">
      <c r="U205" s="5"/>
      <c r="V205" s="5"/>
      <c r="W205" s="5"/>
      <c r="X205" s="5"/>
      <c r="Y205" s="5"/>
      <c r="AA205" s="5"/>
      <c r="AB205" s="5"/>
      <c r="AC205" s="5"/>
      <c r="AD205" s="5"/>
      <c r="AE205" s="5"/>
      <c r="AY205" s="5"/>
      <c r="AZ205" s="5"/>
      <c r="BA205" s="5"/>
      <c r="BB205" s="5"/>
      <c r="BC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</row>
    <row r="206" spans="21:230" ht="12.75">
      <c r="U206" s="5"/>
      <c r="V206" s="5"/>
      <c r="W206" s="5"/>
      <c r="X206" s="5"/>
      <c r="Y206" s="5"/>
      <c r="AA206" s="5"/>
      <c r="AB206" s="5"/>
      <c r="AC206" s="5"/>
      <c r="AD206" s="5"/>
      <c r="AE206" s="5"/>
      <c r="AY206" s="5"/>
      <c r="AZ206" s="5"/>
      <c r="BA206" s="5"/>
      <c r="BB206" s="5"/>
      <c r="BC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</row>
    <row r="207" spans="21:230" ht="12.75">
      <c r="U207" s="5"/>
      <c r="V207" s="5"/>
      <c r="W207" s="5"/>
      <c r="X207" s="5"/>
      <c r="Y207" s="5"/>
      <c r="AA207" s="5"/>
      <c r="AB207" s="5"/>
      <c r="AC207" s="5"/>
      <c r="AD207" s="5"/>
      <c r="AE207" s="5"/>
      <c r="AY207" s="5"/>
      <c r="AZ207" s="5"/>
      <c r="BA207" s="5"/>
      <c r="BB207" s="5"/>
      <c r="BC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</row>
    <row r="208" spans="21:230" ht="12.75">
      <c r="U208" s="5"/>
      <c r="V208" s="5"/>
      <c r="W208" s="5"/>
      <c r="X208" s="5"/>
      <c r="Y208" s="5"/>
      <c r="AA208" s="5"/>
      <c r="AB208" s="5"/>
      <c r="AC208" s="5"/>
      <c r="AD208" s="5"/>
      <c r="AE208" s="5"/>
      <c r="AY208" s="5"/>
      <c r="AZ208" s="5"/>
      <c r="BA208" s="5"/>
      <c r="BB208" s="5"/>
      <c r="BC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</row>
    <row r="209" spans="21:230" ht="12.75">
      <c r="U209" s="5"/>
      <c r="V209" s="5"/>
      <c r="W209" s="5"/>
      <c r="X209" s="5"/>
      <c r="Y209" s="5"/>
      <c r="AA209" s="5"/>
      <c r="AB209" s="5"/>
      <c r="AC209" s="5"/>
      <c r="AD209" s="5"/>
      <c r="AE209" s="5"/>
      <c r="AY209" s="5"/>
      <c r="AZ209" s="5"/>
      <c r="BA209" s="5"/>
      <c r="BB209" s="5"/>
      <c r="BC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</row>
    <row r="210" spans="21:230" ht="12.75">
      <c r="U210" s="5"/>
      <c r="V210" s="5"/>
      <c r="W210" s="5"/>
      <c r="X210" s="5"/>
      <c r="Y210" s="5"/>
      <c r="AA210" s="5"/>
      <c r="AB210" s="5"/>
      <c r="AC210" s="5"/>
      <c r="AD210" s="5"/>
      <c r="AE210" s="5"/>
      <c r="AY210" s="5"/>
      <c r="AZ210" s="5"/>
      <c r="BA210" s="5"/>
      <c r="BB210" s="5"/>
      <c r="BC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</row>
    <row r="211" spans="21:230" ht="12.75">
      <c r="U211" s="5"/>
      <c r="V211" s="5"/>
      <c r="W211" s="5"/>
      <c r="X211" s="5"/>
      <c r="Y211" s="5"/>
      <c r="AA211" s="5"/>
      <c r="AB211" s="5"/>
      <c r="AC211" s="5"/>
      <c r="AD211" s="5"/>
      <c r="AE211" s="5"/>
      <c r="AY211" s="5"/>
      <c r="AZ211" s="5"/>
      <c r="BA211" s="5"/>
      <c r="BB211" s="5"/>
      <c r="BC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</row>
    <row r="212" spans="21:230" ht="12.75">
      <c r="U212" s="5"/>
      <c r="V212" s="5"/>
      <c r="W212" s="5"/>
      <c r="X212" s="5"/>
      <c r="Y212" s="5"/>
      <c r="AA212" s="5"/>
      <c r="AB212" s="5"/>
      <c r="AC212" s="5"/>
      <c r="AD212" s="5"/>
      <c r="AE212" s="5"/>
      <c r="AY212" s="5"/>
      <c r="AZ212" s="5"/>
      <c r="BA212" s="5"/>
      <c r="BB212" s="5"/>
      <c r="BC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</row>
    <row r="213" spans="21:230" ht="12.75">
      <c r="U213" s="5"/>
      <c r="V213" s="5"/>
      <c r="W213" s="5"/>
      <c r="X213" s="5"/>
      <c r="Y213" s="5"/>
      <c r="AA213" s="5"/>
      <c r="AB213" s="5"/>
      <c r="AC213" s="5"/>
      <c r="AD213" s="5"/>
      <c r="AE213" s="5"/>
      <c r="AY213" s="5"/>
      <c r="AZ213" s="5"/>
      <c r="BA213" s="5"/>
      <c r="BB213" s="5"/>
      <c r="BC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</row>
    <row r="214" spans="21:230" ht="12.75">
      <c r="U214" s="5"/>
      <c r="V214" s="5"/>
      <c r="W214" s="5"/>
      <c r="X214" s="5"/>
      <c r="Y214" s="5"/>
      <c r="AA214" s="5"/>
      <c r="AB214" s="5"/>
      <c r="AC214" s="5"/>
      <c r="AD214" s="5"/>
      <c r="AE214" s="5"/>
      <c r="AY214" s="5"/>
      <c r="AZ214" s="5"/>
      <c r="BA214" s="5"/>
      <c r="BB214" s="5"/>
      <c r="BC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</row>
    <row r="215" spans="21:230" ht="12.75">
      <c r="U215" s="5"/>
      <c r="V215" s="5"/>
      <c r="W215" s="5"/>
      <c r="X215" s="5"/>
      <c r="Y215" s="5"/>
      <c r="AA215" s="5"/>
      <c r="AB215" s="5"/>
      <c r="AC215" s="5"/>
      <c r="AD215" s="5"/>
      <c r="AE215" s="5"/>
      <c r="AY215" s="5"/>
      <c r="AZ215" s="5"/>
      <c r="BA215" s="5"/>
      <c r="BB215" s="5"/>
      <c r="BC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</row>
    <row r="216" spans="21:230" ht="12.75">
      <c r="U216" s="5"/>
      <c r="V216" s="5"/>
      <c r="W216" s="5"/>
      <c r="X216" s="5"/>
      <c r="Y216" s="5"/>
      <c r="AA216" s="5"/>
      <c r="AB216" s="5"/>
      <c r="AC216" s="5"/>
      <c r="AD216" s="5"/>
      <c r="AE216" s="5"/>
      <c r="AY216" s="5"/>
      <c r="AZ216" s="5"/>
      <c r="BA216" s="5"/>
      <c r="BB216" s="5"/>
      <c r="BC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</row>
    <row r="217" spans="21:230" ht="12.75">
      <c r="U217" s="5"/>
      <c r="V217" s="5"/>
      <c r="W217" s="5"/>
      <c r="X217" s="5"/>
      <c r="Y217" s="5"/>
      <c r="AA217" s="5"/>
      <c r="AB217" s="5"/>
      <c r="AC217" s="5"/>
      <c r="AD217" s="5"/>
      <c r="AE217" s="5"/>
      <c r="AY217" s="5"/>
      <c r="AZ217" s="5"/>
      <c r="BA217" s="5"/>
      <c r="BB217" s="5"/>
      <c r="BC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</row>
    <row r="218" spans="21:230" ht="12.75">
      <c r="U218" s="5"/>
      <c r="V218" s="5"/>
      <c r="W218" s="5"/>
      <c r="X218" s="5"/>
      <c r="Y218" s="5"/>
      <c r="AA218" s="5"/>
      <c r="AB218" s="5"/>
      <c r="AC218" s="5"/>
      <c r="AD218" s="5"/>
      <c r="AE218" s="5"/>
      <c r="AY218" s="5"/>
      <c r="AZ218" s="5"/>
      <c r="BA218" s="5"/>
      <c r="BB218" s="5"/>
      <c r="BC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</row>
    <row r="219" spans="21:230" ht="12.75">
      <c r="U219" s="5"/>
      <c r="V219" s="5"/>
      <c r="W219" s="5"/>
      <c r="X219" s="5"/>
      <c r="Y219" s="5"/>
      <c r="AA219" s="5"/>
      <c r="AB219" s="5"/>
      <c r="AC219" s="5"/>
      <c r="AD219" s="5"/>
      <c r="AE219" s="5"/>
      <c r="AY219" s="5"/>
      <c r="AZ219" s="5"/>
      <c r="BA219" s="5"/>
      <c r="BB219" s="5"/>
      <c r="BC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</row>
    <row r="220" spans="21:230" ht="12.75">
      <c r="U220" s="5"/>
      <c r="V220" s="5"/>
      <c r="W220" s="5"/>
      <c r="X220" s="5"/>
      <c r="Y220" s="5"/>
      <c r="AA220" s="5"/>
      <c r="AB220" s="5"/>
      <c r="AC220" s="5"/>
      <c r="AD220" s="5"/>
      <c r="AE220" s="5"/>
      <c r="AY220" s="5"/>
      <c r="AZ220" s="5"/>
      <c r="BA220" s="5"/>
      <c r="BB220" s="5"/>
      <c r="BC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</row>
    <row r="221" spans="21:230" ht="12.75">
      <c r="U221" s="5"/>
      <c r="V221" s="5"/>
      <c r="W221" s="5"/>
      <c r="X221" s="5"/>
      <c r="Y221" s="5"/>
      <c r="AA221" s="5"/>
      <c r="AB221" s="5"/>
      <c r="AC221" s="5"/>
      <c r="AD221" s="5"/>
      <c r="AE221" s="5"/>
      <c r="AY221" s="5"/>
      <c r="AZ221" s="5"/>
      <c r="BA221" s="5"/>
      <c r="BB221" s="5"/>
      <c r="BC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</row>
    <row r="222" spans="21:230" ht="12.75">
      <c r="U222" s="5"/>
      <c r="V222" s="5"/>
      <c r="W222" s="5"/>
      <c r="X222" s="5"/>
      <c r="Y222" s="5"/>
      <c r="AA222" s="5"/>
      <c r="AB222" s="5"/>
      <c r="AC222" s="5"/>
      <c r="AD222" s="5"/>
      <c r="AE222" s="5"/>
      <c r="AY222" s="5"/>
      <c r="AZ222" s="5"/>
      <c r="BA222" s="5"/>
      <c r="BB222" s="5"/>
      <c r="BC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</row>
    <row r="223" spans="21:230" ht="12.75">
      <c r="U223" s="5"/>
      <c r="V223" s="5"/>
      <c r="W223" s="5"/>
      <c r="X223" s="5"/>
      <c r="Y223" s="5"/>
      <c r="AA223" s="5"/>
      <c r="AB223" s="5"/>
      <c r="AC223" s="5"/>
      <c r="AD223" s="5"/>
      <c r="AE223" s="5"/>
      <c r="AY223" s="5"/>
      <c r="AZ223" s="5"/>
      <c r="BA223" s="5"/>
      <c r="BB223" s="5"/>
      <c r="BC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</row>
    <row r="224" spans="21:230" ht="12.75">
      <c r="U224" s="5"/>
      <c r="V224" s="5"/>
      <c r="W224" s="5"/>
      <c r="X224" s="5"/>
      <c r="Y224" s="5"/>
      <c r="AA224" s="5"/>
      <c r="AB224" s="5"/>
      <c r="AC224" s="5"/>
      <c r="AD224" s="5"/>
      <c r="AE224" s="5"/>
      <c r="AY224" s="5"/>
      <c r="AZ224" s="5"/>
      <c r="BA224" s="5"/>
      <c r="BB224" s="5"/>
      <c r="BC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</row>
    <row r="225" spans="21:230" ht="12.75">
      <c r="U225" s="5"/>
      <c r="V225" s="5"/>
      <c r="W225" s="5"/>
      <c r="X225" s="5"/>
      <c r="Y225" s="5"/>
      <c r="AA225" s="5"/>
      <c r="AB225" s="5"/>
      <c r="AC225" s="5"/>
      <c r="AD225" s="5"/>
      <c r="AE225" s="5"/>
      <c r="AY225" s="5"/>
      <c r="AZ225" s="5"/>
      <c r="BA225" s="5"/>
      <c r="BB225" s="5"/>
      <c r="BC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</row>
    <row r="226" spans="21:230" ht="12.75">
      <c r="U226" s="5"/>
      <c r="V226" s="5"/>
      <c r="W226" s="5"/>
      <c r="X226" s="5"/>
      <c r="Y226" s="5"/>
      <c r="AA226" s="5"/>
      <c r="AB226" s="5"/>
      <c r="AC226" s="5"/>
      <c r="AD226" s="5"/>
      <c r="AE226" s="5"/>
      <c r="AY226" s="5"/>
      <c r="AZ226" s="5"/>
      <c r="BA226" s="5"/>
      <c r="BB226" s="5"/>
      <c r="BC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</row>
    <row r="227" spans="21:230" ht="12.75">
      <c r="U227" s="5"/>
      <c r="V227" s="5"/>
      <c r="W227" s="5"/>
      <c r="X227" s="5"/>
      <c r="Y227" s="5"/>
      <c r="AA227" s="5"/>
      <c r="AB227" s="5"/>
      <c r="AC227" s="5"/>
      <c r="AD227" s="5"/>
      <c r="AE227" s="5"/>
      <c r="AY227" s="5"/>
      <c r="AZ227" s="5"/>
      <c r="BA227" s="5"/>
      <c r="BB227" s="5"/>
      <c r="BC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</row>
    <row r="228" spans="21:230" ht="12.75">
      <c r="U228" s="5"/>
      <c r="V228" s="5"/>
      <c r="W228" s="5"/>
      <c r="X228" s="5"/>
      <c r="Y228" s="5"/>
      <c r="AA228" s="5"/>
      <c r="AB228" s="5"/>
      <c r="AC228" s="5"/>
      <c r="AD228" s="5"/>
      <c r="AE228" s="5"/>
      <c r="AY228" s="5"/>
      <c r="AZ228" s="5"/>
      <c r="BA228" s="5"/>
      <c r="BB228" s="5"/>
      <c r="BC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</row>
    <row r="229" spans="21:230" ht="12.75">
      <c r="U229" s="5"/>
      <c r="V229" s="5"/>
      <c r="W229" s="5"/>
      <c r="X229" s="5"/>
      <c r="Y229" s="5"/>
      <c r="AA229" s="5"/>
      <c r="AB229" s="5"/>
      <c r="AC229" s="5"/>
      <c r="AD229" s="5"/>
      <c r="AE229" s="5"/>
      <c r="AY229" s="5"/>
      <c r="AZ229" s="5"/>
      <c r="BA229" s="5"/>
      <c r="BB229" s="5"/>
      <c r="BC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</row>
    <row r="230" spans="21:230" ht="12.75">
      <c r="U230" s="5"/>
      <c r="V230" s="5"/>
      <c r="W230" s="5"/>
      <c r="X230" s="5"/>
      <c r="Y230" s="5"/>
      <c r="AA230" s="5"/>
      <c r="AB230" s="5"/>
      <c r="AC230" s="5"/>
      <c r="AD230" s="5"/>
      <c r="AE230" s="5"/>
      <c r="AY230" s="5"/>
      <c r="AZ230" s="5"/>
      <c r="BA230" s="5"/>
      <c r="BB230" s="5"/>
      <c r="BC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</row>
    <row r="231" spans="21:230" ht="12.75">
      <c r="U231" s="5"/>
      <c r="V231" s="5"/>
      <c r="W231" s="5"/>
      <c r="X231" s="5"/>
      <c r="Y231" s="5"/>
      <c r="AA231" s="5"/>
      <c r="AB231" s="5"/>
      <c r="AC231" s="5"/>
      <c r="AD231" s="5"/>
      <c r="AE231" s="5"/>
      <c r="AY231" s="5"/>
      <c r="AZ231" s="5"/>
      <c r="BA231" s="5"/>
      <c r="BB231" s="5"/>
      <c r="BC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</row>
    <row r="232" spans="21:230" ht="12.75">
      <c r="U232" s="5"/>
      <c r="V232" s="5"/>
      <c r="W232" s="5"/>
      <c r="X232" s="5"/>
      <c r="Y232" s="5"/>
      <c r="AA232" s="5"/>
      <c r="AB232" s="5"/>
      <c r="AC232" s="5"/>
      <c r="AD232" s="5"/>
      <c r="AE232" s="5"/>
      <c r="AY232" s="5"/>
      <c r="AZ232" s="5"/>
      <c r="BA232" s="5"/>
      <c r="BB232" s="5"/>
      <c r="BC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</row>
    <row r="233" spans="21:230" ht="12.75">
      <c r="U233" s="5"/>
      <c r="V233" s="5"/>
      <c r="W233" s="5"/>
      <c r="X233" s="5"/>
      <c r="Y233" s="5"/>
      <c r="AA233" s="5"/>
      <c r="AB233" s="5"/>
      <c r="AC233" s="5"/>
      <c r="AD233" s="5"/>
      <c r="AE233" s="5"/>
      <c r="AY233" s="5"/>
      <c r="AZ233" s="5"/>
      <c r="BA233" s="5"/>
      <c r="BB233" s="5"/>
      <c r="BC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</row>
    <row r="234" spans="21:230" ht="12.75">
      <c r="U234" s="5"/>
      <c r="V234" s="5"/>
      <c r="W234" s="5"/>
      <c r="X234" s="5"/>
      <c r="Y234" s="5"/>
      <c r="AA234" s="5"/>
      <c r="AB234" s="5"/>
      <c r="AC234" s="5"/>
      <c r="AD234" s="5"/>
      <c r="AE234" s="5"/>
      <c r="AY234" s="5"/>
      <c r="AZ234" s="5"/>
      <c r="BA234" s="5"/>
      <c r="BB234" s="5"/>
      <c r="BC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</row>
    <row r="235" spans="21:230" ht="12.75">
      <c r="U235" s="5"/>
      <c r="V235" s="5"/>
      <c r="W235" s="5"/>
      <c r="X235" s="5"/>
      <c r="Y235" s="5"/>
      <c r="AA235" s="5"/>
      <c r="AB235" s="5"/>
      <c r="AC235" s="5"/>
      <c r="AD235" s="5"/>
      <c r="AE235" s="5"/>
      <c r="AY235" s="5"/>
      <c r="AZ235" s="5"/>
      <c r="BA235" s="5"/>
      <c r="BB235" s="5"/>
      <c r="BC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</row>
    <row r="236" spans="21:230" ht="12.75">
      <c r="U236" s="5"/>
      <c r="V236" s="5"/>
      <c r="W236" s="5"/>
      <c r="X236" s="5"/>
      <c r="Y236" s="5"/>
      <c r="AA236" s="5"/>
      <c r="AB236" s="5"/>
      <c r="AC236" s="5"/>
      <c r="AD236" s="5"/>
      <c r="AE236" s="5"/>
      <c r="AY236" s="5"/>
      <c r="AZ236" s="5"/>
      <c r="BA236" s="5"/>
      <c r="BB236" s="5"/>
      <c r="BC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</row>
    <row r="237" spans="21:230" ht="12.75">
      <c r="U237" s="5"/>
      <c r="V237" s="5"/>
      <c r="W237" s="5"/>
      <c r="X237" s="5"/>
      <c r="Y237" s="5"/>
      <c r="AA237" s="5"/>
      <c r="AB237" s="5"/>
      <c r="AC237" s="5"/>
      <c r="AD237" s="5"/>
      <c r="AE237" s="5"/>
      <c r="AY237" s="5"/>
      <c r="AZ237" s="5"/>
      <c r="BA237" s="5"/>
      <c r="BB237" s="5"/>
      <c r="BC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</row>
    <row r="238" spans="21:230" ht="12.75">
      <c r="U238" s="5"/>
      <c r="V238" s="5"/>
      <c r="W238" s="5"/>
      <c r="X238" s="5"/>
      <c r="Y238" s="5"/>
      <c r="AA238" s="5"/>
      <c r="AB238" s="5"/>
      <c r="AC238" s="5"/>
      <c r="AD238" s="5"/>
      <c r="AE238" s="5"/>
      <c r="AY238" s="5"/>
      <c r="AZ238" s="5"/>
      <c r="BA238" s="5"/>
      <c r="BB238" s="5"/>
      <c r="BC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</row>
    <row r="239" spans="21:230" ht="12.75">
      <c r="U239" s="5"/>
      <c r="V239" s="5"/>
      <c r="W239" s="5"/>
      <c r="X239" s="5"/>
      <c r="Y239" s="5"/>
      <c r="AA239" s="5"/>
      <c r="AB239" s="5"/>
      <c r="AC239" s="5"/>
      <c r="AD239" s="5"/>
      <c r="AE239" s="5"/>
      <c r="AY239" s="5"/>
      <c r="AZ239" s="5"/>
      <c r="BA239" s="5"/>
      <c r="BB239" s="5"/>
      <c r="BC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</row>
    <row r="240" spans="21:230" ht="12.75">
      <c r="U240" s="5"/>
      <c r="V240" s="5"/>
      <c r="W240" s="5"/>
      <c r="X240" s="5"/>
      <c r="Y240" s="5"/>
      <c r="AA240" s="5"/>
      <c r="AB240" s="5"/>
      <c r="AC240" s="5"/>
      <c r="AD240" s="5"/>
      <c r="AE240" s="5"/>
      <c r="AY240" s="5"/>
      <c r="AZ240" s="5"/>
      <c r="BA240" s="5"/>
      <c r="BB240" s="5"/>
      <c r="BC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</row>
    <row r="241" spans="21:230" ht="12.75">
      <c r="U241" s="5"/>
      <c r="V241" s="5"/>
      <c r="W241" s="5"/>
      <c r="X241" s="5"/>
      <c r="Y241" s="5"/>
      <c r="AA241" s="5"/>
      <c r="AB241" s="5"/>
      <c r="AC241" s="5"/>
      <c r="AD241" s="5"/>
      <c r="AE241" s="5"/>
      <c r="AY241" s="5"/>
      <c r="AZ241" s="5"/>
      <c r="BA241" s="5"/>
      <c r="BB241" s="5"/>
      <c r="BC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</row>
    <row r="242" spans="21:230" ht="12.75">
      <c r="U242" s="5"/>
      <c r="V242" s="5"/>
      <c r="W242" s="5"/>
      <c r="X242" s="5"/>
      <c r="Y242" s="5"/>
      <c r="AA242" s="5"/>
      <c r="AB242" s="5"/>
      <c r="AC242" s="5"/>
      <c r="AD242" s="5"/>
      <c r="AE242" s="5"/>
      <c r="AY242" s="5"/>
      <c r="AZ242" s="5"/>
      <c r="BA242" s="5"/>
      <c r="BB242" s="5"/>
      <c r="BC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</row>
    <row r="243" spans="21:230" ht="12.75">
      <c r="U243" s="5"/>
      <c r="V243" s="5"/>
      <c r="W243" s="5"/>
      <c r="X243" s="5"/>
      <c r="Y243" s="5"/>
      <c r="AA243" s="5"/>
      <c r="AB243" s="5"/>
      <c r="AC243" s="5"/>
      <c r="AD243" s="5"/>
      <c r="AE243" s="5"/>
      <c r="AY243" s="5"/>
      <c r="AZ243" s="5"/>
      <c r="BA243" s="5"/>
      <c r="BB243" s="5"/>
      <c r="BC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</row>
    <row r="244" spans="21:230" ht="12.75">
      <c r="U244" s="5"/>
      <c r="V244" s="5"/>
      <c r="W244" s="5"/>
      <c r="X244" s="5"/>
      <c r="Y244" s="5"/>
      <c r="AA244" s="5"/>
      <c r="AB244" s="5"/>
      <c r="AC244" s="5"/>
      <c r="AD244" s="5"/>
      <c r="AE244" s="5"/>
      <c r="AY244" s="5"/>
      <c r="AZ244" s="5"/>
      <c r="BA244" s="5"/>
      <c r="BB244" s="5"/>
      <c r="BC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</row>
    <row r="245" spans="21:230" ht="12.75">
      <c r="U245" s="5"/>
      <c r="V245" s="5"/>
      <c r="W245" s="5"/>
      <c r="X245" s="5"/>
      <c r="Y245" s="5"/>
      <c r="AA245" s="5"/>
      <c r="AB245" s="5"/>
      <c r="AC245" s="5"/>
      <c r="AD245" s="5"/>
      <c r="AE245" s="5"/>
      <c r="AY245" s="5"/>
      <c r="AZ245" s="5"/>
      <c r="BA245" s="5"/>
      <c r="BB245" s="5"/>
      <c r="BC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</row>
    <row r="246" spans="21:230" ht="12.75">
      <c r="U246" s="5"/>
      <c r="V246" s="5"/>
      <c r="W246" s="5"/>
      <c r="X246" s="5"/>
      <c r="Y246" s="5"/>
      <c r="AA246" s="5"/>
      <c r="AB246" s="5"/>
      <c r="AC246" s="5"/>
      <c r="AD246" s="5"/>
      <c r="AE246" s="5"/>
      <c r="AY246" s="5"/>
      <c r="AZ246" s="5"/>
      <c r="BA246" s="5"/>
      <c r="BB246" s="5"/>
      <c r="BC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</row>
    <row r="247" spans="21:230" ht="12.75">
      <c r="U247" s="5"/>
      <c r="V247" s="5"/>
      <c r="W247" s="5"/>
      <c r="X247" s="5"/>
      <c r="Y247" s="5"/>
      <c r="AA247" s="5"/>
      <c r="AB247" s="5"/>
      <c r="AC247" s="5"/>
      <c r="AD247" s="5"/>
      <c r="AE247" s="5"/>
      <c r="AY247" s="5"/>
      <c r="AZ247" s="5"/>
      <c r="BA247" s="5"/>
      <c r="BB247" s="5"/>
      <c r="BC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</row>
    <row r="248" spans="21:230" ht="12.75">
      <c r="U248" s="5"/>
      <c r="V248" s="5"/>
      <c r="W248" s="5"/>
      <c r="X248" s="5"/>
      <c r="Y248" s="5"/>
      <c r="AA248" s="5"/>
      <c r="AB248" s="5"/>
      <c r="AC248" s="5"/>
      <c r="AD248" s="5"/>
      <c r="AE248" s="5"/>
      <c r="AY248" s="5"/>
      <c r="AZ248" s="5"/>
      <c r="BA248" s="5"/>
      <c r="BB248" s="5"/>
      <c r="BC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</row>
    <row r="249" spans="21:230" ht="12.75">
      <c r="U249" s="5"/>
      <c r="V249" s="5"/>
      <c r="W249" s="5"/>
      <c r="X249" s="5"/>
      <c r="Y249" s="5"/>
      <c r="AA249" s="5"/>
      <c r="AB249" s="5"/>
      <c r="AC249" s="5"/>
      <c r="AD249" s="5"/>
      <c r="AE249" s="5"/>
      <c r="AY249" s="5"/>
      <c r="AZ249" s="5"/>
      <c r="BA249" s="5"/>
      <c r="BB249" s="5"/>
      <c r="BC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</row>
    <row r="250" spans="21:230" ht="12.75">
      <c r="U250" s="5"/>
      <c r="V250" s="5"/>
      <c r="W250" s="5"/>
      <c r="X250" s="5"/>
      <c r="Y250" s="5"/>
      <c r="AA250" s="5"/>
      <c r="AB250" s="5"/>
      <c r="AC250" s="5"/>
      <c r="AD250" s="5"/>
      <c r="AE250" s="5"/>
      <c r="AY250" s="5"/>
      <c r="AZ250" s="5"/>
      <c r="BA250" s="5"/>
      <c r="BB250" s="5"/>
      <c r="BC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</row>
    <row r="251" spans="21:230" ht="12.75">
      <c r="U251" s="5"/>
      <c r="V251" s="5"/>
      <c r="W251" s="5"/>
      <c r="X251" s="5"/>
      <c r="Y251" s="5"/>
      <c r="AA251" s="5"/>
      <c r="AB251" s="5"/>
      <c r="AC251" s="5"/>
      <c r="AD251" s="5"/>
      <c r="AE251" s="5"/>
      <c r="AY251" s="5"/>
      <c r="AZ251" s="5"/>
      <c r="BA251" s="5"/>
      <c r="BB251" s="5"/>
      <c r="BC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</row>
    <row r="252" spans="21:230" ht="12.75">
      <c r="U252" s="5"/>
      <c r="V252" s="5"/>
      <c r="W252" s="5"/>
      <c r="X252" s="5"/>
      <c r="Y252" s="5"/>
      <c r="AA252" s="5"/>
      <c r="AB252" s="5"/>
      <c r="AC252" s="5"/>
      <c r="AD252" s="5"/>
      <c r="AE252" s="5"/>
      <c r="AY252" s="5"/>
      <c r="AZ252" s="5"/>
      <c r="BA252" s="5"/>
      <c r="BB252" s="5"/>
      <c r="BC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</row>
    <row r="253" spans="21:230" ht="12.75">
      <c r="U253" s="5"/>
      <c r="V253" s="5"/>
      <c r="W253" s="5"/>
      <c r="X253" s="5"/>
      <c r="Y253" s="5"/>
      <c r="AA253" s="5"/>
      <c r="AB253" s="5"/>
      <c r="AC253" s="5"/>
      <c r="AD253" s="5"/>
      <c r="AE253" s="5"/>
      <c r="AY253" s="5"/>
      <c r="AZ253" s="5"/>
      <c r="BA253" s="5"/>
      <c r="BB253" s="5"/>
      <c r="BC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</row>
    <row r="254" spans="21:230" ht="12.75">
      <c r="U254" s="5"/>
      <c r="V254" s="5"/>
      <c r="W254" s="5"/>
      <c r="X254" s="5"/>
      <c r="Y254" s="5"/>
      <c r="AA254" s="5"/>
      <c r="AB254" s="5"/>
      <c r="AC254" s="5"/>
      <c r="AD254" s="5"/>
      <c r="AE254" s="5"/>
      <c r="AY254" s="5"/>
      <c r="AZ254" s="5"/>
      <c r="BA254" s="5"/>
      <c r="BB254" s="5"/>
      <c r="BC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</row>
    <row r="255" spans="21:230" ht="12.75">
      <c r="U255" s="5"/>
      <c r="V255" s="5"/>
      <c r="W255" s="5"/>
      <c r="X255" s="5"/>
      <c r="Y255" s="5"/>
      <c r="AA255" s="5"/>
      <c r="AB255" s="5"/>
      <c r="AC255" s="5"/>
      <c r="AD255" s="5"/>
      <c r="AE255" s="5"/>
      <c r="AY255" s="5"/>
      <c r="AZ255" s="5"/>
      <c r="BA255" s="5"/>
      <c r="BB255" s="5"/>
      <c r="BC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</row>
    <row r="256" spans="21:230" ht="12.75">
      <c r="U256" s="5"/>
      <c r="V256" s="5"/>
      <c r="W256" s="5"/>
      <c r="X256" s="5"/>
      <c r="Y256" s="5"/>
      <c r="AA256" s="5"/>
      <c r="AB256" s="5"/>
      <c r="AC256" s="5"/>
      <c r="AD256" s="5"/>
      <c r="AE256" s="5"/>
      <c r="AY256" s="5"/>
      <c r="AZ256" s="5"/>
      <c r="BA256" s="5"/>
      <c r="BB256" s="5"/>
      <c r="BC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</row>
    <row r="257" spans="21:230" ht="12.75">
      <c r="U257" s="5"/>
      <c r="V257" s="5"/>
      <c r="W257" s="5"/>
      <c r="X257" s="5"/>
      <c r="Y257" s="5"/>
      <c r="AA257" s="5"/>
      <c r="AB257" s="5"/>
      <c r="AC257" s="5"/>
      <c r="AD257" s="5"/>
      <c r="AE257" s="5"/>
      <c r="AY257" s="5"/>
      <c r="AZ257" s="5"/>
      <c r="BA257" s="5"/>
      <c r="BB257" s="5"/>
      <c r="BC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</row>
    <row r="258" spans="21:230" ht="12.75">
      <c r="U258" s="5"/>
      <c r="V258" s="5"/>
      <c r="W258" s="5"/>
      <c r="X258" s="5"/>
      <c r="Y258" s="5"/>
      <c r="AA258" s="5"/>
      <c r="AB258" s="5"/>
      <c r="AC258" s="5"/>
      <c r="AD258" s="5"/>
      <c r="AE258" s="5"/>
      <c r="AY258" s="5"/>
      <c r="AZ258" s="5"/>
      <c r="BA258" s="5"/>
      <c r="BB258" s="5"/>
      <c r="BC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</row>
    <row r="259" spans="21:230" ht="12.75">
      <c r="U259" s="5"/>
      <c r="V259" s="5"/>
      <c r="W259" s="5"/>
      <c r="X259" s="5"/>
      <c r="Y259" s="5"/>
      <c r="AA259" s="5"/>
      <c r="AB259" s="5"/>
      <c r="AC259" s="5"/>
      <c r="AD259" s="5"/>
      <c r="AE259" s="5"/>
      <c r="AY259" s="5"/>
      <c r="AZ259" s="5"/>
      <c r="BA259" s="5"/>
      <c r="BB259" s="5"/>
      <c r="BC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</row>
    <row r="260" spans="21:230" ht="12.75">
      <c r="U260" s="5"/>
      <c r="V260" s="5"/>
      <c r="W260" s="5"/>
      <c r="X260" s="5"/>
      <c r="Y260" s="5"/>
      <c r="AA260" s="5"/>
      <c r="AB260" s="5"/>
      <c r="AC260" s="5"/>
      <c r="AD260" s="5"/>
      <c r="AE260" s="5"/>
      <c r="AY260" s="5"/>
      <c r="AZ260" s="5"/>
      <c r="BA260" s="5"/>
      <c r="BB260" s="5"/>
      <c r="BC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</row>
    <row r="261" spans="21:230" ht="12.75">
      <c r="U261" s="5"/>
      <c r="V261" s="5"/>
      <c r="W261" s="5"/>
      <c r="X261" s="5"/>
      <c r="Y261" s="5"/>
      <c r="AA261" s="5"/>
      <c r="AB261" s="5"/>
      <c r="AC261" s="5"/>
      <c r="AD261" s="5"/>
      <c r="AE261" s="5"/>
      <c r="AY261" s="5"/>
      <c r="AZ261" s="5"/>
      <c r="BA261" s="5"/>
      <c r="BB261" s="5"/>
      <c r="BC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</row>
    <row r="262" spans="21:230" ht="12.75">
      <c r="U262" s="5"/>
      <c r="V262" s="5"/>
      <c r="W262" s="5"/>
      <c r="X262" s="5"/>
      <c r="Y262" s="5"/>
      <c r="AA262" s="5"/>
      <c r="AB262" s="5"/>
      <c r="AC262" s="5"/>
      <c r="AD262" s="5"/>
      <c r="AE262" s="5"/>
      <c r="AY262" s="5"/>
      <c r="AZ262" s="5"/>
      <c r="BA262" s="5"/>
      <c r="BB262" s="5"/>
      <c r="BC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</row>
    <row r="263" spans="21:230" ht="12.75">
      <c r="U263" s="5"/>
      <c r="V263" s="5"/>
      <c r="W263" s="5"/>
      <c r="X263" s="5"/>
      <c r="Y263" s="5"/>
      <c r="AA263" s="5"/>
      <c r="AB263" s="5"/>
      <c r="AC263" s="5"/>
      <c r="AD263" s="5"/>
      <c r="AE263" s="5"/>
      <c r="AY263" s="5"/>
      <c r="AZ263" s="5"/>
      <c r="BA263" s="5"/>
      <c r="BB263" s="5"/>
      <c r="BC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</row>
    <row r="264" spans="21:230" ht="12.75">
      <c r="U264" s="5"/>
      <c r="V264" s="5"/>
      <c r="W264" s="5"/>
      <c r="X264" s="5"/>
      <c r="Y264" s="5"/>
      <c r="AA264" s="5"/>
      <c r="AB264" s="5"/>
      <c r="AC264" s="5"/>
      <c r="AD264" s="5"/>
      <c r="AE264" s="5"/>
      <c r="AY264" s="5"/>
      <c r="AZ264" s="5"/>
      <c r="BA264" s="5"/>
      <c r="BB264" s="5"/>
      <c r="BC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</row>
    <row r="265" spans="21:230" ht="12.75">
      <c r="U265" s="5"/>
      <c r="V265" s="5"/>
      <c r="W265" s="5"/>
      <c r="X265" s="5"/>
      <c r="Y265" s="5"/>
      <c r="AA265" s="5"/>
      <c r="AB265" s="5"/>
      <c r="AC265" s="5"/>
      <c r="AD265" s="5"/>
      <c r="AE265" s="5"/>
      <c r="AY265" s="5"/>
      <c r="AZ265" s="5"/>
      <c r="BA265" s="5"/>
      <c r="BB265" s="5"/>
      <c r="BC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</row>
    <row r="266" spans="21:230" ht="12.75">
      <c r="U266" s="5"/>
      <c r="V266" s="5"/>
      <c r="W266" s="5"/>
      <c r="X266" s="5"/>
      <c r="Y266" s="5"/>
      <c r="AA266" s="5"/>
      <c r="AB266" s="5"/>
      <c r="AC266" s="5"/>
      <c r="AD266" s="5"/>
      <c r="AE266" s="5"/>
      <c r="AY266" s="5"/>
      <c r="AZ266" s="5"/>
      <c r="BA266" s="5"/>
      <c r="BB266" s="5"/>
      <c r="BC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</row>
    <row r="267" spans="21:230" ht="12.75">
      <c r="U267" s="5"/>
      <c r="V267" s="5"/>
      <c r="W267" s="5"/>
      <c r="X267" s="5"/>
      <c r="Y267" s="5"/>
      <c r="AA267" s="5"/>
      <c r="AB267" s="5"/>
      <c r="AC267" s="5"/>
      <c r="AD267" s="5"/>
      <c r="AE267" s="5"/>
      <c r="AY267" s="5"/>
      <c r="AZ267" s="5"/>
      <c r="BA267" s="5"/>
      <c r="BB267" s="5"/>
      <c r="BC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</row>
    <row r="268" spans="21:230" ht="12.75">
      <c r="U268" s="5"/>
      <c r="V268" s="5"/>
      <c r="W268" s="5"/>
      <c r="X268" s="5"/>
      <c r="Y268" s="5"/>
      <c r="AA268" s="5"/>
      <c r="AB268" s="5"/>
      <c r="AC268" s="5"/>
      <c r="AD268" s="5"/>
      <c r="AE268" s="5"/>
      <c r="AY268" s="5"/>
      <c r="AZ268" s="5"/>
      <c r="BA268" s="5"/>
      <c r="BB268" s="5"/>
      <c r="BC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</row>
    <row r="269" spans="21:230" ht="12.75">
      <c r="U269" s="5"/>
      <c r="V269" s="5"/>
      <c r="W269" s="5"/>
      <c r="X269" s="5"/>
      <c r="Y269" s="5"/>
      <c r="AA269" s="5"/>
      <c r="AB269" s="5"/>
      <c r="AC269" s="5"/>
      <c r="AD269" s="5"/>
      <c r="AE269" s="5"/>
      <c r="AY269" s="5"/>
      <c r="AZ269" s="5"/>
      <c r="BA269" s="5"/>
      <c r="BB269" s="5"/>
      <c r="BC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</row>
    <row r="270" spans="21:230" ht="12.75">
      <c r="U270" s="5"/>
      <c r="V270" s="5"/>
      <c r="W270" s="5"/>
      <c r="X270" s="5"/>
      <c r="Y270" s="5"/>
      <c r="AA270" s="5"/>
      <c r="AB270" s="5"/>
      <c r="AC270" s="5"/>
      <c r="AD270" s="5"/>
      <c r="AE270" s="5"/>
      <c r="AY270" s="5"/>
      <c r="AZ270" s="5"/>
      <c r="BA270" s="5"/>
      <c r="BB270" s="5"/>
      <c r="BC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</row>
    <row r="271" spans="21:230" ht="12.75">
      <c r="U271" s="5"/>
      <c r="V271" s="5"/>
      <c r="W271" s="5"/>
      <c r="X271" s="5"/>
      <c r="Y271" s="5"/>
      <c r="AA271" s="5"/>
      <c r="AB271" s="5"/>
      <c r="AC271" s="5"/>
      <c r="AD271" s="5"/>
      <c r="AE271" s="5"/>
      <c r="AY271" s="5"/>
      <c r="AZ271" s="5"/>
      <c r="BA271" s="5"/>
      <c r="BB271" s="5"/>
      <c r="BC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</row>
    <row r="272" spans="21:230" ht="12.75">
      <c r="U272" s="5"/>
      <c r="V272" s="5"/>
      <c r="W272" s="5"/>
      <c r="X272" s="5"/>
      <c r="Y272" s="5"/>
      <c r="AA272" s="5"/>
      <c r="AB272" s="5"/>
      <c r="AC272" s="5"/>
      <c r="AD272" s="5"/>
      <c r="AE272" s="5"/>
      <c r="AY272" s="5"/>
      <c r="AZ272" s="5"/>
      <c r="BA272" s="5"/>
      <c r="BB272" s="5"/>
      <c r="BC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</row>
    <row r="273" spans="21:230" ht="12.75">
      <c r="U273" s="5"/>
      <c r="V273" s="5"/>
      <c r="W273" s="5"/>
      <c r="X273" s="5"/>
      <c r="Y273" s="5"/>
      <c r="AA273" s="5"/>
      <c r="AB273" s="5"/>
      <c r="AC273" s="5"/>
      <c r="AD273" s="5"/>
      <c r="AE273" s="5"/>
      <c r="AY273" s="5"/>
      <c r="AZ273" s="5"/>
      <c r="BA273" s="5"/>
      <c r="BB273" s="5"/>
      <c r="BC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</row>
    <row r="274" spans="21:230" ht="12.75">
      <c r="U274" s="5"/>
      <c r="V274" s="5"/>
      <c r="W274" s="5"/>
      <c r="X274" s="5"/>
      <c r="Y274" s="5"/>
      <c r="AA274" s="5"/>
      <c r="AB274" s="5"/>
      <c r="AC274" s="5"/>
      <c r="AD274" s="5"/>
      <c r="AE274" s="5"/>
      <c r="AY274" s="5"/>
      <c r="AZ274" s="5"/>
      <c r="BA274" s="5"/>
      <c r="BB274" s="5"/>
      <c r="BC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</row>
    <row r="275" spans="21:230" ht="12.75">
      <c r="U275" s="5"/>
      <c r="V275" s="5"/>
      <c r="W275" s="5"/>
      <c r="X275" s="5"/>
      <c r="Y275" s="5"/>
      <c r="AA275" s="5"/>
      <c r="AB275" s="5"/>
      <c r="AC275" s="5"/>
      <c r="AD275" s="5"/>
      <c r="AE275" s="5"/>
      <c r="AY275" s="5"/>
      <c r="AZ275" s="5"/>
      <c r="BA275" s="5"/>
      <c r="BB275" s="5"/>
      <c r="BC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</row>
    <row r="276" spans="21:230" ht="12.75">
      <c r="U276" s="5"/>
      <c r="V276" s="5"/>
      <c r="W276" s="5"/>
      <c r="X276" s="5"/>
      <c r="Y276" s="5"/>
      <c r="AA276" s="5"/>
      <c r="AB276" s="5"/>
      <c r="AC276" s="5"/>
      <c r="AD276" s="5"/>
      <c r="AE276" s="5"/>
      <c r="AY276" s="5"/>
      <c r="AZ276" s="5"/>
      <c r="BA276" s="5"/>
      <c r="BB276" s="5"/>
      <c r="BC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</row>
    <row r="277" spans="21:230" ht="12.75">
      <c r="U277" s="5"/>
      <c r="V277" s="5"/>
      <c r="W277" s="5"/>
      <c r="X277" s="5"/>
      <c r="Y277" s="5"/>
      <c r="AA277" s="5"/>
      <c r="AB277" s="5"/>
      <c r="AC277" s="5"/>
      <c r="AD277" s="5"/>
      <c r="AE277" s="5"/>
      <c r="AY277" s="5"/>
      <c r="AZ277" s="5"/>
      <c r="BA277" s="5"/>
      <c r="BB277" s="5"/>
      <c r="BC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</row>
    <row r="278" spans="21:230" ht="12.75">
      <c r="U278" s="5"/>
      <c r="V278" s="5"/>
      <c r="W278" s="5"/>
      <c r="X278" s="5"/>
      <c r="Y278" s="5"/>
      <c r="AA278" s="5"/>
      <c r="AB278" s="5"/>
      <c r="AC278" s="5"/>
      <c r="AD278" s="5"/>
      <c r="AE278" s="5"/>
      <c r="AY278" s="5"/>
      <c r="AZ278" s="5"/>
      <c r="BA278" s="5"/>
      <c r="BB278" s="5"/>
      <c r="BC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</row>
    <row r="279" spans="21:230" ht="12.75">
      <c r="U279" s="5"/>
      <c r="V279" s="5"/>
      <c r="W279" s="5"/>
      <c r="X279" s="5"/>
      <c r="Y279" s="5"/>
      <c r="AA279" s="5"/>
      <c r="AB279" s="5"/>
      <c r="AC279" s="5"/>
      <c r="AD279" s="5"/>
      <c r="AE279" s="5"/>
      <c r="AY279" s="5"/>
      <c r="AZ279" s="5"/>
      <c r="BA279" s="5"/>
      <c r="BB279" s="5"/>
      <c r="BC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</row>
    <row r="280" spans="21:230" ht="12.75">
      <c r="U280" s="5"/>
      <c r="V280" s="5"/>
      <c r="W280" s="5"/>
      <c r="X280" s="5"/>
      <c r="Y280" s="5"/>
      <c r="AA280" s="5"/>
      <c r="AB280" s="5"/>
      <c r="AC280" s="5"/>
      <c r="AD280" s="5"/>
      <c r="AE280" s="5"/>
      <c r="AY280" s="5"/>
      <c r="AZ280" s="5"/>
      <c r="BA280" s="5"/>
      <c r="BB280" s="5"/>
      <c r="BC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</row>
    <row r="281" spans="21:230" ht="12.75">
      <c r="U281" s="5"/>
      <c r="V281" s="5"/>
      <c r="W281" s="5"/>
      <c r="X281" s="5"/>
      <c r="Y281" s="5"/>
      <c r="AA281" s="5"/>
      <c r="AB281" s="5"/>
      <c r="AC281" s="5"/>
      <c r="AD281" s="5"/>
      <c r="AE281" s="5"/>
      <c r="AY281" s="5"/>
      <c r="AZ281" s="5"/>
      <c r="BA281" s="5"/>
      <c r="BB281" s="5"/>
      <c r="BC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</row>
    <row r="282" spans="21:230" ht="12.75">
      <c r="U282" s="5"/>
      <c r="V282" s="5"/>
      <c r="W282" s="5"/>
      <c r="X282" s="5"/>
      <c r="Y282" s="5"/>
      <c r="AA282" s="5"/>
      <c r="AB282" s="5"/>
      <c r="AC282" s="5"/>
      <c r="AD282" s="5"/>
      <c r="AE282" s="5"/>
      <c r="AY282" s="5"/>
      <c r="AZ282" s="5"/>
      <c r="BA282" s="5"/>
      <c r="BB282" s="5"/>
      <c r="BC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</row>
    <row r="283" spans="21:230" ht="12.75">
      <c r="U283" s="5"/>
      <c r="V283" s="5"/>
      <c r="W283" s="5"/>
      <c r="X283" s="5"/>
      <c r="Y283" s="5"/>
      <c r="AA283" s="5"/>
      <c r="AB283" s="5"/>
      <c r="AC283" s="5"/>
      <c r="AD283" s="5"/>
      <c r="AE283" s="5"/>
      <c r="AY283" s="5"/>
      <c r="AZ283" s="5"/>
      <c r="BA283" s="5"/>
      <c r="BB283" s="5"/>
      <c r="BC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</row>
    <row r="284" spans="21:230" ht="12.75">
      <c r="U284" s="5"/>
      <c r="V284" s="5"/>
      <c r="W284" s="5"/>
      <c r="X284" s="5"/>
      <c r="Y284" s="5"/>
      <c r="AA284" s="5"/>
      <c r="AB284" s="5"/>
      <c r="AC284" s="5"/>
      <c r="AD284" s="5"/>
      <c r="AE284" s="5"/>
      <c r="AY284" s="5"/>
      <c r="AZ284" s="5"/>
      <c r="BA284" s="5"/>
      <c r="BB284" s="5"/>
      <c r="BC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</row>
    <row r="285" spans="21:230" ht="12.75">
      <c r="U285" s="5"/>
      <c r="V285" s="5"/>
      <c r="W285" s="5"/>
      <c r="X285" s="5"/>
      <c r="Y285" s="5"/>
      <c r="AA285" s="5"/>
      <c r="AB285" s="5"/>
      <c r="AC285" s="5"/>
      <c r="AD285" s="5"/>
      <c r="AE285" s="5"/>
      <c r="AY285" s="5"/>
      <c r="AZ285" s="5"/>
      <c r="BA285" s="5"/>
      <c r="BB285" s="5"/>
      <c r="BC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</row>
    <row r="286" spans="21:230" ht="12.75">
      <c r="U286" s="5"/>
      <c r="V286" s="5"/>
      <c r="W286" s="5"/>
      <c r="X286" s="5"/>
      <c r="Y286" s="5"/>
      <c r="AA286" s="5"/>
      <c r="AB286" s="5"/>
      <c r="AC286" s="5"/>
      <c r="AD286" s="5"/>
      <c r="AE286" s="5"/>
      <c r="AY286" s="5"/>
      <c r="AZ286" s="5"/>
      <c r="BA286" s="5"/>
      <c r="BB286" s="5"/>
      <c r="BC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</row>
    <row r="287" spans="21:230" ht="12.75">
      <c r="U287" s="5"/>
      <c r="V287" s="5"/>
      <c r="W287" s="5"/>
      <c r="X287" s="5"/>
      <c r="Y287" s="5"/>
      <c r="AA287" s="5"/>
      <c r="AB287" s="5"/>
      <c r="AC287" s="5"/>
      <c r="AD287" s="5"/>
      <c r="AE287" s="5"/>
      <c r="AY287" s="5"/>
      <c r="AZ287" s="5"/>
      <c r="BA287" s="5"/>
      <c r="BB287" s="5"/>
      <c r="BC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</row>
    <row r="288" spans="21:230" ht="12.75">
      <c r="U288" s="5"/>
      <c r="V288" s="5"/>
      <c r="W288" s="5"/>
      <c r="X288" s="5"/>
      <c r="Y288" s="5"/>
      <c r="AA288" s="5"/>
      <c r="AB288" s="5"/>
      <c r="AC288" s="5"/>
      <c r="AD288" s="5"/>
      <c r="AE288" s="5"/>
      <c r="AY288" s="5"/>
      <c r="AZ288" s="5"/>
      <c r="BA288" s="5"/>
      <c r="BB288" s="5"/>
      <c r="BC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</row>
    <row r="289" spans="21:230" ht="12.75">
      <c r="U289" s="5"/>
      <c r="V289" s="5"/>
      <c r="W289" s="5"/>
      <c r="X289" s="5"/>
      <c r="Y289" s="5"/>
      <c r="AA289" s="5"/>
      <c r="AB289" s="5"/>
      <c r="AC289" s="5"/>
      <c r="AD289" s="5"/>
      <c r="AE289" s="5"/>
      <c r="AY289" s="5"/>
      <c r="AZ289" s="5"/>
      <c r="BA289" s="5"/>
      <c r="BB289" s="5"/>
      <c r="BC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</row>
    <row r="290" spans="21:230" ht="12.75">
      <c r="U290" s="5"/>
      <c r="V290" s="5"/>
      <c r="W290" s="5"/>
      <c r="X290" s="5"/>
      <c r="Y290" s="5"/>
      <c r="AA290" s="5"/>
      <c r="AB290" s="5"/>
      <c r="AC290" s="5"/>
      <c r="AD290" s="5"/>
      <c r="AE290" s="5"/>
      <c r="AY290" s="5"/>
      <c r="AZ290" s="5"/>
      <c r="BA290" s="5"/>
      <c r="BB290" s="5"/>
      <c r="BC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</row>
    <row r="291" spans="21:230" ht="12.75">
      <c r="U291" s="5"/>
      <c r="V291" s="5"/>
      <c r="W291" s="5"/>
      <c r="X291" s="5"/>
      <c r="Y291" s="5"/>
      <c r="AA291" s="5"/>
      <c r="AB291" s="5"/>
      <c r="AC291" s="5"/>
      <c r="AD291" s="5"/>
      <c r="AE291" s="5"/>
      <c r="AY291" s="5"/>
      <c r="AZ291" s="5"/>
      <c r="BA291" s="5"/>
      <c r="BB291" s="5"/>
      <c r="BC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</row>
    <row r="292" spans="21:230" ht="12.75">
      <c r="U292" s="5"/>
      <c r="V292" s="5"/>
      <c r="W292" s="5"/>
      <c r="X292" s="5"/>
      <c r="Y292" s="5"/>
      <c r="AA292" s="5"/>
      <c r="AB292" s="5"/>
      <c r="AC292" s="5"/>
      <c r="AD292" s="5"/>
      <c r="AE292" s="5"/>
      <c r="AY292" s="5"/>
      <c r="AZ292" s="5"/>
      <c r="BA292" s="5"/>
      <c r="BB292" s="5"/>
      <c r="BC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</row>
    <row r="293" spans="21:230" ht="12.75">
      <c r="U293" s="5"/>
      <c r="V293" s="5"/>
      <c r="W293" s="5"/>
      <c r="X293" s="5"/>
      <c r="Y293" s="5"/>
      <c r="AA293" s="5"/>
      <c r="AB293" s="5"/>
      <c r="AC293" s="5"/>
      <c r="AD293" s="5"/>
      <c r="AE293" s="5"/>
      <c r="AY293" s="5"/>
      <c r="AZ293" s="5"/>
      <c r="BA293" s="5"/>
      <c r="BB293" s="5"/>
      <c r="BC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</row>
    <row r="294" spans="21:230" ht="12.75">
      <c r="U294" s="5"/>
      <c r="V294" s="5"/>
      <c r="W294" s="5"/>
      <c r="X294" s="5"/>
      <c r="Y294" s="5"/>
      <c r="AA294" s="5"/>
      <c r="AB294" s="5"/>
      <c r="AC294" s="5"/>
      <c r="AD294" s="5"/>
      <c r="AE294" s="5"/>
      <c r="AY294" s="5"/>
      <c r="AZ294" s="5"/>
      <c r="BA294" s="5"/>
      <c r="BB294" s="5"/>
      <c r="BC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</row>
    <row r="295" spans="21:230" ht="12.75">
      <c r="U295" s="5"/>
      <c r="V295" s="5"/>
      <c r="W295" s="5"/>
      <c r="X295" s="5"/>
      <c r="Y295" s="5"/>
      <c r="AA295" s="5"/>
      <c r="AB295" s="5"/>
      <c r="AC295" s="5"/>
      <c r="AD295" s="5"/>
      <c r="AE295" s="5"/>
      <c r="AY295" s="5"/>
      <c r="AZ295" s="5"/>
      <c r="BA295" s="5"/>
      <c r="BB295" s="5"/>
      <c r="BC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</row>
    <row r="296" spans="21:230" ht="12.75">
      <c r="U296" s="5"/>
      <c r="V296" s="5"/>
      <c r="W296" s="5"/>
      <c r="X296" s="5"/>
      <c r="Y296" s="5"/>
      <c r="AA296" s="5"/>
      <c r="AB296" s="5"/>
      <c r="AC296" s="5"/>
      <c r="AD296" s="5"/>
      <c r="AE296" s="5"/>
      <c r="AY296" s="5"/>
      <c r="AZ296" s="5"/>
      <c r="BA296" s="5"/>
      <c r="BB296" s="5"/>
      <c r="BC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</row>
    <row r="297" spans="21:230" ht="12.75">
      <c r="U297" s="5"/>
      <c r="V297" s="5"/>
      <c r="W297" s="5"/>
      <c r="X297" s="5"/>
      <c r="Y297" s="5"/>
      <c r="AA297" s="5"/>
      <c r="AB297" s="5"/>
      <c r="AC297" s="5"/>
      <c r="AD297" s="5"/>
      <c r="AE297" s="5"/>
      <c r="AY297" s="5"/>
      <c r="AZ297" s="5"/>
      <c r="BA297" s="5"/>
      <c r="BB297" s="5"/>
      <c r="BC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</row>
    <row r="298" spans="21:230" ht="12.75">
      <c r="U298" s="5"/>
      <c r="V298" s="5"/>
      <c r="W298" s="5"/>
      <c r="X298" s="5"/>
      <c r="Y298" s="5"/>
      <c r="AA298" s="5"/>
      <c r="AB298" s="5"/>
      <c r="AC298" s="5"/>
      <c r="AD298" s="5"/>
      <c r="AE298" s="5"/>
      <c r="AY298" s="5"/>
      <c r="AZ298" s="5"/>
      <c r="BA298" s="5"/>
      <c r="BB298" s="5"/>
      <c r="BC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</row>
    <row r="299" spans="21:230" ht="12.75">
      <c r="U299" s="5"/>
      <c r="V299" s="5"/>
      <c r="W299" s="5"/>
      <c r="X299" s="5"/>
      <c r="Y299" s="5"/>
      <c r="AA299" s="5"/>
      <c r="AB299" s="5"/>
      <c r="AC299" s="5"/>
      <c r="AD299" s="5"/>
      <c r="AE299" s="5"/>
      <c r="AY299" s="5"/>
      <c r="AZ299" s="5"/>
      <c r="BA299" s="5"/>
      <c r="BB299" s="5"/>
      <c r="BC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</row>
    <row r="300" spans="21:230" ht="12.75">
      <c r="U300" s="5"/>
      <c r="V300" s="5"/>
      <c r="W300" s="5"/>
      <c r="X300" s="5"/>
      <c r="Y300" s="5"/>
      <c r="AA300" s="5"/>
      <c r="AB300" s="5"/>
      <c r="AC300" s="5"/>
      <c r="AD300" s="5"/>
      <c r="AE300" s="5"/>
      <c r="AY300" s="5"/>
      <c r="AZ300" s="5"/>
      <c r="BA300" s="5"/>
      <c r="BB300" s="5"/>
      <c r="BC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</row>
    <row r="301" spans="21:230" ht="12.75">
      <c r="U301" s="5"/>
      <c r="V301" s="5"/>
      <c r="W301" s="5"/>
      <c r="X301" s="5"/>
      <c r="Y301" s="5"/>
      <c r="AA301" s="5"/>
      <c r="AB301" s="5"/>
      <c r="AC301" s="5"/>
      <c r="AD301" s="5"/>
      <c r="AE301" s="5"/>
      <c r="AY301" s="5"/>
      <c r="AZ301" s="5"/>
      <c r="BA301" s="5"/>
      <c r="BB301" s="5"/>
      <c r="BC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</row>
    <row r="302" spans="21:230" ht="12.75">
      <c r="U302" s="5"/>
      <c r="V302" s="5"/>
      <c r="W302" s="5"/>
      <c r="X302" s="5"/>
      <c r="Y302" s="5"/>
      <c r="AA302" s="5"/>
      <c r="AB302" s="5"/>
      <c r="AC302" s="5"/>
      <c r="AD302" s="5"/>
      <c r="AE302" s="5"/>
      <c r="AY302" s="5"/>
      <c r="AZ302" s="5"/>
      <c r="BA302" s="5"/>
      <c r="BB302" s="5"/>
      <c r="BC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</row>
    <row r="303" spans="21:230" ht="12.75">
      <c r="U303" s="5"/>
      <c r="V303" s="5"/>
      <c r="W303" s="5"/>
      <c r="X303" s="5"/>
      <c r="Y303" s="5"/>
      <c r="AA303" s="5"/>
      <c r="AB303" s="5"/>
      <c r="AC303" s="5"/>
      <c r="AD303" s="5"/>
      <c r="AE303" s="5"/>
      <c r="AY303" s="5"/>
      <c r="AZ303" s="5"/>
      <c r="BA303" s="5"/>
      <c r="BB303" s="5"/>
      <c r="BC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</row>
    <row r="304" spans="21:230" ht="12.75">
      <c r="U304" s="5"/>
      <c r="V304" s="5"/>
      <c r="W304" s="5"/>
      <c r="X304" s="5"/>
      <c r="Y304" s="5"/>
      <c r="AA304" s="5"/>
      <c r="AB304" s="5"/>
      <c r="AC304" s="5"/>
      <c r="AD304" s="5"/>
      <c r="AE304" s="5"/>
      <c r="AY304" s="5"/>
      <c r="AZ304" s="5"/>
      <c r="BA304" s="5"/>
      <c r="BB304" s="5"/>
      <c r="BC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</row>
    <row r="305" spans="21:230" ht="12.75">
      <c r="U305" s="5"/>
      <c r="V305" s="5"/>
      <c r="W305" s="5"/>
      <c r="X305" s="5"/>
      <c r="Y305" s="5"/>
      <c r="AA305" s="5"/>
      <c r="AB305" s="5"/>
      <c r="AC305" s="5"/>
      <c r="AD305" s="5"/>
      <c r="AE305" s="5"/>
      <c r="AY305" s="5"/>
      <c r="AZ305" s="5"/>
      <c r="BA305" s="5"/>
      <c r="BB305" s="5"/>
      <c r="BC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</row>
    <row r="306" spans="21:230" ht="12.75">
      <c r="U306" s="5"/>
      <c r="V306" s="5"/>
      <c r="W306" s="5"/>
      <c r="X306" s="5"/>
      <c r="Y306" s="5"/>
      <c r="AA306" s="5"/>
      <c r="AB306" s="5"/>
      <c r="AC306" s="5"/>
      <c r="AD306" s="5"/>
      <c r="AE306" s="5"/>
      <c r="AY306" s="5"/>
      <c r="AZ306" s="5"/>
      <c r="BA306" s="5"/>
      <c r="BB306" s="5"/>
      <c r="BC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</row>
    <row r="307" spans="21:230" ht="12.75">
      <c r="U307" s="5"/>
      <c r="V307" s="5"/>
      <c r="W307" s="5"/>
      <c r="X307" s="5"/>
      <c r="Y307" s="5"/>
      <c r="AA307" s="5"/>
      <c r="AB307" s="5"/>
      <c r="AC307" s="5"/>
      <c r="AD307" s="5"/>
      <c r="AE307" s="5"/>
      <c r="AY307" s="5"/>
      <c r="AZ307" s="5"/>
      <c r="BA307" s="5"/>
      <c r="BB307" s="5"/>
      <c r="BC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</row>
    <row r="308" spans="21:230" ht="12.75">
      <c r="U308" s="5"/>
      <c r="V308" s="5"/>
      <c r="W308" s="5"/>
      <c r="X308" s="5"/>
      <c r="Y308" s="5"/>
      <c r="AA308" s="5"/>
      <c r="AB308" s="5"/>
      <c r="AC308" s="5"/>
      <c r="AD308" s="5"/>
      <c r="AE308" s="5"/>
      <c r="AY308" s="5"/>
      <c r="AZ308" s="5"/>
      <c r="BA308" s="5"/>
      <c r="BB308" s="5"/>
      <c r="BC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</row>
    <row r="309" spans="21:230" ht="12.75">
      <c r="U309" s="5"/>
      <c r="V309" s="5"/>
      <c r="W309" s="5"/>
      <c r="X309" s="5"/>
      <c r="Y309" s="5"/>
      <c r="AA309" s="5"/>
      <c r="AB309" s="5"/>
      <c r="AC309" s="5"/>
      <c r="AD309" s="5"/>
      <c r="AE309" s="5"/>
      <c r="AY309" s="5"/>
      <c r="AZ309" s="5"/>
      <c r="BA309" s="5"/>
      <c r="BB309" s="5"/>
      <c r="BC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</row>
    <row r="310" spans="21:230" ht="12.75">
      <c r="U310" s="5"/>
      <c r="V310" s="5"/>
      <c r="W310" s="5"/>
      <c r="X310" s="5"/>
      <c r="Y310" s="5"/>
      <c r="AA310" s="5"/>
      <c r="AB310" s="5"/>
      <c r="AC310" s="5"/>
      <c r="AD310" s="5"/>
      <c r="AE310" s="5"/>
      <c r="AY310" s="5"/>
      <c r="AZ310" s="5"/>
      <c r="BA310" s="5"/>
      <c r="BB310" s="5"/>
      <c r="BC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</row>
    <row r="311" spans="21:230" ht="12.75">
      <c r="U311" s="5"/>
      <c r="V311" s="5"/>
      <c r="W311" s="5"/>
      <c r="X311" s="5"/>
      <c r="Y311" s="5"/>
      <c r="AA311" s="5"/>
      <c r="AB311" s="5"/>
      <c r="AC311" s="5"/>
      <c r="AD311" s="5"/>
      <c r="AE311" s="5"/>
      <c r="AY311" s="5"/>
      <c r="AZ311" s="5"/>
      <c r="BA311" s="5"/>
      <c r="BB311" s="5"/>
      <c r="BC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</row>
    <row r="312" spans="21:230" ht="12.75">
      <c r="U312" s="5"/>
      <c r="V312" s="5"/>
      <c r="W312" s="5"/>
      <c r="X312" s="5"/>
      <c r="Y312" s="5"/>
      <c r="AA312" s="5"/>
      <c r="AB312" s="5"/>
      <c r="AC312" s="5"/>
      <c r="AD312" s="5"/>
      <c r="AE312" s="5"/>
      <c r="AY312" s="5"/>
      <c r="AZ312" s="5"/>
      <c r="BA312" s="5"/>
      <c r="BB312" s="5"/>
      <c r="BC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</row>
    <row r="313" spans="21:230" ht="12.75">
      <c r="U313" s="5"/>
      <c r="V313" s="5"/>
      <c r="W313" s="5"/>
      <c r="X313" s="5"/>
      <c r="Y313" s="5"/>
      <c r="AA313" s="5"/>
      <c r="AB313" s="5"/>
      <c r="AC313" s="5"/>
      <c r="AD313" s="5"/>
      <c r="AE313" s="5"/>
      <c r="AY313" s="5"/>
      <c r="AZ313" s="5"/>
      <c r="BA313" s="5"/>
      <c r="BB313" s="5"/>
      <c r="BC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</row>
    <row r="314" spans="21:230" ht="12.75">
      <c r="U314" s="5"/>
      <c r="V314" s="5"/>
      <c r="W314" s="5"/>
      <c r="X314" s="5"/>
      <c r="Y314" s="5"/>
      <c r="AA314" s="5"/>
      <c r="AB314" s="5"/>
      <c r="AC314" s="5"/>
      <c r="AD314" s="5"/>
      <c r="AE314" s="5"/>
      <c r="AY314" s="5"/>
      <c r="AZ314" s="5"/>
      <c r="BA314" s="5"/>
      <c r="BB314" s="5"/>
      <c r="BC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</row>
    <row r="315" spans="21:230" ht="12.75">
      <c r="U315" s="5"/>
      <c r="V315" s="5"/>
      <c r="W315" s="5"/>
      <c r="X315" s="5"/>
      <c r="Y315" s="5"/>
      <c r="AA315" s="5"/>
      <c r="AB315" s="5"/>
      <c r="AC315" s="5"/>
      <c r="AD315" s="5"/>
      <c r="AE315" s="5"/>
      <c r="AY315" s="5"/>
      <c r="AZ315" s="5"/>
      <c r="BA315" s="5"/>
      <c r="BB315" s="5"/>
      <c r="BC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</row>
    <row r="316" spans="21:230" ht="12.75">
      <c r="U316" s="5"/>
      <c r="V316" s="5"/>
      <c r="W316" s="5"/>
      <c r="X316" s="5"/>
      <c r="Y316" s="5"/>
      <c r="AA316" s="5"/>
      <c r="AB316" s="5"/>
      <c r="AC316" s="5"/>
      <c r="AD316" s="5"/>
      <c r="AE316" s="5"/>
      <c r="AY316" s="5"/>
      <c r="AZ316" s="5"/>
      <c r="BA316" s="5"/>
      <c r="BB316" s="5"/>
      <c r="BC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</row>
    <row r="317" spans="21:230" ht="12.75">
      <c r="U317" s="5"/>
      <c r="V317" s="5"/>
      <c r="W317" s="5"/>
      <c r="X317" s="5"/>
      <c r="Y317" s="5"/>
      <c r="AA317" s="5"/>
      <c r="AB317" s="5"/>
      <c r="AC317" s="5"/>
      <c r="AD317" s="5"/>
      <c r="AE317" s="5"/>
      <c r="AY317" s="5"/>
      <c r="AZ317" s="5"/>
      <c r="BA317" s="5"/>
      <c r="BB317" s="5"/>
      <c r="BC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</row>
    <row r="318" spans="21:230" ht="12.75">
      <c r="U318" s="5"/>
      <c r="V318" s="5"/>
      <c r="W318" s="5"/>
      <c r="X318" s="5"/>
      <c r="Y318" s="5"/>
      <c r="AA318" s="5"/>
      <c r="AB318" s="5"/>
      <c r="AC318" s="5"/>
      <c r="AD318" s="5"/>
      <c r="AE318" s="5"/>
      <c r="AY318" s="5"/>
      <c r="AZ318" s="5"/>
      <c r="BA318" s="5"/>
      <c r="BB318" s="5"/>
      <c r="BC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</row>
    <row r="319" spans="21:230" ht="12.75">
      <c r="U319" s="5"/>
      <c r="V319" s="5"/>
      <c r="W319" s="5"/>
      <c r="X319" s="5"/>
      <c r="Y319" s="5"/>
      <c r="AA319" s="5"/>
      <c r="AB319" s="5"/>
      <c r="AC319" s="5"/>
      <c r="AD319" s="5"/>
      <c r="AE319" s="5"/>
      <c r="AY319" s="5"/>
      <c r="AZ319" s="5"/>
      <c r="BA319" s="5"/>
      <c r="BB319" s="5"/>
      <c r="BC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</row>
    <row r="320" spans="21:230" ht="12.75">
      <c r="U320" s="5"/>
      <c r="V320" s="5"/>
      <c r="W320" s="5"/>
      <c r="X320" s="5"/>
      <c r="Y320" s="5"/>
      <c r="AA320" s="5"/>
      <c r="AB320" s="5"/>
      <c r="AC320" s="5"/>
      <c r="AD320" s="5"/>
      <c r="AE320" s="5"/>
      <c r="AY320" s="5"/>
      <c r="AZ320" s="5"/>
      <c r="BA320" s="5"/>
      <c r="BB320" s="5"/>
      <c r="BC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</row>
    <row r="321" spans="21:230" ht="12.75">
      <c r="U321" s="5"/>
      <c r="V321" s="5"/>
      <c r="W321" s="5"/>
      <c r="X321" s="5"/>
      <c r="Y321" s="5"/>
      <c r="AA321" s="5"/>
      <c r="AB321" s="5"/>
      <c r="AC321" s="5"/>
      <c r="AD321" s="5"/>
      <c r="AE321" s="5"/>
      <c r="AY321" s="5"/>
      <c r="AZ321" s="5"/>
      <c r="BA321" s="5"/>
      <c r="BB321" s="5"/>
      <c r="BC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</row>
    <row r="322" spans="21:230" ht="12.75">
      <c r="U322" s="5"/>
      <c r="V322" s="5"/>
      <c r="W322" s="5"/>
      <c r="X322" s="5"/>
      <c r="Y322" s="5"/>
      <c r="AA322" s="5"/>
      <c r="AB322" s="5"/>
      <c r="AC322" s="5"/>
      <c r="AD322" s="5"/>
      <c r="AE322" s="5"/>
      <c r="AY322" s="5"/>
      <c r="AZ322" s="5"/>
      <c r="BA322" s="5"/>
      <c r="BB322" s="5"/>
      <c r="BC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</row>
    <row r="323" spans="21:230" ht="12.75">
      <c r="U323" s="5"/>
      <c r="V323" s="5"/>
      <c r="W323" s="5"/>
      <c r="X323" s="5"/>
      <c r="Y323" s="5"/>
      <c r="AA323" s="5"/>
      <c r="AB323" s="5"/>
      <c r="AC323" s="5"/>
      <c r="AD323" s="5"/>
      <c r="AE323" s="5"/>
      <c r="AY323" s="5"/>
      <c r="AZ323" s="5"/>
      <c r="BA323" s="5"/>
      <c r="BB323" s="5"/>
      <c r="BC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</row>
    <row r="324" spans="21:230" ht="12.75">
      <c r="U324" s="5"/>
      <c r="V324" s="5"/>
      <c r="W324" s="5"/>
      <c r="X324" s="5"/>
      <c r="Y324" s="5"/>
      <c r="AA324" s="5"/>
      <c r="AB324" s="5"/>
      <c r="AC324" s="5"/>
      <c r="AD324" s="5"/>
      <c r="AE324" s="5"/>
      <c r="AY324" s="5"/>
      <c r="AZ324" s="5"/>
      <c r="BA324" s="5"/>
      <c r="BB324" s="5"/>
      <c r="BC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</row>
    <row r="325" spans="21:230" ht="12.75">
      <c r="U325" s="5"/>
      <c r="V325" s="5"/>
      <c r="W325" s="5"/>
      <c r="X325" s="5"/>
      <c r="Y325" s="5"/>
      <c r="AA325" s="5"/>
      <c r="AB325" s="5"/>
      <c r="AC325" s="5"/>
      <c r="AD325" s="5"/>
      <c r="AE325" s="5"/>
      <c r="AY325" s="5"/>
      <c r="AZ325" s="5"/>
      <c r="BA325" s="5"/>
      <c r="BB325" s="5"/>
      <c r="BC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</row>
    <row r="326" spans="21:230" ht="12.75">
      <c r="U326" s="5"/>
      <c r="V326" s="5"/>
      <c r="W326" s="5"/>
      <c r="X326" s="5"/>
      <c r="Y326" s="5"/>
      <c r="AA326" s="5"/>
      <c r="AB326" s="5"/>
      <c r="AC326" s="5"/>
      <c r="AD326" s="5"/>
      <c r="AE326" s="5"/>
      <c r="AY326" s="5"/>
      <c r="AZ326" s="5"/>
      <c r="BA326" s="5"/>
      <c r="BB326" s="5"/>
      <c r="BC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</row>
    <row r="327" spans="21:230" ht="12.75">
      <c r="U327" s="5"/>
      <c r="V327" s="5"/>
      <c r="W327" s="5"/>
      <c r="X327" s="5"/>
      <c r="Y327" s="5"/>
      <c r="AA327" s="5"/>
      <c r="AB327" s="5"/>
      <c r="AC327" s="5"/>
      <c r="AD327" s="5"/>
      <c r="AE327" s="5"/>
      <c r="AY327" s="5"/>
      <c r="AZ327" s="5"/>
      <c r="BA327" s="5"/>
      <c r="BB327" s="5"/>
      <c r="BC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</row>
    <row r="328" spans="21:230" ht="12.75">
      <c r="U328" s="5"/>
      <c r="V328" s="5"/>
      <c r="W328" s="5"/>
      <c r="X328" s="5"/>
      <c r="Y328" s="5"/>
      <c r="AA328" s="5"/>
      <c r="AB328" s="5"/>
      <c r="AC328" s="5"/>
      <c r="AD328" s="5"/>
      <c r="AE328" s="5"/>
      <c r="AY328" s="5"/>
      <c r="AZ328" s="5"/>
      <c r="BA328" s="5"/>
      <c r="BB328" s="5"/>
      <c r="BC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</row>
    <row r="329" spans="21:230" ht="12.75">
      <c r="U329" s="5"/>
      <c r="V329" s="5"/>
      <c r="W329" s="5"/>
      <c r="X329" s="5"/>
      <c r="Y329" s="5"/>
      <c r="AA329" s="5"/>
      <c r="AB329" s="5"/>
      <c r="AC329" s="5"/>
      <c r="AD329" s="5"/>
      <c r="AE329" s="5"/>
      <c r="AY329" s="5"/>
      <c r="AZ329" s="5"/>
      <c r="BA329" s="5"/>
      <c r="BB329" s="5"/>
      <c r="BC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</row>
    <row r="330" spans="21:230" ht="12.75">
      <c r="U330" s="5"/>
      <c r="V330" s="5"/>
      <c r="W330" s="5"/>
      <c r="X330" s="5"/>
      <c r="Y330" s="5"/>
      <c r="AA330" s="5"/>
      <c r="AB330" s="5"/>
      <c r="AC330" s="5"/>
      <c r="AD330" s="5"/>
      <c r="AE330" s="5"/>
      <c r="AY330" s="5"/>
      <c r="AZ330" s="5"/>
      <c r="BA330" s="5"/>
      <c r="BB330" s="5"/>
      <c r="BC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</row>
    <row r="331" spans="21:230" ht="12.75">
      <c r="U331" s="5"/>
      <c r="V331" s="5"/>
      <c r="W331" s="5"/>
      <c r="X331" s="5"/>
      <c r="Y331" s="5"/>
      <c r="AA331" s="5"/>
      <c r="AB331" s="5"/>
      <c r="AC331" s="5"/>
      <c r="AD331" s="5"/>
      <c r="AE331" s="5"/>
      <c r="AY331" s="5"/>
      <c r="AZ331" s="5"/>
      <c r="BA331" s="5"/>
      <c r="BB331" s="5"/>
      <c r="BC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</row>
    <row r="332" spans="21:230" ht="12.75">
      <c r="U332" s="5"/>
      <c r="V332" s="5"/>
      <c r="W332" s="5"/>
      <c r="X332" s="5"/>
      <c r="Y332" s="5"/>
      <c r="AA332" s="5"/>
      <c r="AB332" s="5"/>
      <c r="AC332" s="5"/>
      <c r="AD332" s="5"/>
      <c r="AE332" s="5"/>
      <c r="AY332" s="5"/>
      <c r="AZ332" s="5"/>
      <c r="BA332" s="5"/>
      <c r="BB332" s="5"/>
      <c r="BC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</row>
    <row r="333" spans="21:230" ht="12.75">
      <c r="U333" s="5"/>
      <c r="V333" s="5"/>
      <c r="W333" s="5"/>
      <c r="X333" s="5"/>
      <c r="Y333" s="5"/>
      <c r="AA333" s="5"/>
      <c r="AB333" s="5"/>
      <c r="AC333" s="5"/>
      <c r="AD333" s="5"/>
      <c r="AE333" s="5"/>
      <c r="AY333" s="5"/>
      <c r="AZ333" s="5"/>
      <c r="BA333" s="5"/>
      <c r="BB333" s="5"/>
      <c r="BC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</row>
    <row r="334" spans="21:230" ht="12.75">
      <c r="U334" s="5"/>
      <c r="V334" s="5"/>
      <c r="W334" s="5"/>
      <c r="X334" s="5"/>
      <c r="Y334" s="5"/>
      <c r="AA334" s="5"/>
      <c r="AB334" s="5"/>
      <c r="AC334" s="5"/>
      <c r="AD334" s="5"/>
      <c r="AE334" s="5"/>
      <c r="AY334" s="5"/>
      <c r="AZ334" s="5"/>
      <c r="BA334" s="5"/>
      <c r="BB334" s="5"/>
      <c r="BC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</row>
    <row r="335" spans="21:230" ht="12.75">
      <c r="U335" s="5"/>
      <c r="V335" s="5"/>
      <c r="W335" s="5"/>
      <c r="X335" s="5"/>
      <c r="Y335" s="5"/>
      <c r="AA335" s="5"/>
      <c r="AB335" s="5"/>
      <c r="AC335" s="5"/>
      <c r="AD335" s="5"/>
      <c r="AE335" s="5"/>
      <c r="AY335" s="5"/>
      <c r="AZ335" s="5"/>
      <c r="BA335" s="5"/>
      <c r="BB335" s="5"/>
      <c r="BC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</row>
    <row r="336" spans="21:230" ht="12.75">
      <c r="U336" s="5"/>
      <c r="V336" s="5"/>
      <c r="W336" s="5"/>
      <c r="X336" s="5"/>
      <c r="Y336" s="5"/>
      <c r="AA336" s="5"/>
      <c r="AB336" s="5"/>
      <c r="AC336" s="5"/>
      <c r="AD336" s="5"/>
      <c r="AE336" s="5"/>
      <c r="AY336" s="5"/>
      <c r="AZ336" s="5"/>
      <c r="BA336" s="5"/>
      <c r="BB336" s="5"/>
      <c r="BC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</row>
    <row r="337" spans="21:230" ht="12.75">
      <c r="U337" s="5"/>
      <c r="V337" s="5"/>
      <c r="W337" s="5"/>
      <c r="X337" s="5"/>
      <c r="Y337" s="5"/>
      <c r="AA337" s="5"/>
      <c r="AB337" s="5"/>
      <c r="AC337" s="5"/>
      <c r="AD337" s="5"/>
      <c r="AE337" s="5"/>
      <c r="AY337" s="5"/>
      <c r="AZ337" s="5"/>
      <c r="BA337" s="5"/>
      <c r="BB337" s="5"/>
      <c r="BC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</row>
    <row r="338" spans="21:230" ht="12.75">
      <c r="U338" s="5"/>
      <c r="V338" s="5"/>
      <c r="W338" s="5"/>
      <c r="X338" s="5"/>
      <c r="Y338" s="5"/>
      <c r="AA338" s="5"/>
      <c r="AB338" s="5"/>
      <c r="AC338" s="5"/>
      <c r="AD338" s="5"/>
      <c r="AE338" s="5"/>
      <c r="AY338" s="5"/>
      <c r="AZ338" s="5"/>
      <c r="BA338" s="5"/>
      <c r="BB338" s="5"/>
      <c r="BC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</row>
    <row r="339" spans="21:230" ht="12.75">
      <c r="U339" s="5"/>
      <c r="V339" s="5"/>
      <c r="W339" s="5"/>
      <c r="X339" s="5"/>
      <c r="Y339" s="5"/>
      <c r="AA339" s="5"/>
      <c r="AB339" s="5"/>
      <c r="AC339" s="5"/>
      <c r="AD339" s="5"/>
      <c r="AE339" s="5"/>
      <c r="AY339" s="5"/>
      <c r="AZ339" s="5"/>
      <c r="BA339" s="5"/>
      <c r="BB339" s="5"/>
      <c r="BC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</row>
    <row r="340" spans="21:230" ht="12.75">
      <c r="U340" s="5"/>
      <c r="V340" s="5"/>
      <c r="W340" s="5"/>
      <c r="X340" s="5"/>
      <c r="Y340" s="5"/>
      <c r="AA340" s="5"/>
      <c r="AB340" s="5"/>
      <c r="AC340" s="5"/>
      <c r="AD340" s="5"/>
      <c r="AE340" s="5"/>
      <c r="AY340" s="5"/>
      <c r="AZ340" s="5"/>
      <c r="BA340" s="5"/>
      <c r="BB340" s="5"/>
      <c r="BC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</row>
    <row r="341" spans="21:230" ht="12.75">
      <c r="U341" s="5"/>
      <c r="V341" s="5"/>
      <c r="W341" s="5"/>
      <c r="X341" s="5"/>
      <c r="Y341" s="5"/>
      <c r="AA341" s="5"/>
      <c r="AB341" s="5"/>
      <c r="AC341" s="5"/>
      <c r="AD341" s="5"/>
      <c r="AE341" s="5"/>
      <c r="AY341" s="5"/>
      <c r="AZ341" s="5"/>
      <c r="BA341" s="5"/>
      <c r="BB341" s="5"/>
      <c r="BC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</row>
    <row r="342" spans="21:230" ht="12.75">
      <c r="U342" s="5"/>
      <c r="V342" s="5"/>
      <c r="W342" s="5"/>
      <c r="X342" s="5"/>
      <c r="Y342" s="5"/>
      <c r="AA342" s="5"/>
      <c r="AB342" s="5"/>
      <c r="AC342" s="5"/>
      <c r="AD342" s="5"/>
      <c r="AE342" s="5"/>
      <c r="AY342" s="5"/>
      <c r="AZ342" s="5"/>
      <c r="BA342" s="5"/>
      <c r="BB342" s="5"/>
      <c r="BC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</row>
    <row r="343" spans="21:230" ht="12.75">
      <c r="U343" s="5"/>
      <c r="V343" s="5"/>
      <c r="W343" s="5"/>
      <c r="X343" s="5"/>
      <c r="Y343" s="5"/>
      <c r="AA343" s="5"/>
      <c r="AB343" s="5"/>
      <c r="AC343" s="5"/>
      <c r="AD343" s="5"/>
      <c r="AE343" s="5"/>
      <c r="AY343" s="5"/>
      <c r="AZ343" s="5"/>
      <c r="BA343" s="5"/>
      <c r="BB343" s="5"/>
      <c r="BC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</row>
    <row r="344" spans="21:230" ht="12.75">
      <c r="U344" s="5"/>
      <c r="V344" s="5"/>
      <c r="W344" s="5"/>
      <c r="X344" s="5"/>
      <c r="Y344" s="5"/>
      <c r="AA344" s="5"/>
      <c r="AB344" s="5"/>
      <c r="AC344" s="5"/>
      <c r="AD344" s="5"/>
      <c r="AE344" s="5"/>
      <c r="AY344" s="5"/>
      <c r="AZ344" s="5"/>
      <c r="BA344" s="5"/>
      <c r="BB344" s="5"/>
      <c r="BC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</row>
    <row r="345" spans="21:230" ht="12.75">
      <c r="U345" s="5"/>
      <c r="V345" s="5"/>
      <c r="W345" s="5"/>
      <c r="X345" s="5"/>
      <c r="Y345" s="5"/>
      <c r="AA345" s="5"/>
      <c r="AB345" s="5"/>
      <c r="AC345" s="5"/>
      <c r="AD345" s="5"/>
      <c r="AE345" s="5"/>
      <c r="AY345" s="5"/>
      <c r="AZ345" s="5"/>
      <c r="BA345" s="5"/>
      <c r="BB345" s="5"/>
      <c r="BC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</row>
    <row r="346" spans="21:230" ht="12.75">
      <c r="U346" s="5"/>
      <c r="V346" s="5"/>
      <c r="W346" s="5"/>
      <c r="X346" s="5"/>
      <c r="Y346" s="5"/>
      <c r="AA346" s="5"/>
      <c r="AB346" s="5"/>
      <c r="AC346" s="5"/>
      <c r="AD346" s="5"/>
      <c r="AE346" s="5"/>
      <c r="AY346" s="5"/>
      <c r="AZ346" s="5"/>
      <c r="BA346" s="5"/>
      <c r="BB346" s="5"/>
      <c r="BC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</row>
    <row r="347" spans="21:230" ht="12.75">
      <c r="U347" s="5"/>
      <c r="V347" s="5"/>
      <c r="W347" s="5"/>
      <c r="X347" s="5"/>
      <c r="Y347" s="5"/>
      <c r="AA347" s="5"/>
      <c r="AB347" s="5"/>
      <c r="AC347" s="5"/>
      <c r="AD347" s="5"/>
      <c r="AE347" s="5"/>
      <c r="AY347" s="5"/>
      <c r="AZ347" s="5"/>
      <c r="BA347" s="5"/>
      <c r="BB347" s="5"/>
      <c r="BC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</row>
    <row r="348" spans="21:230" ht="12.75">
      <c r="U348" s="5"/>
      <c r="V348" s="5"/>
      <c r="W348" s="5"/>
      <c r="X348" s="5"/>
      <c r="Y348" s="5"/>
      <c r="AA348" s="5"/>
      <c r="AB348" s="5"/>
      <c r="AC348" s="5"/>
      <c r="AD348" s="5"/>
      <c r="AE348" s="5"/>
      <c r="AY348" s="5"/>
      <c r="AZ348" s="5"/>
      <c r="BA348" s="5"/>
      <c r="BB348" s="5"/>
      <c r="BC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</row>
    <row r="349" spans="21:230" ht="12.75">
      <c r="U349" s="5"/>
      <c r="V349" s="5"/>
      <c r="W349" s="5"/>
      <c r="X349" s="5"/>
      <c r="Y349" s="5"/>
      <c r="AA349" s="5"/>
      <c r="AB349" s="5"/>
      <c r="AC349" s="5"/>
      <c r="AD349" s="5"/>
      <c r="AE349" s="5"/>
      <c r="AY349" s="5"/>
      <c r="AZ349" s="5"/>
      <c r="BA349" s="5"/>
      <c r="BB349" s="5"/>
      <c r="BC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</row>
    <row r="350" spans="21:230" ht="12.75">
      <c r="U350" s="5"/>
      <c r="V350" s="5"/>
      <c r="W350" s="5"/>
      <c r="X350" s="5"/>
      <c r="Y350" s="5"/>
      <c r="AA350" s="5"/>
      <c r="AB350" s="5"/>
      <c r="AC350" s="5"/>
      <c r="AD350" s="5"/>
      <c r="AE350" s="5"/>
      <c r="AY350" s="5"/>
      <c r="AZ350" s="5"/>
      <c r="BA350" s="5"/>
      <c r="BB350" s="5"/>
      <c r="BC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</row>
    <row r="351" spans="21:230" ht="12.75">
      <c r="U351" s="5"/>
      <c r="V351" s="5"/>
      <c r="W351" s="5"/>
      <c r="X351" s="5"/>
      <c r="Y351" s="5"/>
      <c r="AA351" s="5"/>
      <c r="AB351" s="5"/>
      <c r="AC351" s="5"/>
      <c r="AD351" s="5"/>
      <c r="AE351" s="5"/>
      <c r="AY351" s="5"/>
      <c r="AZ351" s="5"/>
      <c r="BA351" s="5"/>
      <c r="BB351" s="5"/>
      <c r="BC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</row>
    <row r="352" spans="21:230" ht="12.75">
      <c r="U352" s="5"/>
      <c r="V352" s="5"/>
      <c r="W352" s="5"/>
      <c r="X352" s="5"/>
      <c r="Y352" s="5"/>
      <c r="AA352" s="5"/>
      <c r="AB352" s="5"/>
      <c r="AC352" s="5"/>
      <c r="AD352" s="5"/>
      <c r="AE352" s="5"/>
      <c r="AY352" s="5"/>
      <c r="AZ352" s="5"/>
      <c r="BA352" s="5"/>
      <c r="BB352" s="5"/>
      <c r="BC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</row>
    <row r="353" spans="21:230" ht="12.75">
      <c r="U353" s="5"/>
      <c r="V353" s="5"/>
      <c r="W353" s="5"/>
      <c r="X353" s="5"/>
      <c r="Y353" s="5"/>
      <c r="AA353" s="5"/>
      <c r="AB353" s="5"/>
      <c r="AC353" s="5"/>
      <c r="AD353" s="5"/>
      <c r="AE353" s="5"/>
      <c r="AY353" s="5"/>
      <c r="AZ353" s="5"/>
      <c r="BA353" s="5"/>
      <c r="BB353" s="5"/>
      <c r="BC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</row>
    <row r="354" spans="21:230" ht="12.75">
      <c r="U354" s="5"/>
      <c r="V354" s="5"/>
      <c r="W354" s="5"/>
      <c r="X354" s="5"/>
      <c r="Y354" s="5"/>
      <c r="AA354" s="5"/>
      <c r="AB354" s="5"/>
      <c r="AC354" s="5"/>
      <c r="AD354" s="5"/>
      <c r="AE354" s="5"/>
      <c r="AY354" s="5"/>
      <c r="AZ354" s="5"/>
      <c r="BA354" s="5"/>
      <c r="BB354" s="5"/>
      <c r="BC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</row>
    <row r="355" spans="21:230" ht="12.75">
      <c r="U355" s="5"/>
      <c r="V355" s="5"/>
      <c r="W355" s="5"/>
      <c r="X355" s="5"/>
      <c r="Y355" s="5"/>
      <c r="AA355" s="5"/>
      <c r="AB355" s="5"/>
      <c r="AC355" s="5"/>
      <c r="AD355" s="5"/>
      <c r="AE355" s="5"/>
      <c r="AY355" s="5"/>
      <c r="AZ355" s="5"/>
      <c r="BA355" s="5"/>
      <c r="BB355" s="5"/>
      <c r="BC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</row>
    <row r="356" spans="21:230" ht="12.75">
      <c r="U356" s="5"/>
      <c r="V356" s="5"/>
      <c r="W356" s="5"/>
      <c r="X356" s="5"/>
      <c r="Y356" s="5"/>
      <c r="AA356" s="5"/>
      <c r="AB356" s="5"/>
      <c r="AC356" s="5"/>
      <c r="AD356" s="5"/>
      <c r="AE356" s="5"/>
      <c r="AY356" s="5"/>
      <c r="AZ356" s="5"/>
      <c r="BA356" s="5"/>
      <c r="BB356" s="5"/>
      <c r="BC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</row>
    <row r="357" spans="21:230" ht="12.75">
      <c r="U357" s="5"/>
      <c r="V357" s="5"/>
      <c r="W357" s="5"/>
      <c r="X357" s="5"/>
      <c r="Y357" s="5"/>
      <c r="AA357" s="5"/>
      <c r="AB357" s="5"/>
      <c r="AC357" s="5"/>
      <c r="AD357" s="5"/>
      <c r="AE357" s="5"/>
      <c r="AY357" s="5"/>
      <c r="AZ357" s="5"/>
      <c r="BA357" s="5"/>
      <c r="BB357" s="5"/>
      <c r="BC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</row>
    <row r="358" spans="21:230" ht="12.75">
      <c r="U358" s="5"/>
      <c r="V358" s="5"/>
      <c r="W358" s="5"/>
      <c r="X358" s="5"/>
      <c r="Y358" s="5"/>
      <c r="AA358" s="5"/>
      <c r="AB358" s="5"/>
      <c r="AC358" s="5"/>
      <c r="AD358" s="5"/>
      <c r="AE358" s="5"/>
      <c r="AY358" s="5"/>
      <c r="AZ358" s="5"/>
      <c r="BA358" s="5"/>
      <c r="BB358" s="5"/>
      <c r="BC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</row>
    <row r="359" spans="21:230" ht="12.75">
      <c r="U359" s="5"/>
      <c r="V359" s="5"/>
      <c r="W359" s="5"/>
      <c r="X359" s="5"/>
      <c r="Y359" s="5"/>
      <c r="AA359" s="5"/>
      <c r="AB359" s="5"/>
      <c r="AC359" s="5"/>
      <c r="AD359" s="5"/>
      <c r="AE359" s="5"/>
      <c r="AY359" s="5"/>
      <c r="AZ359" s="5"/>
      <c r="BA359" s="5"/>
      <c r="BB359" s="5"/>
      <c r="BC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</row>
    <row r="360" spans="21:230" ht="12.75">
      <c r="U360" s="5"/>
      <c r="V360" s="5"/>
      <c r="W360" s="5"/>
      <c r="X360" s="5"/>
      <c r="Y360" s="5"/>
      <c r="AA360" s="5"/>
      <c r="AB360" s="5"/>
      <c r="AC360" s="5"/>
      <c r="AD360" s="5"/>
      <c r="AE360" s="5"/>
      <c r="AY360" s="5"/>
      <c r="AZ360" s="5"/>
      <c r="BA360" s="5"/>
      <c r="BB360" s="5"/>
      <c r="BC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</row>
    <row r="361" spans="21:230" ht="12.75">
      <c r="U361" s="5"/>
      <c r="V361" s="5"/>
      <c r="W361" s="5"/>
      <c r="X361" s="5"/>
      <c r="Y361" s="5"/>
      <c r="AA361" s="5"/>
      <c r="AB361" s="5"/>
      <c r="AC361" s="5"/>
      <c r="AD361" s="5"/>
      <c r="AE361" s="5"/>
      <c r="AY361" s="5"/>
      <c r="AZ361" s="5"/>
      <c r="BA361" s="5"/>
      <c r="BB361" s="5"/>
      <c r="BC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</row>
    <row r="362" spans="21:230" ht="12.75">
      <c r="U362" s="5"/>
      <c r="V362" s="5"/>
      <c r="W362" s="5"/>
      <c r="X362" s="5"/>
      <c r="Y362" s="5"/>
      <c r="AA362" s="5"/>
      <c r="AB362" s="5"/>
      <c r="AC362" s="5"/>
      <c r="AD362" s="5"/>
      <c r="AE362" s="5"/>
      <c r="AY362" s="5"/>
      <c r="AZ362" s="5"/>
      <c r="BA362" s="5"/>
      <c r="BB362" s="5"/>
      <c r="BC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</row>
    <row r="363" spans="21:230" ht="12.75">
      <c r="U363" s="5"/>
      <c r="V363" s="5"/>
      <c r="W363" s="5"/>
      <c r="X363" s="5"/>
      <c r="Y363" s="5"/>
      <c r="AA363" s="5"/>
      <c r="AB363" s="5"/>
      <c r="AC363" s="5"/>
      <c r="AD363" s="5"/>
      <c r="AE363" s="5"/>
      <c r="AY363" s="5"/>
      <c r="AZ363" s="5"/>
      <c r="BA363" s="5"/>
      <c r="BB363" s="5"/>
      <c r="BC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</row>
    <row r="364" spans="21:230" ht="12.75">
      <c r="U364" s="5"/>
      <c r="V364" s="5"/>
      <c r="W364" s="5"/>
      <c r="X364" s="5"/>
      <c r="Y364" s="5"/>
      <c r="AA364" s="5"/>
      <c r="AB364" s="5"/>
      <c r="AC364" s="5"/>
      <c r="AD364" s="5"/>
      <c r="AE364" s="5"/>
      <c r="AY364" s="5"/>
      <c r="AZ364" s="5"/>
      <c r="BA364" s="5"/>
      <c r="BB364" s="5"/>
      <c r="BC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</row>
    <row r="365" spans="21:230" ht="12.75">
      <c r="U365" s="5"/>
      <c r="V365" s="5"/>
      <c r="W365" s="5"/>
      <c r="X365" s="5"/>
      <c r="Y365" s="5"/>
      <c r="AA365" s="5"/>
      <c r="AB365" s="5"/>
      <c r="AC365" s="5"/>
      <c r="AD365" s="5"/>
      <c r="AE365" s="5"/>
      <c r="AY365" s="5"/>
      <c r="AZ365" s="5"/>
      <c r="BA365" s="5"/>
      <c r="BB365" s="5"/>
      <c r="BC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</row>
    <row r="366" spans="21:230" ht="12.75">
      <c r="U366" s="5"/>
      <c r="V366" s="5"/>
      <c r="W366" s="5"/>
      <c r="X366" s="5"/>
      <c r="Y366" s="5"/>
      <c r="AA366" s="5"/>
      <c r="AB366" s="5"/>
      <c r="AC366" s="5"/>
      <c r="AD366" s="5"/>
      <c r="AE366" s="5"/>
      <c r="AY366" s="5"/>
      <c r="AZ366" s="5"/>
      <c r="BA366" s="5"/>
      <c r="BB366" s="5"/>
      <c r="BC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</row>
    <row r="367" spans="21:230" ht="12.75">
      <c r="U367" s="5"/>
      <c r="V367" s="5"/>
      <c r="W367" s="5"/>
      <c r="X367" s="5"/>
      <c r="Y367" s="5"/>
      <c r="AA367" s="5"/>
      <c r="AB367" s="5"/>
      <c r="AC367" s="5"/>
      <c r="AD367" s="5"/>
      <c r="AE367" s="5"/>
      <c r="AY367" s="5"/>
      <c r="AZ367" s="5"/>
      <c r="BA367" s="5"/>
      <c r="BB367" s="5"/>
      <c r="BC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</row>
    <row r="368" spans="21:230" ht="12.75">
      <c r="U368" s="5"/>
      <c r="V368" s="5"/>
      <c r="W368" s="5"/>
      <c r="X368" s="5"/>
      <c r="Y368" s="5"/>
      <c r="AA368" s="5"/>
      <c r="AB368" s="5"/>
      <c r="AC368" s="5"/>
      <c r="AD368" s="5"/>
      <c r="AE368" s="5"/>
      <c r="AY368" s="5"/>
      <c r="AZ368" s="5"/>
      <c r="BA368" s="5"/>
      <c r="BB368" s="5"/>
      <c r="BC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</row>
    <row r="369" spans="21:230" ht="12.75">
      <c r="U369" s="5"/>
      <c r="V369" s="5"/>
      <c r="W369" s="5"/>
      <c r="X369" s="5"/>
      <c r="Y369" s="5"/>
      <c r="AA369" s="5"/>
      <c r="AB369" s="5"/>
      <c r="AC369" s="5"/>
      <c r="AD369" s="5"/>
      <c r="AE369" s="5"/>
      <c r="AY369" s="5"/>
      <c r="AZ369" s="5"/>
      <c r="BA369" s="5"/>
      <c r="BB369" s="5"/>
      <c r="BC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</row>
    <row r="370" spans="21:230" ht="12.75">
      <c r="U370" s="5"/>
      <c r="V370" s="5"/>
      <c r="W370" s="5"/>
      <c r="X370" s="5"/>
      <c r="Y370" s="5"/>
      <c r="AA370" s="5"/>
      <c r="AB370" s="5"/>
      <c r="AC370" s="5"/>
      <c r="AD370" s="5"/>
      <c r="AE370" s="5"/>
      <c r="AY370" s="5"/>
      <c r="AZ370" s="5"/>
      <c r="BA370" s="5"/>
      <c r="BB370" s="5"/>
      <c r="BC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</row>
    <row r="371" spans="21:230" ht="12.75">
      <c r="U371" s="5"/>
      <c r="V371" s="5"/>
      <c r="W371" s="5"/>
      <c r="X371" s="5"/>
      <c r="Y371" s="5"/>
      <c r="AA371" s="5"/>
      <c r="AB371" s="5"/>
      <c r="AC371" s="5"/>
      <c r="AD371" s="5"/>
      <c r="AE371" s="5"/>
      <c r="AY371" s="5"/>
      <c r="AZ371" s="5"/>
      <c r="BA371" s="5"/>
      <c r="BB371" s="5"/>
      <c r="BC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</row>
    <row r="372" spans="21:230" ht="12.75">
      <c r="U372" s="5"/>
      <c r="V372" s="5"/>
      <c r="W372" s="5"/>
      <c r="X372" s="5"/>
      <c r="Y372" s="5"/>
      <c r="AA372" s="5"/>
      <c r="AB372" s="5"/>
      <c r="AC372" s="5"/>
      <c r="AD372" s="5"/>
      <c r="AE372" s="5"/>
      <c r="AY372" s="5"/>
      <c r="AZ372" s="5"/>
      <c r="BA372" s="5"/>
      <c r="BB372" s="5"/>
      <c r="BC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</row>
    <row r="373" spans="21:230" ht="12.75">
      <c r="U373" s="5"/>
      <c r="V373" s="5"/>
      <c r="W373" s="5"/>
      <c r="X373" s="5"/>
      <c r="Y373" s="5"/>
      <c r="AA373" s="5"/>
      <c r="AB373" s="5"/>
      <c r="AC373" s="5"/>
      <c r="AD373" s="5"/>
      <c r="AE373" s="5"/>
      <c r="AY373" s="5"/>
      <c r="AZ373" s="5"/>
      <c r="BA373" s="5"/>
      <c r="BB373" s="5"/>
      <c r="BC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</row>
    <row r="374" spans="21:230" ht="12.75">
      <c r="U374" s="5"/>
      <c r="V374" s="5"/>
      <c r="W374" s="5"/>
      <c r="X374" s="5"/>
      <c r="Y374" s="5"/>
      <c r="AA374" s="5"/>
      <c r="AB374" s="5"/>
      <c r="AC374" s="5"/>
      <c r="AD374" s="5"/>
      <c r="AE374" s="5"/>
      <c r="AY374" s="5"/>
      <c r="AZ374" s="5"/>
      <c r="BA374" s="5"/>
      <c r="BB374" s="5"/>
      <c r="BC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</row>
    <row r="375" spans="21:230" ht="12.75">
      <c r="U375" s="5"/>
      <c r="V375" s="5"/>
      <c r="W375" s="5"/>
      <c r="X375" s="5"/>
      <c r="Y375" s="5"/>
      <c r="AA375" s="5"/>
      <c r="AB375" s="5"/>
      <c r="AC375" s="5"/>
      <c r="AD375" s="5"/>
      <c r="AE375" s="5"/>
      <c r="AY375" s="5"/>
      <c r="AZ375" s="5"/>
      <c r="BA375" s="5"/>
      <c r="BB375" s="5"/>
      <c r="BC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</row>
    <row r="376" spans="21:230" ht="12.75">
      <c r="U376" s="5"/>
      <c r="V376" s="5"/>
      <c r="W376" s="5"/>
      <c r="X376" s="5"/>
      <c r="Y376" s="5"/>
      <c r="AA376" s="5"/>
      <c r="AB376" s="5"/>
      <c r="AC376" s="5"/>
      <c r="AD376" s="5"/>
      <c r="AE376" s="5"/>
      <c r="AY376" s="5"/>
      <c r="AZ376" s="5"/>
      <c r="BA376" s="5"/>
      <c r="BB376" s="5"/>
      <c r="BC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</row>
    <row r="377" spans="21:230" ht="12.75">
      <c r="U377" s="5"/>
      <c r="V377" s="5"/>
      <c r="W377" s="5"/>
      <c r="X377" s="5"/>
      <c r="Y377" s="5"/>
      <c r="AA377" s="5"/>
      <c r="AB377" s="5"/>
      <c r="AC377" s="5"/>
      <c r="AD377" s="5"/>
      <c r="AE377" s="5"/>
      <c r="AY377" s="5"/>
      <c r="AZ377" s="5"/>
      <c r="BA377" s="5"/>
      <c r="BB377" s="5"/>
      <c r="BC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</row>
    <row r="378" spans="21:230" ht="12.75">
      <c r="U378" s="5"/>
      <c r="V378" s="5"/>
      <c r="W378" s="5"/>
      <c r="X378" s="5"/>
      <c r="Y378" s="5"/>
      <c r="AA378" s="5"/>
      <c r="AB378" s="5"/>
      <c r="AC378" s="5"/>
      <c r="AD378" s="5"/>
      <c r="AE378" s="5"/>
      <c r="AY378" s="5"/>
      <c r="AZ378" s="5"/>
      <c r="BA378" s="5"/>
      <c r="BB378" s="5"/>
      <c r="BC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</row>
    <row r="379" spans="21:230" ht="12.75">
      <c r="U379" s="5"/>
      <c r="V379" s="5"/>
      <c r="W379" s="5"/>
      <c r="X379" s="5"/>
      <c r="Y379" s="5"/>
      <c r="AA379" s="5"/>
      <c r="AB379" s="5"/>
      <c r="AC379" s="5"/>
      <c r="AD379" s="5"/>
      <c r="AE379" s="5"/>
      <c r="AY379" s="5"/>
      <c r="AZ379" s="5"/>
      <c r="BA379" s="5"/>
      <c r="BB379" s="5"/>
      <c r="BC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</row>
    <row r="380" spans="21:230" ht="12.75">
      <c r="U380" s="5"/>
      <c r="V380" s="5"/>
      <c r="W380" s="5"/>
      <c r="X380" s="5"/>
      <c r="Y380" s="5"/>
      <c r="AA380" s="5"/>
      <c r="AB380" s="5"/>
      <c r="AC380" s="5"/>
      <c r="AD380" s="5"/>
      <c r="AE380" s="5"/>
      <c r="AY380" s="5"/>
      <c r="AZ380" s="5"/>
      <c r="BA380" s="5"/>
      <c r="BB380" s="5"/>
      <c r="BC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</row>
    <row r="381" spans="21:230" ht="12.75">
      <c r="U381" s="5"/>
      <c r="V381" s="5"/>
      <c r="W381" s="5"/>
      <c r="X381" s="5"/>
      <c r="Y381" s="5"/>
      <c r="AA381" s="5"/>
      <c r="AB381" s="5"/>
      <c r="AC381" s="5"/>
      <c r="AD381" s="5"/>
      <c r="AE381" s="5"/>
      <c r="AY381" s="5"/>
      <c r="AZ381" s="5"/>
      <c r="BA381" s="5"/>
      <c r="BB381" s="5"/>
      <c r="BC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</row>
    <row r="382" spans="21:230" ht="12.75">
      <c r="U382" s="5"/>
      <c r="V382" s="5"/>
      <c r="W382" s="5"/>
      <c r="X382" s="5"/>
      <c r="Y382" s="5"/>
      <c r="AA382" s="5"/>
      <c r="AB382" s="5"/>
      <c r="AC382" s="5"/>
      <c r="AD382" s="5"/>
      <c r="AE382" s="5"/>
      <c r="AY382" s="5"/>
      <c r="AZ382" s="5"/>
      <c r="BA382" s="5"/>
      <c r="BB382" s="5"/>
      <c r="BC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</row>
    <row r="383" spans="21:230" ht="12.75">
      <c r="U383" s="5"/>
      <c r="V383" s="5"/>
      <c r="W383" s="5"/>
      <c r="X383" s="5"/>
      <c r="Y383" s="5"/>
      <c r="AA383" s="5"/>
      <c r="AB383" s="5"/>
      <c r="AC383" s="5"/>
      <c r="AD383" s="5"/>
      <c r="AE383" s="5"/>
      <c r="AY383" s="5"/>
      <c r="AZ383" s="5"/>
      <c r="BA383" s="5"/>
      <c r="BB383" s="5"/>
      <c r="BC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</row>
    <row r="384" spans="21:230" ht="12.75">
      <c r="U384" s="5"/>
      <c r="V384" s="5"/>
      <c r="W384" s="5"/>
      <c r="X384" s="5"/>
      <c r="Y384" s="5"/>
      <c r="AA384" s="5"/>
      <c r="AB384" s="5"/>
      <c r="AC384" s="5"/>
      <c r="AD384" s="5"/>
      <c r="AE384" s="5"/>
      <c r="AY384" s="5"/>
      <c r="AZ384" s="5"/>
      <c r="BA384" s="5"/>
      <c r="BB384" s="5"/>
      <c r="BC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</row>
    <row r="385" spans="21:230" ht="12.75">
      <c r="U385" s="5"/>
      <c r="V385" s="5"/>
      <c r="W385" s="5"/>
      <c r="X385" s="5"/>
      <c r="Y385" s="5"/>
      <c r="AA385" s="5"/>
      <c r="AB385" s="5"/>
      <c r="AC385" s="5"/>
      <c r="AD385" s="5"/>
      <c r="AE385" s="5"/>
      <c r="AY385" s="5"/>
      <c r="AZ385" s="5"/>
      <c r="BA385" s="5"/>
      <c r="BB385" s="5"/>
      <c r="BC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</row>
    <row r="386" spans="21:230" ht="12.75">
      <c r="U386" s="5"/>
      <c r="V386" s="5"/>
      <c r="W386" s="5"/>
      <c r="X386" s="5"/>
      <c r="Y386" s="5"/>
      <c r="AA386" s="5"/>
      <c r="AB386" s="5"/>
      <c r="AC386" s="5"/>
      <c r="AD386" s="5"/>
      <c r="AE386" s="5"/>
      <c r="AY386" s="5"/>
      <c r="AZ386" s="5"/>
      <c r="BA386" s="5"/>
      <c r="BB386" s="5"/>
      <c r="BC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</row>
    <row r="387" spans="21:230" ht="12.75">
      <c r="U387" s="5"/>
      <c r="V387" s="5"/>
      <c r="W387" s="5"/>
      <c r="X387" s="5"/>
      <c r="Y387" s="5"/>
      <c r="AA387" s="5"/>
      <c r="AB387" s="5"/>
      <c r="AC387" s="5"/>
      <c r="AD387" s="5"/>
      <c r="AE387" s="5"/>
      <c r="AY387" s="5"/>
      <c r="AZ387" s="5"/>
      <c r="BA387" s="5"/>
      <c r="BB387" s="5"/>
      <c r="BC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</row>
    <row r="388" spans="21:230" ht="12.75">
      <c r="U388" s="5"/>
      <c r="V388" s="5"/>
      <c r="W388" s="5"/>
      <c r="X388" s="5"/>
      <c r="Y388" s="5"/>
      <c r="AA388" s="5"/>
      <c r="AB388" s="5"/>
      <c r="AC388" s="5"/>
      <c r="AD388" s="5"/>
      <c r="AE388" s="5"/>
      <c r="AY388" s="5"/>
      <c r="AZ388" s="5"/>
      <c r="BA388" s="5"/>
      <c r="BB388" s="5"/>
      <c r="BC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</row>
    <row r="389" spans="21:230" ht="12.75">
      <c r="U389" s="5"/>
      <c r="V389" s="5"/>
      <c r="W389" s="5"/>
      <c r="X389" s="5"/>
      <c r="Y389" s="5"/>
      <c r="AA389" s="5"/>
      <c r="AB389" s="5"/>
      <c r="AC389" s="5"/>
      <c r="AD389" s="5"/>
      <c r="AE389" s="5"/>
      <c r="AY389" s="5"/>
      <c r="AZ389" s="5"/>
      <c r="BA389" s="5"/>
      <c r="BB389" s="5"/>
      <c r="BC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</row>
    <row r="390" spans="21:230" ht="12.75">
      <c r="U390" s="5"/>
      <c r="V390" s="5"/>
      <c r="W390" s="5"/>
      <c r="X390" s="5"/>
      <c r="Y390" s="5"/>
      <c r="AA390" s="5"/>
      <c r="AB390" s="5"/>
      <c r="AC390" s="5"/>
      <c r="AD390" s="5"/>
      <c r="AE390" s="5"/>
      <c r="AY390" s="5"/>
      <c r="AZ390" s="5"/>
      <c r="BA390" s="5"/>
      <c r="BB390" s="5"/>
      <c r="BC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</row>
    <row r="391" spans="21:230" ht="12.75">
      <c r="U391" s="5"/>
      <c r="V391" s="5"/>
      <c r="W391" s="5"/>
      <c r="X391" s="5"/>
      <c r="Y391" s="5"/>
      <c r="AA391" s="5"/>
      <c r="AB391" s="5"/>
      <c r="AC391" s="5"/>
      <c r="AD391" s="5"/>
      <c r="AE391" s="5"/>
      <c r="AY391" s="5"/>
      <c r="AZ391" s="5"/>
      <c r="BA391" s="5"/>
      <c r="BB391" s="5"/>
      <c r="BC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</row>
    <row r="392" spans="21:230" ht="12.75">
      <c r="U392" s="5"/>
      <c r="V392" s="5"/>
      <c r="W392" s="5"/>
      <c r="X392" s="5"/>
      <c r="Y392" s="5"/>
      <c r="AA392" s="5"/>
      <c r="AB392" s="5"/>
      <c r="AC392" s="5"/>
      <c r="AD392" s="5"/>
      <c r="AE392" s="5"/>
      <c r="AY392" s="5"/>
      <c r="AZ392" s="5"/>
      <c r="BA392" s="5"/>
      <c r="BB392" s="5"/>
      <c r="BC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</row>
    <row r="393" spans="21:230" ht="12.75">
      <c r="U393" s="5"/>
      <c r="V393" s="5"/>
      <c r="W393" s="5"/>
      <c r="X393" s="5"/>
      <c r="Y393" s="5"/>
      <c r="AA393" s="5"/>
      <c r="AB393" s="5"/>
      <c r="AC393" s="5"/>
      <c r="AD393" s="5"/>
      <c r="AE393" s="5"/>
      <c r="AY393" s="5"/>
      <c r="AZ393" s="5"/>
      <c r="BA393" s="5"/>
      <c r="BB393" s="5"/>
      <c r="BC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</row>
    <row r="394" spans="21:230" ht="12.75">
      <c r="U394" s="5"/>
      <c r="V394" s="5"/>
      <c r="W394" s="5"/>
      <c r="X394" s="5"/>
      <c r="Y394" s="5"/>
      <c r="AA394" s="5"/>
      <c r="AB394" s="5"/>
      <c r="AC394" s="5"/>
      <c r="AD394" s="5"/>
      <c r="AE394" s="5"/>
      <c r="AY394" s="5"/>
      <c r="AZ394" s="5"/>
      <c r="BA394" s="5"/>
      <c r="BB394" s="5"/>
      <c r="BC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</row>
    <row r="395" spans="21:230" ht="12.75">
      <c r="U395" s="5"/>
      <c r="V395" s="5"/>
      <c r="W395" s="5"/>
      <c r="X395" s="5"/>
      <c r="Y395" s="5"/>
      <c r="AA395" s="5"/>
      <c r="AB395" s="5"/>
      <c r="AC395" s="5"/>
      <c r="AD395" s="5"/>
      <c r="AE395" s="5"/>
      <c r="AY395" s="5"/>
      <c r="AZ395" s="5"/>
      <c r="BA395" s="5"/>
      <c r="BB395" s="5"/>
      <c r="BC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</row>
    <row r="396" spans="21:230" ht="12.75">
      <c r="U396" s="5"/>
      <c r="V396" s="5"/>
      <c r="W396" s="5"/>
      <c r="X396" s="5"/>
      <c r="Y396" s="5"/>
      <c r="AA396" s="5"/>
      <c r="AB396" s="5"/>
      <c r="AC396" s="5"/>
      <c r="AD396" s="5"/>
      <c r="AE396" s="5"/>
      <c r="AY396" s="5"/>
      <c r="AZ396" s="5"/>
      <c r="BA396" s="5"/>
      <c r="BB396" s="5"/>
      <c r="BC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</row>
    <row r="397" spans="21:230" ht="12.75">
      <c r="U397" s="5"/>
      <c r="V397" s="5"/>
      <c r="W397" s="5"/>
      <c r="X397" s="5"/>
      <c r="Y397" s="5"/>
      <c r="AA397" s="5"/>
      <c r="AB397" s="5"/>
      <c r="AC397" s="5"/>
      <c r="AD397" s="5"/>
      <c r="AE397" s="5"/>
      <c r="AY397" s="5"/>
      <c r="AZ397" s="5"/>
      <c r="BA397" s="5"/>
      <c r="BB397" s="5"/>
      <c r="BC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</row>
    <row r="398" spans="21:230" ht="12.75">
      <c r="U398" s="5"/>
      <c r="V398" s="5"/>
      <c r="W398" s="5"/>
      <c r="X398" s="5"/>
      <c r="Y398" s="5"/>
      <c r="AA398" s="5"/>
      <c r="AB398" s="5"/>
      <c r="AC398" s="5"/>
      <c r="AD398" s="5"/>
      <c r="AE398" s="5"/>
      <c r="AY398" s="5"/>
      <c r="AZ398" s="5"/>
      <c r="BA398" s="5"/>
      <c r="BB398" s="5"/>
      <c r="BC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</row>
    <row r="399" spans="21:230" ht="12.75">
      <c r="U399" s="5"/>
      <c r="V399" s="5"/>
      <c r="W399" s="5"/>
      <c r="X399" s="5"/>
      <c r="Y399" s="5"/>
      <c r="AA399" s="5"/>
      <c r="AB399" s="5"/>
      <c r="AC399" s="5"/>
      <c r="AD399" s="5"/>
      <c r="AE399" s="5"/>
      <c r="AY399" s="5"/>
      <c r="AZ399" s="5"/>
      <c r="BA399" s="5"/>
      <c r="BB399" s="5"/>
      <c r="BC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</row>
    <row r="400" spans="21:230" ht="12.75">
      <c r="U400" s="5"/>
      <c r="V400" s="5"/>
      <c r="W400" s="5"/>
      <c r="X400" s="5"/>
      <c r="Y400" s="5"/>
      <c r="AA400" s="5"/>
      <c r="AB400" s="5"/>
      <c r="AC400" s="5"/>
      <c r="AD400" s="5"/>
      <c r="AE400" s="5"/>
      <c r="AY400" s="5"/>
      <c r="AZ400" s="5"/>
      <c r="BA400" s="5"/>
      <c r="BB400" s="5"/>
      <c r="BC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</row>
    <row r="401" spans="21:230" ht="12.75">
      <c r="U401" s="5"/>
      <c r="V401" s="5"/>
      <c r="W401" s="5"/>
      <c r="X401" s="5"/>
      <c r="Y401" s="5"/>
      <c r="AA401" s="5"/>
      <c r="AB401" s="5"/>
      <c r="AC401" s="5"/>
      <c r="AD401" s="5"/>
      <c r="AE401" s="5"/>
      <c r="AY401" s="5"/>
      <c r="AZ401" s="5"/>
      <c r="BA401" s="5"/>
      <c r="BB401" s="5"/>
      <c r="BC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</row>
    <row r="402" spans="21:230" ht="12.75">
      <c r="U402" s="5"/>
      <c r="V402" s="5"/>
      <c r="W402" s="5"/>
      <c r="X402" s="5"/>
      <c r="Y402" s="5"/>
      <c r="AA402" s="5"/>
      <c r="AB402" s="5"/>
      <c r="AC402" s="5"/>
      <c r="AD402" s="5"/>
      <c r="AE402" s="5"/>
      <c r="AY402" s="5"/>
      <c r="AZ402" s="5"/>
      <c r="BA402" s="5"/>
      <c r="BB402" s="5"/>
      <c r="BC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</row>
    <row r="403" spans="21:230" ht="12.75">
      <c r="U403" s="5"/>
      <c r="V403" s="5"/>
      <c r="W403" s="5"/>
      <c r="X403" s="5"/>
      <c r="Y403" s="5"/>
      <c r="AA403" s="5"/>
      <c r="AB403" s="5"/>
      <c r="AC403" s="5"/>
      <c r="AD403" s="5"/>
      <c r="AE403" s="5"/>
      <c r="AY403" s="5"/>
      <c r="AZ403" s="5"/>
      <c r="BA403" s="5"/>
      <c r="BB403" s="5"/>
      <c r="BC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</row>
    <row r="404" spans="21:230" ht="12.75">
      <c r="U404" s="5"/>
      <c r="V404" s="5"/>
      <c r="W404" s="5"/>
      <c r="X404" s="5"/>
      <c r="Y404" s="5"/>
      <c r="AA404" s="5"/>
      <c r="AB404" s="5"/>
      <c r="AC404" s="5"/>
      <c r="AD404" s="5"/>
      <c r="AE404" s="5"/>
      <c r="AY404" s="5"/>
      <c r="AZ404" s="5"/>
      <c r="BA404" s="5"/>
      <c r="BB404" s="5"/>
      <c r="BC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</row>
    <row r="405" spans="21:230" ht="12.75">
      <c r="U405" s="5"/>
      <c r="V405" s="5"/>
      <c r="W405" s="5"/>
      <c r="X405" s="5"/>
      <c r="Y405" s="5"/>
      <c r="AA405" s="5"/>
      <c r="AB405" s="5"/>
      <c r="AC405" s="5"/>
      <c r="AD405" s="5"/>
      <c r="AE405" s="5"/>
      <c r="AY405" s="5"/>
      <c r="AZ405" s="5"/>
      <c r="BA405" s="5"/>
      <c r="BB405" s="5"/>
      <c r="BC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</row>
    <row r="406" spans="21:230" ht="12.75">
      <c r="U406" s="5"/>
      <c r="V406" s="5"/>
      <c r="W406" s="5"/>
      <c r="X406" s="5"/>
      <c r="Y406" s="5"/>
      <c r="AA406" s="5"/>
      <c r="AB406" s="5"/>
      <c r="AC406" s="5"/>
      <c r="AD406" s="5"/>
      <c r="AE406" s="5"/>
      <c r="AY406" s="5"/>
      <c r="AZ406" s="5"/>
      <c r="BA406" s="5"/>
      <c r="BB406" s="5"/>
      <c r="BC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</row>
    <row r="407" spans="21:230" ht="12.75">
      <c r="U407" s="5"/>
      <c r="V407" s="5"/>
      <c r="W407" s="5"/>
      <c r="X407" s="5"/>
      <c r="Y407" s="5"/>
      <c r="AA407" s="5"/>
      <c r="AB407" s="5"/>
      <c r="AC407" s="5"/>
      <c r="AD407" s="5"/>
      <c r="AE407" s="5"/>
      <c r="AY407" s="5"/>
      <c r="AZ407" s="5"/>
      <c r="BA407" s="5"/>
      <c r="BB407" s="5"/>
      <c r="BC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</row>
    <row r="408" spans="21:230" ht="12.75">
      <c r="U408" s="5"/>
      <c r="V408" s="5"/>
      <c r="W408" s="5"/>
      <c r="X408" s="5"/>
      <c r="Y408" s="5"/>
      <c r="AA408" s="5"/>
      <c r="AB408" s="5"/>
      <c r="AC408" s="5"/>
      <c r="AD408" s="5"/>
      <c r="AE408" s="5"/>
      <c r="AY408" s="5"/>
      <c r="AZ408" s="5"/>
      <c r="BA408" s="5"/>
      <c r="BB408" s="5"/>
      <c r="BC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</row>
    <row r="409" spans="21:230" ht="12.75">
      <c r="U409" s="5"/>
      <c r="V409" s="5"/>
      <c r="W409" s="5"/>
      <c r="X409" s="5"/>
      <c r="Y409" s="5"/>
      <c r="AA409" s="5"/>
      <c r="AB409" s="5"/>
      <c r="AC409" s="5"/>
      <c r="AD409" s="5"/>
      <c r="AE409" s="5"/>
      <c r="AY409" s="5"/>
      <c r="AZ409" s="5"/>
      <c r="BA409" s="5"/>
      <c r="BB409" s="5"/>
      <c r="BC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</row>
    <row r="410" spans="21:230" ht="12.75">
      <c r="U410" s="5"/>
      <c r="V410" s="5"/>
      <c r="W410" s="5"/>
      <c r="X410" s="5"/>
      <c r="Y410" s="5"/>
      <c r="AA410" s="5"/>
      <c r="AB410" s="5"/>
      <c r="AC410" s="5"/>
      <c r="AD410" s="5"/>
      <c r="AE410" s="5"/>
      <c r="AY410" s="5"/>
      <c r="AZ410" s="5"/>
      <c r="BA410" s="5"/>
      <c r="BB410" s="5"/>
      <c r="BC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</row>
    <row r="411" spans="21:230" ht="12.75">
      <c r="U411" s="5"/>
      <c r="V411" s="5"/>
      <c r="W411" s="5"/>
      <c r="X411" s="5"/>
      <c r="Y411" s="5"/>
      <c r="AA411" s="5"/>
      <c r="AB411" s="5"/>
      <c r="AC411" s="5"/>
      <c r="AD411" s="5"/>
      <c r="AE411" s="5"/>
      <c r="AY411" s="5"/>
      <c r="AZ411" s="5"/>
      <c r="BA411" s="5"/>
      <c r="BB411" s="5"/>
      <c r="BC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</row>
    <row r="412" spans="21:230" ht="12.75">
      <c r="U412" s="5"/>
      <c r="V412" s="5"/>
      <c r="W412" s="5"/>
      <c r="X412" s="5"/>
      <c r="Y412" s="5"/>
      <c r="AA412" s="5"/>
      <c r="AB412" s="5"/>
      <c r="AC412" s="5"/>
      <c r="AD412" s="5"/>
      <c r="AE412" s="5"/>
      <c r="AY412" s="5"/>
      <c r="AZ412" s="5"/>
      <c r="BA412" s="5"/>
      <c r="BB412" s="5"/>
      <c r="BC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</row>
    <row r="413" spans="21:230" ht="12.75">
      <c r="U413" s="5"/>
      <c r="V413" s="5"/>
      <c r="W413" s="5"/>
      <c r="X413" s="5"/>
      <c r="Y413" s="5"/>
      <c r="AA413" s="5"/>
      <c r="AB413" s="5"/>
      <c r="AC413" s="5"/>
      <c r="AD413" s="5"/>
      <c r="AE413" s="5"/>
      <c r="AY413" s="5"/>
      <c r="AZ413" s="5"/>
      <c r="BA413" s="5"/>
      <c r="BB413" s="5"/>
      <c r="BC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</row>
    <row r="414" spans="21:230" ht="12.75">
      <c r="U414" s="5"/>
      <c r="V414" s="5"/>
      <c r="W414" s="5"/>
      <c r="X414" s="5"/>
      <c r="Y414" s="5"/>
      <c r="AA414" s="5"/>
      <c r="AB414" s="5"/>
      <c r="AC414" s="5"/>
      <c r="AD414" s="5"/>
      <c r="AE414" s="5"/>
      <c r="AY414" s="5"/>
      <c r="AZ414" s="5"/>
      <c r="BA414" s="5"/>
      <c r="BB414" s="5"/>
      <c r="BC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</row>
    <row r="415" spans="21:230" ht="12.75">
      <c r="U415" s="5"/>
      <c r="V415" s="5"/>
      <c r="W415" s="5"/>
      <c r="X415" s="5"/>
      <c r="Y415" s="5"/>
      <c r="AA415" s="5"/>
      <c r="AB415" s="5"/>
      <c r="AC415" s="5"/>
      <c r="AD415" s="5"/>
      <c r="AE415" s="5"/>
      <c r="AY415" s="5"/>
      <c r="AZ415" s="5"/>
      <c r="BA415" s="5"/>
      <c r="BB415" s="5"/>
      <c r="BC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</row>
    <row r="416" spans="21:230" ht="12.75">
      <c r="U416" s="5"/>
      <c r="V416" s="5"/>
      <c r="W416" s="5"/>
      <c r="X416" s="5"/>
      <c r="Y416" s="5"/>
      <c r="AA416" s="5"/>
      <c r="AB416" s="5"/>
      <c r="AC416" s="5"/>
      <c r="AD416" s="5"/>
      <c r="AE416" s="5"/>
      <c r="AY416" s="5"/>
      <c r="AZ416" s="5"/>
      <c r="BA416" s="5"/>
      <c r="BB416" s="5"/>
      <c r="BC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</row>
    <row r="417" spans="21:230" ht="12.75">
      <c r="U417" s="5"/>
      <c r="V417" s="5"/>
      <c r="W417" s="5"/>
      <c r="X417" s="5"/>
      <c r="Y417" s="5"/>
      <c r="AA417" s="5"/>
      <c r="AB417" s="5"/>
      <c r="AC417" s="5"/>
      <c r="AD417" s="5"/>
      <c r="AE417" s="5"/>
      <c r="AY417" s="5"/>
      <c r="AZ417" s="5"/>
      <c r="BA417" s="5"/>
      <c r="BB417" s="5"/>
      <c r="BC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</row>
    <row r="418" spans="21:230" ht="12.75">
      <c r="U418" s="5"/>
      <c r="V418" s="5"/>
      <c r="W418" s="5"/>
      <c r="X418" s="5"/>
      <c r="Y418" s="5"/>
      <c r="AA418" s="5"/>
      <c r="AB418" s="5"/>
      <c r="AC418" s="5"/>
      <c r="AD418" s="5"/>
      <c r="AE418" s="5"/>
      <c r="AY418" s="5"/>
      <c r="AZ418" s="5"/>
      <c r="BA418" s="5"/>
      <c r="BB418" s="5"/>
      <c r="BC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</row>
    <row r="419" spans="21:230" ht="12.75">
      <c r="U419" s="5"/>
      <c r="V419" s="5"/>
      <c r="W419" s="5"/>
      <c r="X419" s="5"/>
      <c r="Y419" s="5"/>
      <c r="AA419" s="5"/>
      <c r="AB419" s="5"/>
      <c r="AC419" s="5"/>
      <c r="AD419" s="5"/>
      <c r="AE419" s="5"/>
      <c r="AY419" s="5"/>
      <c r="AZ419" s="5"/>
      <c r="BA419" s="5"/>
      <c r="BB419" s="5"/>
      <c r="BC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</row>
    <row r="420" spans="21:230" ht="12.75">
      <c r="U420" s="5"/>
      <c r="V420" s="5"/>
      <c r="W420" s="5"/>
      <c r="X420" s="5"/>
      <c r="Y420" s="5"/>
      <c r="AA420" s="5"/>
      <c r="AB420" s="5"/>
      <c r="AC420" s="5"/>
      <c r="AD420" s="5"/>
      <c r="AE420" s="5"/>
      <c r="AY420" s="5"/>
      <c r="AZ420" s="5"/>
      <c r="BA420" s="5"/>
      <c r="BB420" s="5"/>
      <c r="BC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</row>
    <row r="421" spans="21:230" ht="12.75">
      <c r="U421" s="5"/>
      <c r="V421" s="5"/>
      <c r="W421" s="5"/>
      <c r="X421" s="5"/>
      <c r="Y421" s="5"/>
      <c r="AA421" s="5"/>
      <c r="AB421" s="5"/>
      <c r="AC421" s="5"/>
      <c r="AD421" s="5"/>
      <c r="AE421" s="5"/>
      <c r="AY421" s="5"/>
      <c r="AZ421" s="5"/>
      <c r="BA421" s="5"/>
      <c r="BB421" s="5"/>
      <c r="BC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</row>
    <row r="422" spans="21:230" ht="12.75">
      <c r="U422" s="5"/>
      <c r="V422" s="5"/>
      <c r="W422" s="5"/>
      <c r="X422" s="5"/>
      <c r="Y422" s="5"/>
      <c r="AA422" s="5"/>
      <c r="AB422" s="5"/>
      <c r="AC422" s="5"/>
      <c r="AD422" s="5"/>
      <c r="AE422" s="5"/>
      <c r="AY422" s="5"/>
      <c r="AZ422" s="5"/>
      <c r="BA422" s="5"/>
      <c r="BB422" s="5"/>
      <c r="BC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</row>
    <row r="423" spans="21:230" ht="12.75">
      <c r="U423" s="5"/>
      <c r="V423" s="5"/>
      <c r="W423" s="5"/>
      <c r="X423" s="5"/>
      <c r="Y423" s="5"/>
      <c r="AA423" s="5"/>
      <c r="AB423" s="5"/>
      <c r="AC423" s="5"/>
      <c r="AD423" s="5"/>
      <c r="AE423" s="5"/>
      <c r="AY423" s="5"/>
      <c r="AZ423" s="5"/>
      <c r="BA423" s="5"/>
      <c r="BB423" s="5"/>
      <c r="BC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</row>
    <row r="424" spans="21:230" ht="12.75">
      <c r="U424" s="5"/>
      <c r="V424" s="5"/>
      <c r="W424" s="5"/>
      <c r="X424" s="5"/>
      <c r="Y424" s="5"/>
      <c r="AA424" s="5"/>
      <c r="AB424" s="5"/>
      <c r="AC424" s="5"/>
      <c r="AD424" s="5"/>
      <c r="AE424" s="5"/>
      <c r="AY424" s="5"/>
      <c r="AZ424" s="5"/>
      <c r="BA424" s="5"/>
      <c r="BB424" s="5"/>
      <c r="BC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</row>
    <row r="425" spans="21:230" ht="12.75">
      <c r="U425" s="5"/>
      <c r="V425" s="5"/>
      <c r="W425" s="5"/>
      <c r="X425" s="5"/>
      <c r="Y425" s="5"/>
      <c r="AA425" s="5"/>
      <c r="AB425" s="5"/>
      <c r="AC425" s="5"/>
      <c r="AD425" s="5"/>
      <c r="AE425" s="5"/>
      <c r="AY425" s="5"/>
      <c r="AZ425" s="5"/>
      <c r="BA425" s="5"/>
      <c r="BB425" s="5"/>
      <c r="BC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</row>
    <row r="426" spans="21:230" ht="12.75">
      <c r="U426" s="5"/>
      <c r="V426" s="5"/>
      <c r="W426" s="5"/>
      <c r="X426" s="5"/>
      <c r="Y426" s="5"/>
      <c r="AA426" s="5"/>
      <c r="AB426" s="5"/>
      <c r="AC426" s="5"/>
      <c r="AD426" s="5"/>
      <c r="AE426" s="5"/>
      <c r="AY426" s="5"/>
      <c r="AZ426" s="5"/>
      <c r="BA426" s="5"/>
      <c r="BB426" s="5"/>
      <c r="BC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</row>
    <row r="427" spans="21:230" ht="12.75">
      <c r="U427" s="5"/>
      <c r="V427" s="5"/>
      <c r="W427" s="5"/>
      <c r="X427" s="5"/>
      <c r="Y427" s="5"/>
      <c r="AA427" s="5"/>
      <c r="AB427" s="5"/>
      <c r="AC427" s="5"/>
      <c r="AD427" s="5"/>
      <c r="AE427" s="5"/>
      <c r="AY427" s="5"/>
      <c r="AZ427" s="5"/>
      <c r="BA427" s="5"/>
      <c r="BB427" s="5"/>
      <c r="BC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</row>
    <row r="428" spans="21:230" ht="12.75">
      <c r="U428" s="5"/>
      <c r="V428" s="5"/>
      <c r="W428" s="5"/>
      <c r="X428" s="5"/>
      <c r="Y428" s="5"/>
      <c r="AA428" s="5"/>
      <c r="AB428" s="5"/>
      <c r="AC428" s="5"/>
      <c r="AD428" s="5"/>
      <c r="AE428" s="5"/>
      <c r="AY428" s="5"/>
      <c r="AZ428" s="5"/>
      <c r="BA428" s="5"/>
      <c r="BB428" s="5"/>
      <c r="BC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</row>
    <row r="429" spans="21:230" ht="12.75">
      <c r="U429" s="5"/>
      <c r="V429" s="5"/>
      <c r="W429" s="5"/>
      <c r="X429" s="5"/>
      <c r="Y429" s="5"/>
      <c r="AA429" s="5"/>
      <c r="AB429" s="5"/>
      <c r="AC429" s="5"/>
      <c r="AD429" s="5"/>
      <c r="AE429" s="5"/>
      <c r="AY429" s="5"/>
      <c r="AZ429" s="5"/>
      <c r="BA429" s="5"/>
      <c r="BB429" s="5"/>
      <c r="BC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</row>
    <row r="430" spans="21:230" ht="12.75">
      <c r="U430" s="5"/>
      <c r="V430" s="5"/>
      <c r="W430" s="5"/>
      <c r="X430" s="5"/>
      <c r="Y430" s="5"/>
      <c r="AA430" s="5"/>
      <c r="AB430" s="5"/>
      <c r="AC430" s="5"/>
      <c r="AD430" s="5"/>
      <c r="AE430" s="5"/>
      <c r="AY430" s="5"/>
      <c r="AZ430" s="5"/>
      <c r="BA430" s="5"/>
      <c r="BB430" s="5"/>
      <c r="BC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</row>
    <row r="431" spans="21:230" ht="12.75">
      <c r="U431" s="5"/>
      <c r="V431" s="5"/>
      <c r="W431" s="5"/>
      <c r="X431" s="5"/>
      <c r="Y431" s="5"/>
      <c r="AA431" s="5"/>
      <c r="AB431" s="5"/>
      <c r="AC431" s="5"/>
      <c r="AD431" s="5"/>
      <c r="AE431" s="5"/>
      <c r="AY431" s="5"/>
      <c r="AZ431" s="5"/>
      <c r="BA431" s="5"/>
      <c r="BB431" s="5"/>
      <c r="BC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</row>
    <row r="432" spans="21:230" ht="12.75">
      <c r="U432" s="5"/>
      <c r="V432" s="5"/>
      <c r="W432" s="5"/>
      <c r="X432" s="5"/>
      <c r="Y432" s="5"/>
      <c r="AA432" s="5"/>
      <c r="AB432" s="5"/>
      <c r="AC432" s="5"/>
      <c r="AD432" s="5"/>
      <c r="AE432" s="5"/>
      <c r="AY432" s="5"/>
      <c r="AZ432" s="5"/>
      <c r="BA432" s="5"/>
      <c r="BB432" s="5"/>
      <c r="BC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</row>
    <row r="433" spans="21:230" ht="12.75">
      <c r="U433" s="5"/>
      <c r="V433" s="5"/>
      <c r="W433" s="5"/>
      <c r="X433" s="5"/>
      <c r="Y433" s="5"/>
      <c r="AA433" s="5"/>
      <c r="AB433" s="5"/>
      <c r="AC433" s="5"/>
      <c r="AD433" s="5"/>
      <c r="AE433" s="5"/>
      <c r="AY433" s="5"/>
      <c r="AZ433" s="5"/>
      <c r="BA433" s="5"/>
      <c r="BB433" s="5"/>
      <c r="BC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</row>
    <row r="434" spans="21:230" ht="12.75">
      <c r="U434" s="5"/>
      <c r="V434" s="5"/>
      <c r="W434" s="5"/>
      <c r="X434" s="5"/>
      <c r="Y434" s="5"/>
      <c r="AA434" s="5"/>
      <c r="AB434" s="5"/>
      <c r="AC434" s="5"/>
      <c r="AD434" s="5"/>
      <c r="AE434" s="5"/>
      <c r="AY434" s="5"/>
      <c r="AZ434" s="5"/>
      <c r="BA434" s="5"/>
      <c r="BB434" s="5"/>
      <c r="BC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</row>
    <row r="435" spans="21:230" ht="12.75">
      <c r="U435" s="5"/>
      <c r="V435" s="5"/>
      <c r="W435" s="5"/>
      <c r="X435" s="5"/>
      <c r="Y435" s="5"/>
      <c r="AA435" s="5"/>
      <c r="AB435" s="5"/>
      <c r="AC435" s="5"/>
      <c r="AD435" s="5"/>
      <c r="AE435" s="5"/>
      <c r="AY435" s="5"/>
      <c r="AZ435" s="5"/>
      <c r="BA435" s="5"/>
      <c r="BB435" s="5"/>
      <c r="BC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</row>
    <row r="436" spans="21:230" ht="12.75">
      <c r="U436" s="5"/>
      <c r="V436" s="5"/>
      <c r="W436" s="5"/>
      <c r="X436" s="5"/>
      <c r="Y436" s="5"/>
      <c r="AA436" s="5"/>
      <c r="AB436" s="5"/>
      <c r="AC436" s="5"/>
      <c r="AD436" s="5"/>
      <c r="AE436" s="5"/>
      <c r="AY436" s="5"/>
      <c r="AZ436" s="5"/>
      <c r="BA436" s="5"/>
      <c r="BB436" s="5"/>
      <c r="BC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</row>
    <row r="437" spans="21:230" ht="12.75">
      <c r="U437" s="5"/>
      <c r="V437" s="5"/>
      <c r="W437" s="5"/>
      <c r="X437" s="5"/>
      <c r="Y437" s="5"/>
      <c r="AA437" s="5"/>
      <c r="AB437" s="5"/>
      <c r="AC437" s="5"/>
      <c r="AD437" s="5"/>
      <c r="AE437" s="5"/>
      <c r="AY437" s="5"/>
      <c r="AZ437" s="5"/>
      <c r="BA437" s="5"/>
      <c r="BB437" s="5"/>
      <c r="BC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</row>
    <row r="438" spans="21:230" ht="12.75">
      <c r="U438" s="5"/>
      <c r="V438" s="5"/>
      <c r="W438" s="5"/>
      <c r="X438" s="5"/>
      <c r="Y438" s="5"/>
      <c r="AA438" s="5"/>
      <c r="AB438" s="5"/>
      <c r="AC438" s="5"/>
      <c r="AD438" s="5"/>
      <c r="AE438" s="5"/>
      <c r="AY438" s="5"/>
      <c r="AZ438" s="5"/>
      <c r="BA438" s="5"/>
      <c r="BB438" s="5"/>
      <c r="BC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</row>
    <row r="439" spans="21:230" ht="12.75">
      <c r="U439" s="5"/>
      <c r="V439" s="5"/>
      <c r="W439" s="5"/>
      <c r="X439" s="5"/>
      <c r="Y439" s="5"/>
      <c r="AA439" s="5"/>
      <c r="AB439" s="5"/>
      <c r="AC439" s="5"/>
      <c r="AD439" s="5"/>
      <c r="AE439" s="5"/>
      <c r="AY439" s="5"/>
      <c r="AZ439" s="5"/>
      <c r="BA439" s="5"/>
      <c r="BB439" s="5"/>
      <c r="BC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</row>
    <row r="440" spans="21:230" ht="12.75">
      <c r="U440" s="5"/>
      <c r="V440" s="5"/>
      <c r="W440" s="5"/>
      <c r="X440" s="5"/>
      <c r="Y440" s="5"/>
      <c r="AA440" s="5"/>
      <c r="AB440" s="5"/>
      <c r="AC440" s="5"/>
      <c r="AD440" s="5"/>
      <c r="AE440" s="5"/>
      <c r="AY440" s="5"/>
      <c r="AZ440" s="5"/>
      <c r="BA440" s="5"/>
      <c r="BB440" s="5"/>
      <c r="BC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</row>
    <row r="441" spans="21:230" ht="12.75">
      <c r="U441" s="5"/>
      <c r="V441" s="5"/>
      <c r="W441" s="5"/>
      <c r="X441" s="5"/>
      <c r="Y441" s="5"/>
      <c r="AA441" s="5"/>
      <c r="AB441" s="5"/>
      <c r="AC441" s="5"/>
      <c r="AD441" s="5"/>
      <c r="AE441" s="5"/>
      <c r="AY441" s="5"/>
      <c r="AZ441" s="5"/>
      <c r="BA441" s="5"/>
      <c r="BB441" s="5"/>
      <c r="BC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</row>
    <row r="442" spans="21:230" ht="12.75">
      <c r="U442" s="5"/>
      <c r="V442" s="5"/>
      <c r="W442" s="5"/>
      <c r="X442" s="5"/>
      <c r="Y442" s="5"/>
      <c r="AA442" s="5"/>
      <c r="AB442" s="5"/>
      <c r="AC442" s="5"/>
      <c r="AD442" s="5"/>
      <c r="AE442" s="5"/>
      <c r="AY442" s="5"/>
      <c r="AZ442" s="5"/>
      <c r="BA442" s="5"/>
      <c r="BB442" s="5"/>
      <c r="BC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</row>
    <row r="443" spans="21:230" ht="12.75">
      <c r="U443" s="5"/>
      <c r="V443" s="5"/>
      <c r="W443" s="5"/>
      <c r="X443" s="5"/>
      <c r="Y443" s="5"/>
      <c r="AA443" s="5"/>
      <c r="AB443" s="5"/>
      <c r="AC443" s="5"/>
      <c r="AD443" s="5"/>
      <c r="AE443" s="5"/>
      <c r="AY443" s="5"/>
      <c r="AZ443" s="5"/>
      <c r="BA443" s="5"/>
      <c r="BB443" s="5"/>
      <c r="BC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</row>
    <row r="444" spans="21:230" ht="12.75">
      <c r="U444" s="5"/>
      <c r="V444" s="5"/>
      <c r="W444" s="5"/>
      <c r="X444" s="5"/>
      <c r="Y444" s="5"/>
      <c r="AA444" s="5"/>
      <c r="AB444" s="5"/>
      <c r="AC444" s="5"/>
      <c r="AD444" s="5"/>
      <c r="AE444" s="5"/>
      <c r="AY444" s="5"/>
      <c r="AZ444" s="5"/>
      <c r="BA444" s="5"/>
      <c r="BB444" s="5"/>
      <c r="BC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</row>
    <row r="445" spans="21:230" ht="12.75">
      <c r="U445" s="5"/>
      <c r="V445" s="5"/>
      <c r="W445" s="5"/>
      <c r="X445" s="5"/>
      <c r="Y445" s="5"/>
      <c r="AA445" s="5"/>
      <c r="AB445" s="5"/>
      <c r="AC445" s="5"/>
      <c r="AD445" s="5"/>
      <c r="AE445" s="5"/>
      <c r="AY445" s="5"/>
      <c r="AZ445" s="5"/>
      <c r="BA445" s="5"/>
      <c r="BB445" s="5"/>
      <c r="BC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</row>
    <row r="446" spans="21:230" ht="12.75">
      <c r="U446" s="5"/>
      <c r="V446" s="5"/>
      <c r="W446" s="5"/>
      <c r="X446" s="5"/>
      <c r="Y446" s="5"/>
      <c r="AA446" s="5"/>
      <c r="AB446" s="5"/>
      <c r="AC446" s="5"/>
      <c r="AD446" s="5"/>
      <c r="AE446" s="5"/>
      <c r="AY446" s="5"/>
      <c r="AZ446" s="5"/>
      <c r="BA446" s="5"/>
      <c r="BB446" s="5"/>
      <c r="BC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</row>
    <row r="447" spans="21:230" ht="12.75">
      <c r="U447" s="5"/>
      <c r="V447" s="5"/>
      <c r="W447" s="5"/>
      <c r="X447" s="5"/>
      <c r="Y447" s="5"/>
      <c r="AA447" s="5"/>
      <c r="AB447" s="5"/>
      <c r="AC447" s="5"/>
      <c r="AD447" s="5"/>
      <c r="AE447" s="5"/>
      <c r="AY447" s="5"/>
      <c r="AZ447" s="5"/>
      <c r="BA447" s="5"/>
      <c r="BB447" s="5"/>
      <c r="BC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</row>
    <row r="448" spans="21:230" ht="12.75">
      <c r="U448" s="5"/>
      <c r="V448" s="5"/>
      <c r="W448" s="5"/>
      <c r="X448" s="5"/>
      <c r="Y448" s="5"/>
      <c r="AA448" s="5"/>
      <c r="AB448" s="5"/>
      <c r="AC448" s="5"/>
      <c r="AD448" s="5"/>
      <c r="AE448" s="5"/>
      <c r="AY448" s="5"/>
      <c r="AZ448" s="5"/>
      <c r="BA448" s="5"/>
      <c r="BB448" s="5"/>
      <c r="BC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</row>
    <row r="449" spans="21:230" ht="12.75">
      <c r="U449" s="5"/>
      <c r="V449" s="5"/>
      <c r="W449" s="5"/>
      <c r="X449" s="5"/>
      <c r="Y449" s="5"/>
      <c r="AA449" s="5"/>
      <c r="AB449" s="5"/>
      <c r="AC449" s="5"/>
      <c r="AD449" s="5"/>
      <c r="AE449" s="5"/>
      <c r="AY449" s="5"/>
      <c r="AZ449" s="5"/>
      <c r="BA449" s="5"/>
      <c r="BB449" s="5"/>
      <c r="BC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</row>
    <row r="450" spans="21:230" ht="12.75">
      <c r="U450" s="5"/>
      <c r="V450" s="5"/>
      <c r="W450" s="5"/>
      <c r="X450" s="5"/>
      <c r="Y450" s="5"/>
      <c r="AA450" s="5"/>
      <c r="AB450" s="5"/>
      <c r="AC450" s="5"/>
      <c r="AD450" s="5"/>
      <c r="AE450" s="5"/>
      <c r="AY450" s="5"/>
      <c r="AZ450" s="5"/>
      <c r="BA450" s="5"/>
      <c r="BB450" s="5"/>
      <c r="BC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</row>
    <row r="451" spans="21:230" ht="12.75">
      <c r="U451" s="5"/>
      <c r="V451" s="5"/>
      <c r="W451" s="5"/>
      <c r="X451" s="5"/>
      <c r="Y451" s="5"/>
      <c r="AA451" s="5"/>
      <c r="AB451" s="5"/>
      <c r="AC451" s="5"/>
      <c r="AD451" s="5"/>
      <c r="AE451" s="5"/>
      <c r="AY451" s="5"/>
      <c r="AZ451" s="5"/>
      <c r="BA451" s="5"/>
      <c r="BB451" s="5"/>
      <c r="BC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</row>
    <row r="452" spans="21:230" ht="12.75">
      <c r="U452" s="5"/>
      <c r="V452" s="5"/>
      <c r="W452" s="5"/>
      <c r="X452" s="5"/>
      <c r="Y452" s="5"/>
      <c r="AA452" s="5"/>
      <c r="AB452" s="5"/>
      <c r="AC452" s="5"/>
      <c r="AD452" s="5"/>
      <c r="AE452" s="5"/>
      <c r="AY452" s="5"/>
      <c r="AZ452" s="5"/>
      <c r="BA452" s="5"/>
      <c r="BB452" s="5"/>
      <c r="BC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</row>
    <row r="453" spans="21:230" ht="12.75">
      <c r="U453" s="5"/>
      <c r="V453" s="5"/>
      <c r="W453" s="5"/>
      <c r="X453" s="5"/>
      <c r="Y453" s="5"/>
      <c r="AA453" s="5"/>
      <c r="AB453" s="5"/>
      <c r="AC453" s="5"/>
      <c r="AD453" s="5"/>
      <c r="AE453" s="5"/>
      <c r="AY453" s="5"/>
      <c r="AZ453" s="5"/>
      <c r="BA453" s="5"/>
      <c r="BB453" s="5"/>
      <c r="BC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</row>
    <row r="454" spans="21:230" ht="12.75">
      <c r="U454" s="5"/>
      <c r="V454" s="5"/>
      <c r="W454" s="5"/>
      <c r="X454" s="5"/>
      <c r="Y454" s="5"/>
      <c r="AA454" s="5"/>
      <c r="AB454" s="5"/>
      <c r="AC454" s="5"/>
      <c r="AD454" s="5"/>
      <c r="AE454" s="5"/>
      <c r="AY454" s="5"/>
      <c r="AZ454" s="5"/>
      <c r="BA454" s="5"/>
      <c r="BB454" s="5"/>
      <c r="BC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</row>
    <row r="455" spans="21:230" ht="12.75">
      <c r="U455" s="5"/>
      <c r="V455" s="5"/>
      <c r="W455" s="5"/>
      <c r="X455" s="5"/>
      <c r="Y455" s="5"/>
      <c r="AA455" s="5"/>
      <c r="AB455" s="5"/>
      <c r="AC455" s="5"/>
      <c r="AD455" s="5"/>
      <c r="AE455" s="5"/>
      <c r="AY455" s="5"/>
      <c r="AZ455" s="5"/>
      <c r="BA455" s="5"/>
      <c r="BB455" s="5"/>
      <c r="BC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</row>
    <row r="456" spans="21:230" ht="12.75">
      <c r="U456" s="5"/>
      <c r="V456" s="5"/>
      <c r="W456" s="5"/>
      <c r="X456" s="5"/>
      <c r="Y456" s="5"/>
      <c r="AA456" s="5"/>
      <c r="AB456" s="5"/>
      <c r="AC456" s="5"/>
      <c r="AD456" s="5"/>
      <c r="AE456" s="5"/>
      <c r="AY456" s="5"/>
      <c r="AZ456" s="5"/>
      <c r="BA456" s="5"/>
      <c r="BB456" s="5"/>
      <c r="BC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</row>
    <row r="457" spans="21:230" ht="12.75">
      <c r="U457" s="5"/>
      <c r="V457" s="5"/>
      <c r="W457" s="5"/>
      <c r="X457" s="5"/>
      <c r="Y457" s="5"/>
      <c r="AA457" s="5"/>
      <c r="AB457" s="5"/>
      <c r="AC457" s="5"/>
      <c r="AD457" s="5"/>
      <c r="AE457" s="5"/>
      <c r="AY457" s="5"/>
      <c r="AZ457" s="5"/>
      <c r="BA457" s="5"/>
      <c r="BB457" s="5"/>
      <c r="BC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</row>
    <row r="458" spans="21:230" ht="12.75">
      <c r="U458" s="5"/>
      <c r="V458" s="5"/>
      <c r="W458" s="5"/>
      <c r="X458" s="5"/>
      <c r="Y458" s="5"/>
      <c r="AA458" s="5"/>
      <c r="AB458" s="5"/>
      <c r="AC458" s="5"/>
      <c r="AD458" s="5"/>
      <c r="AE458" s="5"/>
      <c r="AY458" s="5"/>
      <c r="AZ458" s="5"/>
      <c r="BA458" s="5"/>
      <c r="BB458" s="5"/>
      <c r="BC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</row>
    <row r="459" spans="21:230" ht="12.75">
      <c r="U459" s="5"/>
      <c r="V459" s="5"/>
      <c r="W459" s="5"/>
      <c r="X459" s="5"/>
      <c r="Y459" s="5"/>
      <c r="AA459" s="5"/>
      <c r="AB459" s="5"/>
      <c r="AC459" s="5"/>
      <c r="AD459" s="5"/>
      <c r="AE459" s="5"/>
      <c r="AY459" s="5"/>
      <c r="AZ459" s="5"/>
      <c r="BA459" s="5"/>
      <c r="BB459" s="5"/>
      <c r="BC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</row>
    <row r="460" spans="21:230" ht="12.75">
      <c r="U460" s="5"/>
      <c r="V460" s="5"/>
      <c r="W460" s="5"/>
      <c r="X460" s="5"/>
      <c r="Y460" s="5"/>
      <c r="AA460" s="5"/>
      <c r="AB460" s="5"/>
      <c r="AC460" s="5"/>
      <c r="AD460" s="5"/>
      <c r="AE460" s="5"/>
      <c r="AY460" s="5"/>
      <c r="AZ460" s="5"/>
      <c r="BA460" s="5"/>
      <c r="BB460" s="5"/>
      <c r="BC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</row>
    <row r="461" spans="21:230" ht="12.75">
      <c r="U461" s="5"/>
      <c r="V461" s="5"/>
      <c r="W461" s="5"/>
      <c r="X461" s="5"/>
      <c r="Y461" s="5"/>
      <c r="AA461" s="5"/>
      <c r="AB461" s="5"/>
      <c r="AC461" s="5"/>
      <c r="AD461" s="5"/>
      <c r="AE461" s="5"/>
      <c r="AY461" s="5"/>
      <c r="AZ461" s="5"/>
      <c r="BA461" s="5"/>
      <c r="BB461" s="5"/>
      <c r="BC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</row>
    <row r="462" spans="21:230" ht="12.75">
      <c r="U462" s="5"/>
      <c r="V462" s="5"/>
      <c r="W462" s="5"/>
      <c r="X462" s="5"/>
      <c r="Y462" s="5"/>
      <c r="AA462" s="5"/>
      <c r="AB462" s="5"/>
      <c r="AC462" s="5"/>
      <c r="AD462" s="5"/>
      <c r="AE462" s="5"/>
      <c r="AY462" s="5"/>
      <c r="AZ462" s="5"/>
      <c r="BA462" s="5"/>
      <c r="BB462" s="5"/>
      <c r="BC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</row>
    <row r="463" spans="21:230" ht="12.75">
      <c r="U463" s="5"/>
      <c r="V463" s="5"/>
      <c r="W463" s="5"/>
      <c r="X463" s="5"/>
      <c r="Y463" s="5"/>
      <c r="AA463" s="5"/>
      <c r="AB463" s="5"/>
      <c r="AC463" s="5"/>
      <c r="AD463" s="5"/>
      <c r="AE463" s="5"/>
      <c r="AY463" s="5"/>
      <c r="AZ463" s="5"/>
      <c r="BA463" s="5"/>
      <c r="BB463" s="5"/>
      <c r="BC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</row>
    <row r="464" spans="21:230" ht="12.75">
      <c r="U464" s="5"/>
      <c r="V464" s="5"/>
      <c r="W464" s="5"/>
      <c r="X464" s="5"/>
      <c r="Y464" s="5"/>
      <c r="AA464" s="5"/>
      <c r="AB464" s="5"/>
      <c r="AC464" s="5"/>
      <c r="AD464" s="5"/>
      <c r="AE464" s="5"/>
      <c r="AY464" s="5"/>
      <c r="AZ464" s="5"/>
      <c r="BA464" s="5"/>
      <c r="BB464" s="5"/>
      <c r="BC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</row>
    <row r="465" spans="21:230" ht="12.75">
      <c r="U465" s="5"/>
      <c r="V465" s="5"/>
      <c r="W465" s="5"/>
      <c r="X465" s="5"/>
      <c r="Y465" s="5"/>
      <c r="AA465" s="5"/>
      <c r="AB465" s="5"/>
      <c r="AC465" s="5"/>
      <c r="AD465" s="5"/>
      <c r="AE465" s="5"/>
      <c r="AY465" s="5"/>
      <c r="AZ465" s="5"/>
      <c r="BA465" s="5"/>
      <c r="BB465" s="5"/>
      <c r="BC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</row>
    <row r="466" spans="21:230" ht="12.75">
      <c r="U466" s="5"/>
      <c r="V466" s="5"/>
      <c r="W466" s="5"/>
      <c r="X466" s="5"/>
      <c r="Y466" s="5"/>
      <c r="AA466" s="5"/>
      <c r="AB466" s="5"/>
      <c r="AC466" s="5"/>
      <c r="AD466" s="5"/>
      <c r="AE466" s="5"/>
      <c r="AY466" s="5"/>
      <c r="AZ466" s="5"/>
      <c r="BA466" s="5"/>
      <c r="BB466" s="5"/>
      <c r="BC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</row>
    <row r="467" spans="21:230" ht="12.75">
      <c r="U467" s="5"/>
      <c r="V467" s="5"/>
      <c r="W467" s="5"/>
      <c r="X467" s="5"/>
      <c r="Y467" s="5"/>
      <c r="AA467" s="5"/>
      <c r="AB467" s="5"/>
      <c r="AC467" s="5"/>
      <c r="AD467" s="5"/>
      <c r="AE467" s="5"/>
      <c r="AY467" s="5"/>
      <c r="AZ467" s="5"/>
      <c r="BA467" s="5"/>
      <c r="BB467" s="5"/>
      <c r="BC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</row>
    <row r="468" spans="21:230" ht="12.75">
      <c r="U468" s="5"/>
      <c r="V468" s="5"/>
      <c r="W468" s="5"/>
      <c r="X468" s="5"/>
      <c r="Y468" s="5"/>
      <c r="AA468" s="5"/>
      <c r="AB468" s="5"/>
      <c r="AC468" s="5"/>
      <c r="AD468" s="5"/>
      <c r="AE468" s="5"/>
      <c r="AY468" s="5"/>
      <c r="AZ468" s="5"/>
      <c r="BA468" s="5"/>
      <c r="BB468" s="5"/>
      <c r="BC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</row>
    <row r="469" spans="21:230" ht="12.75">
      <c r="U469" s="5"/>
      <c r="V469" s="5"/>
      <c r="W469" s="5"/>
      <c r="X469" s="5"/>
      <c r="Y469" s="5"/>
      <c r="AA469" s="5"/>
      <c r="AB469" s="5"/>
      <c r="AC469" s="5"/>
      <c r="AD469" s="5"/>
      <c r="AE469" s="5"/>
      <c r="AY469" s="5"/>
      <c r="AZ469" s="5"/>
      <c r="BA469" s="5"/>
      <c r="BB469" s="5"/>
      <c r="BC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</row>
    <row r="470" spans="21:230" ht="12.75">
      <c r="U470" s="5"/>
      <c r="V470" s="5"/>
      <c r="W470" s="5"/>
      <c r="X470" s="5"/>
      <c r="Y470" s="5"/>
      <c r="AA470" s="5"/>
      <c r="AB470" s="5"/>
      <c r="AC470" s="5"/>
      <c r="AD470" s="5"/>
      <c r="AE470" s="5"/>
      <c r="AY470" s="5"/>
      <c r="AZ470" s="5"/>
      <c r="BA470" s="5"/>
      <c r="BB470" s="5"/>
      <c r="BC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</row>
    <row r="471" spans="21:230" ht="12.75">
      <c r="U471" s="5"/>
      <c r="V471" s="5"/>
      <c r="W471" s="5"/>
      <c r="X471" s="5"/>
      <c r="Y471" s="5"/>
      <c r="AA471" s="5"/>
      <c r="AB471" s="5"/>
      <c r="AC471" s="5"/>
      <c r="AD471" s="5"/>
      <c r="AE471" s="5"/>
      <c r="AY471" s="5"/>
      <c r="AZ471" s="5"/>
      <c r="BA471" s="5"/>
      <c r="BB471" s="5"/>
      <c r="BC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</row>
    <row r="472" spans="21:230" ht="12.75">
      <c r="U472" s="5"/>
      <c r="V472" s="5"/>
      <c r="W472" s="5"/>
      <c r="X472" s="5"/>
      <c r="Y472" s="5"/>
      <c r="AA472" s="5"/>
      <c r="AB472" s="5"/>
      <c r="AC472" s="5"/>
      <c r="AD472" s="5"/>
      <c r="AE472" s="5"/>
      <c r="AY472" s="5"/>
      <c r="AZ472" s="5"/>
      <c r="BA472" s="5"/>
      <c r="BB472" s="5"/>
      <c r="BC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</row>
    <row r="473" spans="21:230" ht="12.75">
      <c r="U473" s="5"/>
      <c r="V473" s="5"/>
      <c r="W473" s="5"/>
      <c r="X473" s="5"/>
      <c r="Y473" s="5"/>
      <c r="AA473" s="5"/>
      <c r="AB473" s="5"/>
      <c r="AC473" s="5"/>
      <c r="AD473" s="5"/>
      <c r="AE473" s="5"/>
      <c r="AY473" s="5"/>
      <c r="AZ473" s="5"/>
      <c r="BA473" s="5"/>
      <c r="BB473" s="5"/>
      <c r="BC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</row>
    <row r="474" spans="21:230" ht="12.75">
      <c r="U474" s="5"/>
      <c r="V474" s="5"/>
      <c r="W474" s="5"/>
      <c r="X474" s="5"/>
      <c r="Y474" s="5"/>
      <c r="AA474" s="5"/>
      <c r="AB474" s="5"/>
      <c r="AC474" s="5"/>
      <c r="AD474" s="5"/>
      <c r="AE474" s="5"/>
      <c r="AY474" s="5"/>
      <c r="AZ474" s="5"/>
      <c r="BA474" s="5"/>
      <c r="BB474" s="5"/>
      <c r="BC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</row>
    <row r="475" spans="21:230" ht="12.75">
      <c r="U475" s="5"/>
      <c r="V475" s="5"/>
      <c r="W475" s="5"/>
      <c r="X475" s="5"/>
      <c r="Y475" s="5"/>
      <c r="AA475" s="5"/>
      <c r="AB475" s="5"/>
      <c r="AC475" s="5"/>
      <c r="AD475" s="5"/>
      <c r="AE475" s="5"/>
      <c r="AY475" s="5"/>
      <c r="AZ475" s="5"/>
      <c r="BA475" s="5"/>
      <c r="BB475" s="5"/>
      <c r="BC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</row>
    <row r="476" spans="21:230" ht="12.75">
      <c r="U476" s="5"/>
      <c r="V476" s="5"/>
      <c r="W476" s="5"/>
      <c r="X476" s="5"/>
      <c r="Y476" s="5"/>
      <c r="AA476" s="5"/>
      <c r="AB476" s="5"/>
      <c r="AC476" s="5"/>
      <c r="AD476" s="5"/>
      <c r="AE476" s="5"/>
      <c r="AY476" s="5"/>
      <c r="AZ476" s="5"/>
      <c r="BA476" s="5"/>
      <c r="BB476" s="5"/>
      <c r="BC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</row>
    <row r="477" spans="21:230" ht="12.75">
      <c r="U477" s="5"/>
      <c r="V477" s="5"/>
      <c r="W477" s="5"/>
      <c r="X477" s="5"/>
      <c r="Y477" s="5"/>
      <c r="AA477" s="5"/>
      <c r="AB477" s="5"/>
      <c r="AC477" s="5"/>
      <c r="AD477" s="5"/>
      <c r="AE477" s="5"/>
      <c r="AY477" s="5"/>
      <c r="AZ477" s="5"/>
      <c r="BA477" s="5"/>
      <c r="BB477" s="5"/>
      <c r="BC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</row>
    <row r="478" spans="21:230" ht="12.75">
      <c r="U478" s="5"/>
      <c r="V478" s="5"/>
      <c r="W478" s="5"/>
      <c r="X478" s="5"/>
      <c r="Y478" s="5"/>
      <c r="AA478" s="5"/>
      <c r="AB478" s="5"/>
      <c r="AC478" s="5"/>
      <c r="AD478" s="5"/>
      <c r="AE478" s="5"/>
      <c r="AY478" s="5"/>
      <c r="AZ478" s="5"/>
      <c r="BA478" s="5"/>
      <c r="BB478" s="5"/>
      <c r="BC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</row>
    <row r="479" spans="21:230" ht="12.75">
      <c r="U479" s="5"/>
      <c r="V479" s="5"/>
      <c r="W479" s="5"/>
      <c r="X479" s="5"/>
      <c r="Y479" s="5"/>
      <c r="AA479" s="5"/>
      <c r="AB479" s="5"/>
      <c r="AC479" s="5"/>
      <c r="AD479" s="5"/>
      <c r="AE479" s="5"/>
      <c r="AY479" s="5"/>
      <c r="AZ479" s="5"/>
      <c r="BA479" s="5"/>
      <c r="BB479" s="5"/>
      <c r="BC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</row>
    <row r="480" spans="21:230" ht="12.75">
      <c r="U480" s="5"/>
      <c r="V480" s="5"/>
      <c r="W480" s="5"/>
      <c r="X480" s="5"/>
      <c r="Y480" s="5"/>
      <c r="AA480" s="5"/>
      <c r="AB480" s="5"/>
      <c r="AC480" s="5"/>
      <c r="AD480" s="5"/>
      <c r="AE480" s="5"/>
      <c r="AY480" s="5"/>
      <c r="AZ480" s="5"/>
      <c r="BA480" s="5"/>
      <c r="BB480" s="5"/>
      <c r="BC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</row>
    <row r="481" spans="21:230" ht="12.75">
      <c r="U481" s="5"/>
      <c r="V481" s="5"/>
      <c r="W481" s="5"/>
      <c r="X481" s="5"/>
      <c r="Y481" s="5"/>
      <c r="AA481" s="5"/>
      <c r="AB481" s="5"/>
      <c r="AC481" s="5"/>
      <c r="AD481" s="5"/>
      <c r="AE481" s="5"/>
      <c r="AY481" s="5"/>
      <c r="AZ481" s="5"/>
      <c r="BA481" s="5"/>
      <c r="BB481" s="5"/>
      <c r="BC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</row>
    <row r="482" spans="21:230" ht="12.75">
      <c r="U482" s="5"/>
      <c r="V482" s="5"/>
      <c r="W482" s="5"/>
      <c r="X482" s="5"/>
      <c r="Y482" s="5"/>
      <c r="AA482" s="5"/>
      <c r="AB482" s="5"/>
      <c r="AC482" s="5"/>
      <c r="AD482" s="5"/>
      <c r="AE482" s="5"/>
      <c r="AY482" s="5"/>
      <c r="AZ482" s="5"/>
      <c r="BA482" s="5"/>
      <c r="BB482" s="5"/>
      <c r="BC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</row>
    <row r="483" spans="21:230" ht="12.75">
      <c r="U483" s="5"/>
      <c r="V483" s="5"/>
      <c r="W483" s="5"/>
      <c r="X483" s="5"/>
      <c r="Y483" s="5"/>
      <c r="AA483" s="5"/>
      <c r="AB483" s="5"/>
      <c r="AC483" s="5"/>
      <c r="AD483" s="5"/>
      <c r="AE483" s="5"/>
      <c r="AY483" s="5"/>
      <c r="AZ483" s="5"/>
      <c r="BA483" s="5"/>
      <c r="BB483" s="5"/>
      <c r="BC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</row>
    <row r="484" spans="21:230" ht="12.75">
      <c r="U484" s="5"/>
      <c r="V484" s="5"/>
      <c r="W484" s="5"/>
      <c r="X484" s="5"/>
      <c r="Y484" s="5"/>
      <c r="AA484" s="5"/>
      <c r="AB484" s="5"/>
      <c r="AC484" s="5"/>
      <c r="AD484" s="5"/>
      <c r="AE484" s="5"/>
      <c r="AY484" s="5"/>
      <c r="AZ484" s="5"/>
      <c r="BA484" s="5"/>
      <c r="BB484" s="5"/>
      <c r="BC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</row>
    <row r="485" spans="21:230" ht="12.75">
      <c r="U485" s="5"/>
      <c r="V485" s="5"/>
      <c r="W485" s="5"/>
      <c r="X485" s="5"/>
      <c r="Y485" s="5"/>
      <c r="AA485" s="5"/>
      <c r="AB485" s="5"/>
      <c r="AC485" s="5"/>
      <c r="AD485" s="5"/>
      <c r="AE485" s="5"/>
      <c r="AY485" s="5"/>
      <c r="AZ485" s="5"/>
      <c r="BA485" s="5"/>
      <c r="BB485" s="5"/>
      <c r="BC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</row>
    <row r="486" spans="21:230" ht="12.75">
      <c r="U486" s="5"/>
      <c r="V486" s="5"/>
      <c r="W486" s="5"/>
      <c r="X486" s="5"/>
      <c r="Y486" s="5"/>
      <c r="AA486" s="5"/>
      <c r="AB486" s="5"/>
      <c r="AC486" s="5"/>
      <c r="AD486" s="5"/>
      <c r="AE486" s="5"/>
      <c r="AY486" s="5"/>
      <c r="AZ486" s="5"/>
      <c r="BA486" s="5"/>
      <c r="BB486" s="5"/>
      <c r="BC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</row>
    <row r="487" spans="21:230" ht="12.75">
      <c r="U487" s="5"/>
      <c r="V487" s="5"/>
      <c r="W487" s="5"/>
      <c r="X487" s="5"/>
      <c r="Y487" s="5"/>
      <c r="AA487" s="5"/>
      <c r="AB487" s="5"/>
      <c r="AC487" s="5"/>
      <c r="AD487" s="5"/>
      <c r="AE487" s="5"/>
      <c r="AY487" s="5"/>
      <c r="AZ487" s="5"/>
      <c r="BA487" s="5"/>
      <c r="BB487" s="5"/>
      <c r="BC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</row>
    <row r="488" spans="21:230" ht="12.75">
      <c r="U488" s="5"/>
      <c r="V488" s="5"/>
      <c r="W488" s="5"/>
      <c r="X488" s="5"/>
      <c r="Y488" s="5"/>
      <c r="AA488" s="5"/>
      <c r="AB488" s="5"/>
      <c r="AC488" s="5"/>
      <c r="AD488" s="5"/>
      <c r="AE488" s="5"/>
      <c r="AY488" s="5"/>
      <c r="AZ488" s="5"/>
      <c r="BA488" s="5"/>
      <c r="BB488" s="5"/>
      <c r="BC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</row>
    <row r="489" spans="21:230" ht="12.75">
      <c r="U489" s="5"/>
      <c r="V489" s="5"/>
      <c r="W489" s="5"/>
      <c r="X489" s="5"/>
      <c r="Y489" s="5"/>
      <c r="AA489" s="5"/>
      <c r="AB489" s="5"/>
      <c r="AC489" s="5"/>
      <c r="AD489" s="5"/>
      <c r="AE489" s="5"/>
      <c r="AY489" s="5"/>
      <c r="AZ489" s="5"/>
      <c r="BA489" s="5"/>
      <c r="BB489" s="5"/>
      <c r="BC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</row>
    <row r="490" spans="21:230" ht="12.75">
      <c r="U490" s="5"/>
      <c r="V490" s="5"/>
      <c r="W490" s="5"/>
      <c r="X490" s="5"/>
      <c r="Y490" s="5"/>
      <c r="AA490" s="5"/>
      <c r="AB490" s="5"/>
      <c r="AC490" s="5"/>
      <c r="AD490" s="5"/>
      <c r="AE490" s="5"/>
      <c r="AY490" s="5"/>
      <c r="AZ490" s="5"/>
      <c r="BA490" s="5"/>
      <c r="BB490" s="5"/>
      <c r="BC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</row>
    <row r="491" spans="21:230" ht="12.75">
      <c r="U491" s="5"/>
      <c r="V491" s="5"/>
      <c r="W491" s="5"/>
      <c r="X491" s="5"/>
      <c r="Y491" s="5"/>
      <c r="AA491" s="5"/>
      <c r="AB491" s="5"/>
      <c r="AC491" s="5"/>
      <c r="AD491" s="5"/>
      <c r="AE491" s="5"/>
      <c r="AY491" s="5"/>
      <c r="AZ491" s="5"/>
      <c r="BA491" s="5"/>
      <c r="BB491" s="5"/>
      <c r="BC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</row>
    <row r="492" spans="21:230" ht="12.75">
      <c r="U492" s="5"/>
      <c r="V492" s="5"/>
      <c r="W492" s="5"/>
      <c r="X492" s="5"/>
      <c r="Y492" s="5"/>
      <c r="AA492" s="5"/>
      <c r="AB492" s="5"/>
      <c r="AC492" s="5"/>
      <c r="AD492" s="5"/>
      <c r="AE492" s="5"/>
      <c r="AY492" s="5"/>
      <c r="AZ492" s="5"/>
      <c r="BA492" s="5"/>
      <c r="BB492" s="5"/>
      <c r="BC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</row>
    <row r="493" spans="21:230" ht="12.75">
      <c r="U493" s="5"/>
      <c r="V493" s="5"/>
      <c r="W493" s="5"/>
      <c r="X493" s="5"/>
      <c r="Y493" s="5"/>
      <c r="AA493" s="5"/>
      <c r="AB493" s="5"/>
      <c r="AC493" s="5"/>
      <c r="AD493" s="5"/>
      <c r="AE493" s="5"/>
      <c r="AY493" s="5"/>
      <c r="AZ493" s="5"/>
      <c r="BA493" s="5"/>
      <c r="BB493" s="5"/>
      <c r="BC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</row>
    <row r="494" spans="21:230" ht="12.75">
      <c r="U494" s="5"/>
      <c r="V494" s="5"/>
      <c r="W494" s="5"/>
      <c r="X494" s="5"/>
      <c r="Y494" s="5"/>
      <c r="AA494" s="5"/>
      <c r="AB494" s="5"/>
      <c r="AC494" s="5"/>
      <c r="AD494" s="5"/>
      <c r="AE494" s="5"/>
      <c r="AY494" s="5"/>
      <c r="AZ494" s="5"/>
      <c r="BA494" s="5"/>
      <c r="BB494" s="5"/>
      <c r="BC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</row>
    <row r="495" spans="21:230" ht="12.75">
      <c r="U495" s="5"/>
      <c r="V495" s="5"/>
      <c r="W495" s="5"/>
      <c r="X495" s="5"/>
      <c r="Y495" s="5"/>
      <c r="AA495" s="5"/>
      <c r="AB495" s="5"/>
      <c r="AC495" s="5"/>
      <c r="AD495" s="5"/>
      <c r="AE495" s="5"/>
      <c r="AY495" s="5"/>
      <c r="AZ495" s="5"/>
      <c r="BA495" s="5"/>
      <c r="BB495" s="5"/>
      <c r="BC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</row>
    <row r="496" spans="21:230" ht="12.75">
      <c r="U496" s="5"/>
      <c r="V496" s="5"/>
      <c r="W496" s="5"/>
      <c r="X496" s="5"/>
      <c r="Y496" s="5"/>
      <c r="AA496" s="5"/>
      <c r="AB496" s="5"/>
      <c r="AC496" s="5"/>
      <c r="AD496" s="5"/>
      <c r="AE496" s="5"/>
      <c r="AY496" s="5"/>
      <c r="AZ496" s="5"/>
      <c r="BA496" s="5"/>
      <c r="BB496" s="5"/>
      <c r="BC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</row>
    <row r="497" spans="21:230" ht="12.75">
      <c r="U497" s="5"/>
      <c r="V497" s="5"/>
      <c r="W497" s="5"/>
      <c r="X497" s="5"/>
      <c r="Y497" s="5"/>
      <c r="AA497" s="5"/>
      <c r="AB497" s="5"/>
      <c r="AC497" s="5"/>
      <c r="AD497" s="5"/>
      <c r="AE497" s="5"/>
      <c r="AY497" s="5"/>
      <c r="AZ497" s="5"/>
      <c r="BA497" s="5"/>
      <c r="BB497" s="5"/>
      <c r="BC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</row>
    <row r="498" spans="21:230" ht="12.75">
      <c r="U498" s="5"/>
      <c r="V498" s="5"/>
      <c r="W498" s="5"/>
      <c r="X498" s="5"/>
      <c r="Y498" s="5"/>
      <c r="AA498" s="5"/>
      <c r="AB498" s="5"/>
      <c r="AC498" s="5"/>
      <c r="AD498" s="5"/>
      <c r="AE498" s="5"/>
      <c r="AY498" s="5"/>
      <c r="AZ498" s="5"/>
      <c r="BA498" s="5"/>
      <c r="BB498" s="5"/>
      <c r="BC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</row>
    <row r="499" spans="21:230" ht="12.75">
      <c r="U499" s="5"/>
      <c r="V499" s="5"/>
      <c r="W499" s="5"/>
      <c r="X499" s="5"/>
      <c r="Y499" s="5"/>
      <c r="AA499" s="5"/>
      <c r="AB499" s="5"/>
      <c r="AC499" s="5"/>
      <c r="AD499" s="5"/>
      <c r="AE499" s="5"/>
      <c r="AY499" s="5"/>
      <c r="AZ499" s="5"/>
      <c r="BA499" s="5"/>
      <c r="BB499" s="5"/>
      <c r="BC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</row>
    <row r="500" spans="21:230" ht="12.75">
      <c r="U500" s="5"/>
      <c r="V500" s="5"/>
      <c r="W500" s="5"/>
      <c r="X500" s="5"/>
      <c r="Y500" s="5"/>
      <c r="AA500" s="5"/>
      <c r="AB500" s="5"/>
      <c r="AC500" s="5"/>
      <c r="AD500" s="5"/>
      <c r="AE500" s="5"/>
      <c r="AY500" s="5"/>
      <c r="AZ500" s="5"/>
      <c r="BA500" s="5"/>
      <c r="BB500" s="5"/>
      <c r="BC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</row>
    <row r="501" spans="21:230" ht="12.75">
      <c r="U501" s="5"/>
      <c r="V501" s="5"/>
      <c r="W501" s="5"/>
      <c r="X501" s="5"/>
      <c r="Y501" s="5"/>
      <c r="AA501" s="5"/>
      <c r="AB501" s="5"/>
      <c r="AC501" s="5"/>
      <c r="AD501" s="5"/>
      <c r="AE501" s="5"/>
      <c r="AY501" s="5"/>
      <c r="AZ501" s="5"/>
      <c r="BA501" s="5"/>
      <c r="BB501" s="5"/>
      <c r="BC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</row>
    <row r="502" spans="21:230" ht="12.75">
      <c r="U502" s="5"/>
      <c r="V502" s="5"/>
      <c r="W502" s="5"/>
      <c r="X502" s="5"/>
      <c r="Y502" s="5"/>
      <c r="AA502" s="5"/>
      <c r="AB502" s="5"/>
      <c r="AC502" s="5"/>
      <c r="AD502" s="5"/>
      <c r="AE502" s="5"/>
      <c r="AY502" s="5"/>
      <c r="AZ502" s="5"/>
      <c r="BA502" s="5"/>
      <c r="BB502" s="5"/>
      <c r="BC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</row>
    <row r="503" spans="21:230" ht="12.75">
      <c r="U503" s="5"/>
      <c r="V503" s="5"/>
      <c r="W503" s="5"/>
      <c r="X503" s="5"/>
      <c r="Y503" s="5"/>
      <c r="AA503" s="5"/>
      <c r="AB503" s="5"/>
      <c r="AC503" s="5"/>
      <c r="AD503" s="5"/>
      <c r="AE503" s="5"/>
      <c r="AY503" s="5"/>
      <c r="AZ503" s="5"/>
      <c r="BA503" s="5"/>
      <c r="BB503" s="5"/>
      <c r="BC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</row>
    <row r="504" spans="21:230" ht="12.75">
      <c r="U504" s="5"/>
      <c r="V504" s="5"/>
      <c r="W504" s="5"/>
      <c r="X504" s="5"/>
      <c r="Y504" s="5"/>
      <c r="AA504" s="5"/>
      <c r="AB504" s="5"/>
      <c r="AC504" s="5"/>
      <c r="AD504" s="5"/>
      <c r="AE504" s="5"/>
      <c r="AY504" s="5"/>
      <c r="AZ504" s="5"/>
      <c r="BA504" s="5"/>
      <c r="BB504" s="5"/>
      <c r="BC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</row>
    <row r="505" spans="21:230" ht="12.75">
      <c r="U505" s="5"/>
      <c r="V505" s="5"/>
      <c r="W505" s="5"/>
      <c r="X505" s="5"/>
      <c r="Y505" s="5"/>
      <c r="AA505" s="5"/>
      <c r="AB505" s="5"/>
      <c r="AC505" s="5"/>
      <c r="AD505" s="5"/>
      <c r="AE505" s="5"/>
      <c r="AY505" s="5"/>
      <c r="AZ505" s="5"/>
      <c r="BA505" s="5"/>
      <c r="BB505" s="5"/>
      <c r="BC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</row>
    <row r="506" spans="21:230" ht="12.75">
      <c r="U506" s="5"/>
      <c r="V506" s="5"/>
      <c r="W506" s="5"/>
      <c r="X506" s="5"/>
      <c r="Y506" s="5"/>
      <c r="AA506" s="5"/>
      <c r="AB506" s="5"/>
      <c r="AC506" s="5"/>
      <c r="AD506" s="5"/>
      <c r="AE506" s="5"/>
      <c r="AY506" s="5"/>
      <c r="AZ506" s="5"/>
      <c r="BA506" s="5"/>
      <c r="BB506" s="5"/>
      <c r="BC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</row>
    <row r="507" spans="21:230" ht="12.75">
      <c r="U507" s="5"/>
      <c r="V507" s="5"/>
      <c r="W507" s="5"/>
      <c r="X507" s="5"/>
      <c r="Y507" s="5"/>
      <c r="AA507" s="5"/>
      <c r="AB507" s="5"/>
      <c r="AC507" s="5"/>
      <c r="AD507" s="5"/>
      <c r="AE507" s="5"/>
      <c r="AY507" s="5"/>
      <c r="AZ507" s="5"/>
      <c r="BA507" s="5"/>
      <c r="BB507" s="5"/>
      <c r="BC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</row>
    <row r="508" spans="21:230" ht="12.75">
      <c r="U508" s="5"/>
      <c r="V508" s="5"/>
      <c r="W508" s="5"/>
      <c r="X508" s="5"/>
      <c r="Y508" s="5"/>
      <c r="AA508" s="5"/>
      <c r="AB508" s="5"/>
      <c r="AC508" s="5"/>
      <c r="AD508" s="5"/>
      <c r="AE508" s="5"/>
      <c r="AY508" s="5"/>
      <c r="AZ508" s="5"/>
      <c r="BA508" s="5"/>
      <c r="BB508" s="5"/>
      <c r="BC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</row>
    <row r="509" spans="21:230" ht="12.75">
      <c r="U509" s="5"/>
      <c r="V509" s="5"/>
      <c r="W509" s="5"/>
      <c r="X509" s="5"/>
      <c r="Y509" s="5"/>
      <c r="AA509" s="5"/>
      <c r="AB509" s="5"/>
      <c r="AC509" s="5"/>
      <c r="AD509" s="5"/>
      <c r="AE509" s="5"/>
      <c r="AY509" s="5"/>
      <c r="AZ509" s="5"/>
      <c r="BA509" s="5"/>
      <c r="BB509" s="5"/>
      <c r="BC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</row>
    <row r="510" spans="21:230" ht="12.75">
      <c r="U510" s="5"/>
      <c r="V510" s="5"/>
      <c r="W510" s="5"/>
      <c r="X510" s="5"/>
      <c r="Y510" s="5"/>
      <c r="AA510" s="5"/>
      <c r="AB510" s="5"/>
      <c r="AC510" s="5"/>
      <c r="AD510" s="5"/>
      <c r="AE510" s="5"/>
      <c r="AY510" s="5"/>
      <c r="AZ510" s="5"/>
      <c r="BA510" s="5"/>
      <c r="BB510" s="5"/>
      <c r="BC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</row>
    <row r="511" spans="21:230" ht="12.75">
      <c r="U511" s="5"/>
      <c r="V511" s="5"/>
      <c r="W511" s="5"/>
      <c r="X511" s="5"/>
      <c r="Y511" s="5"/>
      <c r="AA511" s="5"/>
      <c r="AB511" s="5"/>
      <c r="AC511" s="5"/>
      <c r="AD511" s="5"/>
      <c r="AE511" s="5"/>
      <c r="AY511" s="5"/>
      <c r="AZ511" s="5"/>
      <c r="BA511" s="5"/>
      <c r="BB511" s="5"/>
      <c r="BC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</row>
    <row r="512" spans="21:230" ht="12.75">
      <c r="U512" s="5"/>
      <c r="V512" s="5"/>
      <c r="W512" s="5"/>
      <c r="X512" s="5"/>
      <c r="Y512" s="5"/>
      <c r="AA512" s="5"/>
      <c r="AB512" s="5"/>
      <c r="AC512" s="5"/>
      <c r="AD512" s="5"/>
      <c r="AE512" s="5"/>
      <c r="AY512" s="5"/>
      <c r="AZ512" s="5"/>
      <c r="BA512" s="5"/>
      <c r="BB512" s="5"/>
      <c r="BC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</row>
    <row r="513" spans="21:230" ht="12.75">
      <c r="U513" s="5"/>
      <c r="V513" s="5"/>
      <c r="W513" s="5"/>
      <c r="X513" s="5"/>
      <c r="Y513" s="5"/>
      <c r="AA513" s="5"/>
      <c r="AB513" s="5"/>
      <c r="AC513" s="5"/>
      <c r="AD513" s="5"/>
      <c r="AE513" s="5"/>
      <c r="AY513" s="5"/>
      <c r="AZ513" s="5"/>
      <c r="BA513" s="5"/>
      <c r="BB513" s="5"/>
      <c r="BC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</row>
    <row r="514" spans="21:230" ht="12.75">
      <c r="U514" s="5"/>
      <c r="V514" s="5"/>
      <c r="W514" s="5"/>
      <c r="X514" s="5"/>
      <c r="Y514" s="5"/>
      <c r="AA514" s="5"/>
      <c r="AB514" s="5"/>
      <c r="AC514" s="5"/>
      <c r="AD514" s="5"/>
      <c r="AE514" s="5"/>
      <c r="AY514" s="5"/>
      <c r="AZ514" s="5"/>
      <c r="BA514" s="5"/>
      <c r="BB514" s="5"/>
      <c r="BC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</row>
    <row r="515" spans="21:230" ht="12.75">
      <c r="U515" s="5"/>
      <c r="V515" s="5"/>
      <c r="W515" s="5"/>
      <c r="X515" s="5"/>
      <c r="Y515" s="5"/>
      <c r="AA515" s="5"/>
      <c r="AB515" s="5"/>
      <c r="AC515" s="5"/>
      <c r="AD515" s="5"/>
      <c r="AE515" s="5"/>
      <c r="AY515" s="5"/>
      <c r="AZ515" s="5"/>
      <c r="BA515" s="5"/>
      <c r="BB515" s="5"/>
      <c r="BC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</row>
    <row r="516" spans="21:230" ht="12.75">
      <c r="U516" s="5"/>
      <c r="V516" s="5"/>
      <c r="W516" s="5"/>
      <c r="X516" s="5"/>
      <c r="Y516" s="5"/>
      <c r="AA516" s="5"/>
      <c r="AB516" s="5"/>
      <c r="AC516" s="5"/>
      <c r="AD516" s="5"/>
      <c r="AE516" s="5"/>
      <c r="AY516" s="5"/>
      <c r="AZ516" s="5"/>
      <c r="BA516" s="5"/>
      <c r="BB516" s="5"/>
      <c r="BC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</row>
    <row r="517" spans="21:230" ht="12.75">
      <c r="U517" s="5"/>
      <c r="V517" s="5"/>
      <c r="W517" s="5"/>
      <c r="X517" s="5"/>
      <c r="Y517" s="5"/>
      <c r="AA517" s="5"/>
      <c r="AB517" s="5"/>
      <c r="AC517" s="5"/>
      <c r="AD517" s="5"/>
      <c r="AE517" s="5"/>
      <c r="AY517" s="5"/>
      <c r="AZ517" s="5"/>
      <c r="BA517" s="5"/>
      <c r="BB517" s="5"/>
      <c r="BC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</row>
    <row r="518" spans="21:230" ht="12.75">
      <c r="U518" s="5"/>
      <c r="V518" s="5"/>
      <c r="W518" s="5"/>
      <c r="X518" s="5"/>
      <c r="Y518" s="5"/>
      <c r="AA518" s="5"/>
      <c r="AB518" s="5"/>
      <c r="AC518" s="5"/>
      <c r="AD518" s="5"/>
      <c r="AE518" s="5"/>
      <c r="AY518" s="5"/>
      <c r="AZ518" s="5"/>
      <c r="BA518" s="5"/>
      <c r="BB518" s="5"/>
      <c r="BC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</row>
    <row r="519" spans="21:230" ht="12.75">
      <c r="U519" s="5"/>
      <c r="V519" s="5"/>
      <c r="W519" s="5"/>
      <c r="X519" s="5"/>
      <c r="Y519" s="5"/>
      <c r="AA519" s="5"/>
      <c r="AB519" s="5"/>
      <c r="AC519" s="5"/>
      <c r="AD519" s="5"/>
      <c r="AE519" s="5"/>
      <c r="AY519" s="5"/>
      <c r="AZ519" s="5"/>
      <c r="BA519" s="5"/>
      <c r="BB519" s="5"/>
      <c r="BC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</row>
    <row r="520" spans="21:230" ht="12.75">
      <c r="U520" s="5"/>
      <c r="V520" s="5"/>
      <c r="W520" s="5"/>
      <c r="X520" s="5"/>
      <c r="Y520" s="5"/>
      <c r="AA520" s="5"/>
      <c r="AB520" s="5"/>
      <c r="AC520" s="5"/>
      <c r="AD520" s="5"/>
      <c r="AE520" s="5"/>
      <c r="AY520" s="5"/>
      <c r="AZ520" s="5"/>
      <c r="BA520" s="5"/>
      <c r="BB520" s="5"/>
      <c r="BC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</row>
    <row r="521" spans="21:230" ht="12.75">
      <c r="U521" s="5"/>
      <c r="V521" s="5"/>
      <c r="W521" s="5"/>
      <c r="X521" s="5"/>
      <c r="Y521" s="5"/>
      <c r="AA521" s="5"/>
      <c r="AB521" s="5"/>
      <c r="AC521" s="5"/>
      <c r="AD521" s="5"/>
      <c r="AE521" s="5"/>
      <c r="AY521" s="5"/>
      <c r="AZ521" s="5"/>
      <c r="BA521" s="5"/>
      <c r="BB521" s="5"/>
      <c r="BC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</row>
    <row r="522" spans="21:230" ht="12.75">
      <c r="U522" s="5"/>
      <c r="V522" s="5"/>
      <c r="W522" s="5"/>
      <c r="X522" s="5"/>
      <c r="Y522" s="5"/>
      <c r="AA522" s="5"/>
      <c r="AB522" s="5"/>
      <c r="AC522" s="5"/>
      <c r="AD522" s="5"/>
      <c r="AE522" s="5"/>
      <c r="AY522" s="5"/>
      <c r="AZ522" s="5"/>
      <c r="BA522" s="5"/>
      <c r="BB522" s="5"/>
      <c r="BC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</row>
    <row r="523" spans="21:230" ht="12.75">
      <c r="U523" s="5"/>
      <c r="V523" s="5"/>
      <c r="W523" s="5"/>
      <c r="X523" s="5"/>
      <c r="Y523" s="5"/>
      <c r="AA523" s="5"/>
      <c r="AB523" s="5"/>
      <c r="AC523" s="5"/>
      <c r="AD523" s="5"/>
      <c r="AE523" s="5"/>
      <c r="AY523" s="5"/>
      <c r="AZ523" s="5"/>
      <c r="BA523" s="5"/>
      <c r="BB523" s="5"/>
      <c r="BC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</row>
    <row r="524" spans="21:230" ht="12.75">
      <c r="U524" s="5"/>
      <c r="V524" s="5"/>
      <c r="W524" s="5"/>
      <c r="X524" s="5"/>
      <c r="Y524" s="5"/>
      <c r="AA524" s="5"/>
      <c r="AB524" s="5"/>
      <c r="AC524" s="5"/>
      <c r="AD524" s="5"/>
      <c r="AE524" s="5"/>
      <c r="AY524" s="5"/>
      <c r="AZ524" s="5"/>
      <c r="BA524" s="5"/>
      <c r="BB524" s="5"/>
      <c r="BC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</row>
    <row r="525" spans="21:230" ht="12.75">
      <c r="U525" s="5"/>
      <c r="V525" s="5"/>
      <c r="W525" s="5"/>
      <c r="X525" s="5"/>
      <c r="Y525" s="5"/>
      <c r="AA525" s="5"/>
      <c r="AB525" s="5"/>
      <c r="AC525" s="5"/>
      <c r="AD525" s="5"/>
      <c r="AE525" s="5"/>
      <c r="AY525" s="5"/>
      <c r="AZ525" s="5"/>
      <c r="BA525" s="5"/>
      <c r="BB525" s="5"/>
      <c r="BC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</row>
    <row r="526" spans="21:230" ht="12.75">
      <c r="U526" s="5"/>
      <c r="V526" s="5"/>
      <c r="W526" s="5"/>
      <c r="X526" s="5"/>
      <c r="Y526" s="5"/>
      <c r="AA526" s="5"/>
      <c r="AB526" s="5"/>
      <c r="AC526" s="5"/>
      <c r="AD526" s="5"/>
      <c r="AE526" s="5"/>
      <c r="AY526" s="5"/>
      <c r="AZ526" s="5"/>
      <c r="BA526" s="5"/>
      <c r="BB526" s="5"/>
      <c r="BC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</row>
    <row r="527" spans="21:230" ht="12.75">
      <c r="U527" s="5"/>
      <c r="V527" s="5"/>
      <c r="W527" s="5"/>
      <c r="X527" s="5"/>
      <c r="Y527" s="5"/>
      <c r="AA527" s="5"/>
      <c r="AB527" s="5"/>
      <c r="AC527" s="5"/>
      <c r="AD527" s="5"/>
      <c r="AE527" s="5"/>
      <c r="AY527" s="5"/>
      <c r="AZ527" s="5"/>
      <c r="BA527" s="5"/>
      <c r="BB527" s="5"/>
      <c r="BC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</row>
    <row r="528" spans="21:230" ht="12.75">
      <c r="U528" s="5"/>
      <c r="V528" s="5"/>
      <c r="W528" s="5"/>
      <c r="X528" s="5"/>
      <c r="Y528" s="5"/>
      <c r="AA528" s="5"/>
      <c r="AB528" s="5"/>
      <c r="AC528" s="5"/>
      <c r="AD528" s="5"/>
      <c r="AE528" s="5"/>
      <c r="AY528" s="5"/>
      <c r="AZ528" s="5"/>
      <c r="BA528" s="5"/>
      <c r="BB528" s="5"/>
      <c r="BC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</row>
    <row r="529" spans="21:230" ht="12.75">
      <c r="U529" s="5"/>
      <c r="V529" s="5"/>
      <c r="W529" s="5"/>
      <c r="X529" s="5"/>
      <c r="Y529" s="5"/>
      <c r="AA529" s="5"/>
      <c r="AB529" s="5"/>
      <c r="AC529" s="5"/>
      <c r="AD529" s="5"/>
      <c r="AE529" s="5"/>
      <c r="AY529" s="5"/>
      <c r="AZ529" s="5"/>
      <c r="BA529" s="5"/>
      <c r="BB529" s="5"/>
      <c r="BC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</row>
    <row r="530" spans="21:230" ht="12.75">
      <c r="U530" s="5"/>
      <c r="V530" s="5"/>
      <c r="W530" s="5"/>
      <c r="X530" s="5"/>
      <c r="Y530" s="5"/>
      <c r="AA530" s="5"/>
      <c r="AB530" s="5"/>
      <c r="AC530" s="5"/>
      <c r="AD530" s="5"/>
      <c r="AE530" s="5"/>
      <c r="AY530" s="5"/>
      <c r="AZ530" s="5"/>
      <c r="BA530" s="5"/>
      <c r="BB530" s="5"/>
      <c r="BC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</row>
    <row r="531" spans="21:230" ht="12.75">
      <c r="U531" s="5"/>
      <c r="V531" s="5"/>
      <c r="W531" s="5"/>
      <c r="X531" s="5"/>
      <c r="Y531" s="5"/>
      <c r="AA531" s="5"/>
      <c r="AB531" s="5"/>
      <c r="AC531" s="5"/>
      <c r="AD531" s="5"/>
      <c r="AE531" s="5"/>
      <c r="AY531" s="5"/>
      <c r="AZ531" s="5"/>
      <c r="BA531" s="5"/>
      <c r="BB531" s="5"/>
      <c r="BC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</row>
    <row r="532" spans="21:230" ht="12.75">
      <c r="U532" s="5"/>
      <c r="V532" s="5"/>
      <c r="W532" s="5"/>
      <c r="X532" s="5"/>
      <c r="Y532" s="5"/>
      <c r="AA532" s="5"/>
      <c r="AB532" s="5"/>
      <c r="AC532" s="5"/>
      <c r="AD532" s="5"/>
      <c r="AE532" s="5"/>
      <c r="AY532" s="5"/>
      <c r="AZ532" s="5"/>
      <c r="BA532" s="5"/>
      <c r="BB532" s="5"/>
      <c r="BC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</row>
    <row r="533" spans="21:230" ht="12.75">
      <c r="U533" s="5"/>
      <c r="V533" s="5"/>
      <c r="W533" s="5"/>
      <c r="X533" s="5"/>
      <c r="Y533" s="5"/>
      <c r="AA533" s="5"/>
      <c r="AB533" s="5"/>
      <c r="AC533" s="5"/>
      <c r="AD533" s="5"/>
      <c r="AE533" s="5"/>
      <c r="AY533" s="5"/>
      <c r="AZ533" s="5"/>
      <c r="BA533" s="5"/>
      <c r="BB533" s="5"/>
      <c r="BC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</row>
    <row r="534" spans="21:230" ht="12.75">
      <c r="U534" s="5"/>
      <c r="V534" s="5"/>
      <c r="W534" s="5"/>
      <c r="X534" s="5"/>
      <c r="Y534" s="5"/>
      <c r="AA534" s="5"/>
      <c r="AB534" s="5"/>
      <c r="AC534" s="5"/>
      <c r="AD534" s="5"/>
      <c r="AE534" s="5"/>
      <c r="AY534" s="5"/>
      <c r="AZ534" s="5"/>
      <c r="BA534" s="5"/>
      <c r="BB534" s="5"/>
      <c r="BC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</row>
    <row r="535" spans="21:230" ht="12.75">
      <c r="U535" s="5"/>
      <c r="V535" s="5"/>
      <c r="W535" s="5"/>
      <c r="X535" s="5"/>
      <c r="Y535" s="5"/>
      <c r="AA535" s="5"/>
      <c r="AB535" s="5"/>
      <c r="AC535" s="5"/>
      <c r="AD535" s="5"/>
      <c r="AE535" s="5"/>
      <c r="AY535" s="5"/>
      <c r="AZ535" s="5"/>
      <c r="BA535" s="5"/>
      <c r="BB535" s="5"/>
      <c r="BC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</row>
    <row r="536" spans="21:230" ht="12.75">
      <c r="U536" s="5"/>
      <c r="V536" s="5"/>
      <c r="W536" s="5"/>
      <c r="X536" s="5"/>
      <c r="Y536" s="5"/>
      <c r="AA536" s="5"/>
      <c r="AB536" s="5"/>
      <c r="AC536" s="5"/>
      <c r="AD536" s="5"/>
      <c r="AE536" s="5"/>
      <c r="AY536" s="5"/>
      <c r="AZ536" s="5"/>
      <c r="BA536" s="5"/>
      <c r="BB536" s="5"/>
      <c r="BC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</row>
    <row r="537" spans="21:230" ht="12.75">
      <c r="U537" s="5"/>
      <c r="V537" s="5"/>
      <c r="W537" s="5"/>
      <c r="X537" s="5"/>
      <c r="Y537" s="5"/>
      <c r="AA537" s="5"/>
      <c r="AB537" s="5"/>
      <c r="AC537" s="5"/>
      <c r="AD537" s="5"/>
      <c r="AE537" s="5"/>
      <c r="AY537" s="5"/>
      <c r="AZ537" s="5"/>
      <c r="BA537" s="5"/>
      <c r="BB537" s="5"/>
      <c r="BC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</row>
    <row r="538" spans="21:230" ht="12.75">
      <c r="U538" s="5"/>
      <c r="V538" s="5"/>
      <c r="W538" s="5"/>
      <c r="X538" s="5"/>
      <c r="Y538" s="5"/>
      <c r="AA538" s="5"/>
      <c r="AB538" s="5"/>
      <c r="AC538" s="5"/>
      <c r="AD538" s="5"/>
      <c r="AE538" s="5"/>
      <c r="AY538" s="5"/>
      <c r="AZ538" s="5"/>
      <c r="BA538" s="5"/>
      <c r="BB538" s="5"/>
      <c r="BC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</row>
    <row r="539" spans="21:230" ht="12.75">
      <c r="U539" s="5"/>
      <c r="V539" s="5"/>
      <c r="W539" s="5"/>
      <c r="X539" s="5"/>
      <c r="Y539" s="5"/>
      <c r="AA539" s="5"/>
      <c r="AB539" s="5"/>
      <c r="AC539" s="5"/>
      <c r="AD539" s="5"/>
      <c r="AE539" s="5"/>
      <c r="AY539" s="5"/>
      <c r="AZ539" s="5"/>
      <c r="BA539" s="5"/>
      <c r="BB539" s="5"/>
      <c r="BC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</row>
    <row r="540" spans="21:230" ht="12.75">
      <c r="U540" s="5"/>
      <c r="V540" s="5"/>
      <c r="W540" s="5"/>
      <c r="X540" s="5"/>
      <c r="Y540" s="5"/>
      <c r="AA540" s="5"/>
      <c r="AB540" s="5"/>
      <c r="AC540" s="5"/>
      <c r="AD540" s="5"/>
      <c r="AE540" s="5"/>
      <c r="AY540" s="5"/>
      <c r="AZ540" s="5"/>
      <c r="BA540" s="5"/>
      <c r="BB540" s="5"/>
      <c r="BC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</row>
    <row r="541" spans="21:230" ht="12.75">
      <c r="U541" s="5"/>
      <c r="V541" s="5"/>
      <c r="W541" s="5"/>
      <c r="X541" s="5"/>
      <c r="Y541" s="5"/>
      <c r="AA541" s="5"/>
      <c r="AB541" s="5"/>
      <c r="AC541" s="5"/>
      <c r="AD541" s="5"/>
      <c r="AE541" s="5"/>
      <c r="AY541" s="5"/>
      <c r="AZ541" s="5"/>
      <c r="BA541" s="5"/>
      <c r="BB541" s="5"/>
      <c r="BC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</row>
    <row r="542" spans="21:230" ht="12.75">
      <c r="U542" s="5"/>
      <c r="V542" s="5"/>
      <c r="W542" s="5"/>
      <c r="X542" s="5"/>
      <c r="Y542" s="5"/>
      <c r="AA542" s="5"/>
      <c r="AB542" s="5"/>
      <c r="AC542" s="5"/>
      <c r="AD542" s="5"/>
      <c r="AE542" s="5"/>
      <c r="AY542" s="5"/>
      <c r="AZ542" s="5"/>
      <c r="BA542" s="5"/>
      <c r="BB542" s="5"/>
      <c r="BC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</row>
    <row r="543" spans="21:230" ht="12.75">
      <c r="U543" s="5"/>
      <c r="V543" s="5"/>
      <c r="W543" s="5"/>
      <c r="X543" s="5"/>
      <c r="Y543" s="5"/>
      <c r="AA543" s="5"/>
      <c r="AB543" s="5"/>
      <c r="AC543" s="5"/>
      <c r="AD543" s="5"/>
      <c r="AE543" s="5"/>
      <c r="AY543" s="5"/>
      <c r="AZ543" s="5"/>
      <c r="BA543" s="5"/>
      <c r="BB543" s="5"/>
      <c r="BC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</row>
    <row r="544" spans="21:230" ht="12.75">
      <c r="U544" s="5"/>
      <c r="V544" s="5"/>
      <c r="W544" s="5"/>
      <c r="X544" s="5"/>
      <c r="Y544" s="5"/>
      <c r="AA544" s="5"/>
      <c r="AB544" s="5"/>
      <c r="AC544" s="5"/>
      <c r="AD544" s="5"/>
      <c r="AE544" s="5"/>
      <c r="AY544" s="5"/>
      <c r="AZ544" s="5"/>
      <c r="BA544" s="5"/>
      <c r="BB544" s="5"/>
      <c r="BC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</row>
    <row r="545" spans="21:230" ht="12.75">
      <c r="U545" s="5"/>
      <c r="V545" s="5"/>
      <c r="W545" s="5"/>
      <c r="X545" s="5"/>
      <c r="Y545" s="5"/>
      <c r="AA545" s="5"/>
      <c r="AB545" s="5"/>
      <c r="AC545" s="5"/>
      <c r="AD545" s="5"/>
      <c r="AE545" s="5"/>
      <c r="AY545" s="5"/>
      <c r="AZ545" s="5"/>
      <c r="BA545" s="5"/>
      <c r="BB545" s="5"/>
      <c r="BC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</row>
    <row r="546" spans="21:230" ht="12.75">
      <c r="U546" s="5"/>
      <c r="V546" s="5"/>
      <c r="W546" s="5"/>
      <c r="X546" s="5"/>
      <c r="Y546" s="5"/>
      <c r="AA546" s="5"/>
      <c r="AB546" s="5"/>
      <c r="AC546" s="5"/>
      <c r="AD546" s="5"/>
      <c r="AE546" s="5"/>
      <c r="AY546" s="5"/>
      <c r="AZ546" s="5"/>
      <c r="BA546" s="5"/>
      <c r="BB546" s="5"/>
      <c r="BC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</row>
    <row r="547" spans="21:230" ht="12.75">
      <c r="U547" s="5"/>
      <c r="V547" s="5"/>
      <c r="W547" s="5"/>
      <c r="X547" s="5"/>
      <c r="Y547" s="5"/>
      <c r="AA547" s="5"/>
      <c r="AB547" s="5"/>
      <c r="AC547" s="5"/>
      <c r="AD547" s="5"/>
      <c r="AE547" s="5"/>
      <c r="AY547" s="5"/>
      <c r="AZ547" s="5"/>
      <c r="BA547" s="5"/>
      <c r="BB547" s="5"/>
      <c r="BC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</row>
    <row r="548" spans="21:230" ht="12.75">
      <c r="U548" s="5"/>
      <c r="V548" s="5"/>
      <c r="W548" s="5"/>
      <c r="X548" s="5"/>
      <c r="Y548" s="5"/>
      <c r="AA548" s="5"/>
      <c r="AB548" s="5"/>
      <c r="AC548" s="5"/>
      <c r="AD548" s="5"/>
      <c r="AE548" s="5"/>
      <c r="AY548" s="5"/>
      <c r="AZ548" s="5"/>
      <c r="BA548" s="5"/>
      <c r="BB548" s="5"/>
      <c r="BC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</row>
    <row r="549" spans="21:230" ht="12.75">
      <c r="U549" s="5"/>
      <c r="V549" s="5"/>
      <c r="W549" s="5"/>
      <c r="X549" s="5"/>
      <c r="Y549" s="5"/>
      <c r="AA549" s="5"/>
      <c r="AB549" s="5"/>
      <c r="AC549" s="5"/>
      <c r="AD549" s="5"/>
      <c r="AE549" s="5"/>
      <c r="AY549" s="5"/>
      <c r="AZ549" s="5"/>
      <c r="BA549" s="5"/>
      <c r="BB549" s="5"/>
      <c r="BC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</row>
    <row r="550" spans="21:230" ht="12.75">
      <c r="U550" s="5"/>
      <c r="V550" s="5"/>
      <c r="W550" s="5"/>
      <c r="X550" s="5"/>
      <c r="Y550" s="5"/>
      <c r="AA550" s="5"/>
      <c r="AB550" s="5"/>
      <c r="AC550" s="5"/>
      <c r="AD550" s="5"/>
      <c r="AE550" s="5"/>
      <c r="AY550" s="5"/>
      <c r="AZ550" s="5"/>
      <c r="BA550" s="5"/>
      <c r="BB550" s="5"/>
      <c r="BC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</row>
    <row r="551" spans="21:230" ht="12.75">
      <c r="U551" s="5"/>
      <c r="V551" s="5"/>
      <c r="W551" s="5"/>
      <c r="X551" s="5"/>
      <c r="Y551" s="5"/>
      <c r="AA551" s="5"/>
      <c r="AB551" s="5"/>
      <c r="AC551" s="5"/>
      <c r="AD551" s="5"/>
      <c r="AE551" s="5"/>
      <c r="AY551" s="5"/>
      <c r="AZ551" s="5"/>
      <c r="BA551" s="5"/>
      <c r="BB551" s="5"/>
      <c r="BC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</row>
    <row r="552" spans="21:230" ht="12.75">
      <c r="U552" s="5"/>
      <c r="V552" s="5"/>
      <c r="W552" s="5"/>
      <c r="X552" s="5"/>
      <c r="Y552" s="5"/>
      <c r="AA552" s="5"/>
      <c r="AB552" s="5"/>
      <c r="AC552" s="5"/>
      <c r="AD552" s="5"/>
      <c r="AE552" s="5"/>
      <c r="AY552" s="5"/>
      <c r="AZ552" s="5"/>
      <c r="BA552" s="5"/>
      <c r="BB552" s="5"/>
      <c r="BC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</row>
    <row r="553" spans="21:230" ht="12.75">
      <c r="U553" s="5"/>
      <c r="V553" s="5"/>
      <c r="W553" s="5"/>
      <c r="X553" s="5"/>
      <c r="Y553" s="5"/>
      <c r="AA553" s="5"/>
      <c r="AB553" s="5"/>
      <c r="AC553" s="5"/>
      <c r="AD553" s="5"/>
      <c r="AE553" s="5"/>
      <c r="AY553" s="5"/>
      <c r="AZ553" s="5"/>
      <c r="BA553" s="5"/>
      <c r="BB553" s="5"/>
      <c r="BC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</row>
    <row r="554" spans="21:230" ht="12.75">
      <c r="U554" s="5"/>
      <c r="V554" s="5"/>
      <c r="W554" s="5"/>
      <c r="X554" s="5"/>
      <c r="Y554" s="5"/>
      <c r="AA554" s="5"/>
      <c r="AB554" s="5"/>
      <c r="AC554" s="5"/>
      <c r="AD554" s="5"/>
      <c r="AE554" s="5"/>
      <c r="AY554" s="5"/>
      <c r="AZ554" s="5"/>
      <c r="BA554" s="5"/>
      <c r="BB554" s="5"/>
      <c r="BC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</row>
    <row r="555" spans="21:230" ht="12.75">
      <c r="U555" s="5"/>
      <c r="V555" s="5"/>
      <c r="W555" s="5"/>
      <c r="X555" s="5"/>
      <c r="Y555" s="5"/>
      <c r="AA555" s="5"/>
      <c r="AB555" s="5"/>
      <c r="AC555" s="5"/>
      <c r="AD555" s="5"/>
      <c r="AE555" s="5"/>
      <c r="AY555" s="5"/>
      <c r="AZ555" s="5"/>
      <c r="BA555" s="5"/>
      <c r="BB555" s="5"/>
      <c r="BC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</row>
    <row r="556" spans="21:230" ht="12.75">
      <c r="U556" s="5"/>
      <c r="V556" s="5"/>
      <c r="W556" s="5"/>
      <c r="X556" s="5"/>
      <c r="Y556" s="5"/>
      <c r="AA556" s="5"/>
      <c r="AB556" s="5"/>
      <c r="AC556" s="5"/>
      <c r="AD556" s="5"/>
      <c r="AE556" s="5"/>
      <c r="AY556" s="5"/>
      <c r="AZ556" s="5"/>
      <c r="BA556" s="5"/>
      <c r="BB556" s="5"/>
      <c r="BC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</row>
    <row r="557" spans="21:230" ht="12.75">
      <c r="U557" s="5"/>
      <c r="V557" s="5"/>
      <c r="W557" s="5"/>
      <c r="X557" s="5"/>
      <c r="Y557" s="5"/>
      <c r="AA557" s="5"/>
      <c r="AB557" s="5"/>
      <c r="AC557" s="5"/>
      <c r="AD557" s="5"/>
      <c r="AE557" s="5"/>
      <c r="AY557" s="5"/>
      <c r="AZ557" s="5"/>
      <c r="BA557" s="5"/>
      <c r="BB557" s="5"/>
      <c r="BC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</row>
    <row r="558" spans="21:230" ht="12.75">
      <c r="U558" s="5"/>
      <c r="V558" s="5"/>
      <c r="W558" s="5"/>
      <c r="X558" s="5"/>
      <c r="Y558" s="5"/>
      <c r="AA558" s="5"/>
      <c r="AB558" s="5"/>
      <c r="AC558" s="5"/>
      <c r="AD558" s="5"/>
      <c r="AE558" s="5"/>
      <c r="AY558" s="5"/>
      <c r="AZ558" s="5"/>
      <c r="BA558" s="5"/>
      <c r="BB558" s="5"/>
      <c r="BC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</row>
    <row r="559" spans="21:230" ht="12.75">
      <c r="U559" s="5"/>
      <c r="V559" s="5"/>
      <c r="W559" s="5"/>
      <c r="X559" s="5"/>
      <c r="Y559" s="5"/>
      <c r="AA559" s="5"/>
      <c r="AB559" s="5"/>
      <c r="AC559" s="5"/>
      <c r="AD559" s="5"/>
      <c r="AE559" s="5"/>
      <c r="AY559" s="5"/>
      <c r="AZ559" s="5"/>
      <c r="BA559" s="5"/>
      <c r="BB559" s="5"/>
      <c r="BC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</row>
    <row r="560" spans="21:230" ht="12.75">
      <c r="U560" s="5"/>
      <c r="V560" s="5"/>
      <c r="W560" s="5"/>
      <c r="X560" s="5"/>
      <c r="Y560" s="5"/>
      <c r="AA560" s="5"/>
      <c r="AB560" s="5"/>
      <c r="AC560" s="5"/>
      <c r="AD560" s="5"/>
      <c r="AE560" s="5"/>
      <c r="AY560" s="5"/>
      <c r="AZ560" s="5"/>
      <c r="BA560" s="5"/>
      <c r="BB560" s="5"/>
      <c r="BC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</row>
    <row r="561" spans="21:230" ht="12.75">
      <c r="U561" s="5"/>
      <c r="V561" s="5"/>
      <c r="W561" s="5"/>
      <c r="X561" s="5"/>
      <c r="Y561" s="5"/>
      <c r="AA561" s="5"/>
      <c r="AB561" s="5"/>
      <c r="AC561" s="5"/>
      <c r="AD561" s="5"/>
      <c r="AE561" s="5"/>
      <c r="AY561" s="5"/>
      <c r="AZ561" s="5"/>
      <c r="BA561" s="5"/>
      <c r="BB561" s="5"/>
      <c r="BC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U71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2" sqref="Q12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4218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3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3.7109375" style="5" customWidth="1"/>
    <col min="158" max="158" width="3.7109375" style="5" customWidth="1"/>
    <col min="159" max="163" width="12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5" customWidth="1"/>
    <col min="176" max="176" width="3.7109375" style="0" customWidth="1"/>
  </cols>
  <sheetData>
    <row r="1" spans="1:177" ht="12.75">
      <c r="A1" s="1"/>
      <c r="B1" s="2"/>
      <c r="D1" s="4"/>
      <c r="O1" s="4" t="s">
        <v>92</v>
      </c>
      <c r="U1" s="4"/>
      <c r="AM1" s="4" t="s">
        <v>92</v>
      </c>
      <c r="AY1" s="4" t="s">
        <v>92</v>
      </c>
      <c r="BQ1" s="4" t="s">
        <v>92</v>
      </c>
      <c r="CI1" s="4" t="s">
        <v>92</v>
      </c>
      <c r="DA1" s="4" t="s">
        <v>92</v>
      </c>
      <c r="DS1" s="4" t="s">
        <v>92</v>
      </c>
      <c r="EK1" s="4" t="s">
        <v>92</v>
      </c>
      <c r="FC1" s="4" t="s">
        <v>92</v>
      </c>
      <c r="FU1" s="4" t="s">
        <v>92</v>
      </c>
    </row>
    <row r="2" spans="1:177" ht="12.75">
      <c r="A2" s="1"/>
      <c r="B2" s="2"/>
      <c r="D2" s="4"/>
      <c r="O2" s="4" t="s">
        <v>91</v>
      </c>
      <c r="U2" s="4"/>
      <c r="AM2" s="4" t="s">
        <v>91</v>
      </c>
      <c r="AY2" s="4" t="s">
        <v>91</v>
      </c>
      <c r="BQ2" s="4" t="s">
        <v>91</v>
      </c>
      <c r="CI2" s="4" t="s">
        <v>91</v>
      </c>
      <c r="DA2" s="4" t="s">
        <v>91</v>
      </c>
      <c r="DS2" s="4" t="s">
        <v>91</v>
      </c>
      <c r="EK2" s="4" t="s">
        <v>91</v>
      </c>
      <c r="FC2" s="4" t="s">
        <v>91</v>
      </c>
      <c r="FU2" s="4" t="s">
        <v>91</v>
      </c>
    </row>
    <row r="3" spans="1:177" ht="12.75">
      <c r="A3" s="1"/>
      <c r="B3" s="2"/>
      <c r="D3" s="7"/>
      <c r="O3" s="4" t="str">
        <f>'2019C'!C3</f>
        <v>2010 Series D &amp; 2010 Series E Bond Funded Projects Refinanced on  2019C</v>
      </c>
      <c r="U3" s="4"/>
      <c r="AM3" s="4" t="s">
        <v>115</v>
      </c>
      <c r="AY3" s="4" t="s">
        <v>115</v>
      </c>
      <c r="BQ3" s="4" t="s">
        <v>115</v>
      </c>
      <c r="CI3" s="4" t="s">
        <v>115</v>
      </c>
      <c r="DA3" s="4" t="s">
        <v>115</v>
      </c>
      <c r="DS3" s="4" t="s">
        <v>115</v>
      </c>
      <c r="EK3" s="4" t="s">
        <v>115</v>
      </c>
      <c r="FC3" s="4" t="s">
        <v>115</v>
      </c>
      <c r="FU3" s="4" t="s">
        <v>115</v>
      </c>
    </row>
    <row r="4" spans="1:4" ht="12.75">
      <c r="A4" s="1"/>
      <c r="B4" s="2"/>
      <c r="C4" s="4"/>
      <c r="D4" s="4"/>
    </row>
    <row r="5" spans="1:175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4"/>
      <c r="K5" s="13"/>
      <c r="L5" s="81"/>
      <c r="M5" s="30"/>
      <c r="O5" s="39" t="s">
        <v>19</v>
      </c>
      <c r="P5" s="12"/>
      <c r="Q5" s="13"/>
      <c r="R5" s="81"/>
      <c r="S5" s="30"/>
      <c r="U5" s="39" t="s">
        <v>131</v>
      </c>
      <c r="V5" s="12"/>
      <c r="W5" s="13"/>
      <c r="X5" s="81"/>
      <c r="Y5" s="30"/>
      <c r="Z5" s="82"/>
      <c r="AA5" s="39" t="s">
        <v>176</v>
      </c>
      <c r="AB5" s="12"/>
      <c r="AC5" s="13"/>
      <c r="AD5" s="81"/>
      <c r="AE5" s="30"/>
      <c r="AG5" s="39" t="s">
        <v>132</v>
      </c>
      <c r="AH5" s="12"/>
      <c r="AI5" s="13"/>
      <c r="AJ5" s="81"/>
      <c r="AK5" s="30"/>
      <c r="AM5" s="39" t="s">
        <v>133</v>
      </c>
      <c r="AN5" s="12"/>
      <c r="AO5" s="13"/>
      <c r="AP5" s="81"/>
      <c r="AQ5" s="30"/>
      <c r="AS5" s="39" t="s">
        <v>20</v>
      </c>
      <c r="AT5" s="12"/>
      <c r="AU5" s="13"/>
      <c r="AV5" s="81"/>
      <c r="AW5" s="30"/>
      <c r="AY5" s="39" t="s">
        <v>21</v>
      </c>
      <c r="AZ5" s="12"/>
      <c r="BA5" s="13"/>
      <c r="BB5" s="81"/>
      <c r="BC5" s="30"/>
      <c r="BE5" s="39" t="s">
        <v>93</v>
      </c>
      <c r="BF5" s="12"/>
      <c r="BG5" s="13"/>
      <c r="BH5" s="81"/>
      <c r="BI5" s="30"/>
      <c r="BK5" s="39" t="s">
        <v>134</v>
      </c>
      <c r="BL5" s="12"/>
      <c r="BM5" s="13"/>
      <c r="BN5" s="81"/>
      <c r="BO5" s="30"/>
      <c r="BQ5" s="39" t="s">
        <v>167</v>
      </c>
      <c r="BR5" s="12"/>
      <c r="BS5" s="13"/>
      <c r="BT5" s="81"/>
      <c r="BU5" s="30"/>
      <c r="BW5" s="11" t="s">
        <v>22</v>
      </c>
      <c r="BX5" s="12"/>
      <c r="BY5" s="13"/>
      <c r="BZ5" s="81"/>
      <c r="CA5" s="30"/>
      <c r="CC5" s="11" t="s">
        <v>168</v>
      </c>
      <c r="CD5" s="12"/>
      <c r="CE5" s="13"/>
      <c r="CF5" s="81"/>
      <c r="CG5" s="30"/>
      <c r="CI5" s="11" t="s">
        <v>135</v>
      </c>
      <c r="CJ5" s="12"/>
      <c r="CK5" s="13"/>
      <c r="CL5" s="81"/>
      <c r="CM5" s="30"/>
      <c r="CO5" s="39" t="s">
        <v>23</v>
      </c>
      <c r="CP5" s="12"/>
      <c r="CQ5" s="13"/>
      <c r="CR5" s="81"/>
      <c r="CS5" s="30"/>
      <c r="CU5" s="11" t="s">
        <v>24</v>
      </c>
      <c r="CV5" s="12"/>
      <c r="CW5" s="13"/>
      <c r="CX5" s="81"/>
      <c r="CY5" s="30"/>
      <c r="DA5" s="39" t="s">
        <v>25</v>
      </c>
      <c r="DB5" s="12"/>
      <c r="DC5" s="13"/>
      <c r="DD5" s="81"/>
      <c r="DE5" s="30"/>
      <c r="DG5" s="39" t="s">
        <v>26</v>
      </c>
      <c r="DH5" s="14"/>
      <c r="DI5" s="13"/>
      <c r="DJ5" s="81"/>
      <c r="DK5" s="30"/>
      <c r="DM5" s="39" t="s">
        <v>27</v>
      </c>
      <c r="DN5" s="14"/>
      <c r="DO5" s="13"/>
      <c r="DP5" s="81"/>
      <c r="DQ5" s="30"/>
      <c r="DS5" s="39" t="s">
        <v>28</v>
      </c>
      <c r="DT5" s="14"/>
      <c r="DU5" s="13"/>
      <c r="DV5" s="81"/>
      <c r="DW5" s="30"/>
      <c r="DY5" s="39" t="s">
        <v>94</v>
      </c>
      <c r="DZ5" s="14"/>
      <c r="EA5" s="13"/>
      <c r="EB5" s="81"/>
      <c r="EC5" s="30"/>
      <c r="EE5" s="39" t="s">
        <v>29</v>
      </c>
      <c r="EF5" s="14"/>
      <c r="EG5" s="13"/>
      <c r="EH5" s="81"/>
      <c r="EI5" s="30"/>
      <c r="EJ5" s="42"/>
      <c r="EK5" s="11" t="s">
        <v>30</v>
      </c>
      <c r="EL5" s="14"/>
      <c r="EM5" s="13"/>
      <c r="EN5" s="81"/>
      <c r="EO5" s="30"/>
      <c r="EP5" s="43"/>
      <c r="EQ5" s="11" t="s">
        <v>31</v>
      </c>
      <c r="ER5" s="14"/>
      <c r="ES5" s="13"/>
      <c r="ET5" s="81"/>
      <c r="EU5" s="30"/>
      <c r="EV5" s="43"/>
      <c r="EW5" s="11" t="s">
        <v>95</v>
      </c>
      <c r="EX5" s="14"/>
      <c r="EY5" s="13"/>
      <c r="EZ5" s="81"/>
      <c r="FA5" s="30"/>
      <c r="FB5" s="43"/>
      <c r="FC5" s="39" t="s">
        <v>136</v>
      </c>
      <c r="FD5" s="14"/>
      <c r="FE5" s="13"/>
      <c r="FF5" s="81"/>
      <c r="FG5" s="30"/>
      <c r="FH5" s="43"/>
      <c r="FI5" s="11" t="s">
        <v>96</v>
      </c>
      <c r="FJ5" s="14"/>
      <c r="FK5" s="13"/>
      <c r="FL5" s="81"/>
      <c r="FM5" s="30"/>
      <c r="FN5" s="43"/>
      <c r="FO5" s="11" t="s">
        <v>169</v>
      </c>
      <c r="FP5" s="14"/>
      <c r="FQ5" s="13"/>
      <c r="FR5" s="81"/>
      <c r="FS5" s="30"/>
    </row>
    <row r="6" spans="1:175" ht="12.75">
      <c r="A6" s="20" t="s">
        <v>15</v>
      </c>
      <c r="B6" s="8"/>
      <c r="C6" s="40"/>
      <c r="D6" s="41" t="str">
        <f>'2019C'!D6</f>
        <v>Refinanced on 2019C</v>
      </c>
      <c r="E6" s="13"/>
      <c r="F6" s="80" t="s">
        <v>174</v>
      </c>
      <c r="G6" s="30" t="s">
        <v>174</v>
      </c>
      <c r="I6" s="21">
        <f>O6+U6+AG6+AM6+AS6+AA6+AY6+BE6+BK6+BW6+CI6+CO6+CU6+DA6+DG6+DM6+DS6+DY6+EE6+EK6+EQ6+EW6+FC6+FI6</f>
        <v>0.14227249999999997</v>
      </c>
      <c r="J6" s="22">
        <v>0.223231</v>
      </c>
      <c r="K6" s="23"/>
      <c r="L6" s="80" t="s">
        <v>174</v>
      </c>
      <c r="M6" s="30" t="s">
        <v>174</v>
      </c>
      <c r="O6" s="44">
        <v>0.0232253</v>
      </c>
      <c r="P6" s="8">
        <v>0.0468017</v>
      </c>
      <c r="Q6" s="23"/>
      <c r="R6" s="80" t="s">
        <v>174</v>
      </c>
      <c r="S6" s="30" t="s">
        <v>174</v>
      </c>
      <c r="U6" s="44">
        <v>0.0062124</v>
      </c>
      <c r="V6" s="8">
        <v>0.0065137</v>
      </c>
      <c r="W6" s="23"/>
      <c r="X6" s="80" t="s">
        <v>174</v>
      </c>
      <c r="Y6" s="30" t="s">
        <v>174</v>
      </c>
      <c r="Z6" s="83"/>
      <c r="AA6" s="44">
        <v>0.0009275</v>
      </c>
      <c r="AB6" s="8">
        <v>0.000936</v>
      </c>
      <c r="AC6" s="23"/>
      <c r="AD6" s="80" t="s">
        <v>174</v>
      </c>
      <c r="AE6" s="30" t="s">
        <v>174</v>
      </c>
      <c r="AG6" s="44">
        <v>0.0028654</v>
      </c>
      <c r="AH6" s="8">
        <v>0.0055081</v>
      </c>
      <c r="AI6" s="23"/>
      <c r="AJ6" s="80" t="s">
        <v>174</v>
      </c>
      <c r="AK6" s="30" t="s">
        <v>174</v>
      </c>
      <c r="AM6" s="44">
        <v>0.0024251</v>
      </c>
      <c r="AN6" s="8">
        <v>0.0024473</v>
      </c>
      <c r="AO6" s="23"/>
      <c r="AP6" s="80" t="s">
        <v>174</v>
      </c>
      <c r="AQ6" s="30" t="s">
        <v>174</v>
      </c>
      <c r="AS6" s="44">
        <v>0.0007691</v>
      </c>
      <c r="AT6" s="8">
        <v>0.0015559</v>
      </c>
      <c r="AU6" s="23"/>
      <c r="AV6" s="80" t="s">
        <v>174</v>
      </c>
      <c r="AW6" s="30" t="s">
        <v>174</v>
      </c>
      <c r="AY6" s="44">
        <v>0.0037867</v>
      </c>
      <c r="AZ6" s="8">
        <v>0.0041985</v>
      </c>
      <c r="BA6" s="23"/>
      <c r="BB6" s="80" t="s">
        <v>174</v>
      </c>
      <c r="BC6" s="30" t="s">
        <v>174</v>
      </c>
      <c r="BE6" s="44">
        <v>8E-07</v>
      </c>
      <c r="BF6" s="8">
        <v>8E-07</v>
      </c>
      <c r="BG6" s="23"/>
      <c r="BH6" s="80" t="s">
        <v>174</v>
      </c>
      <c r="BI6" s="30" t="s">
        <v>174</v>
      </c>
      <c r="BK6" s="44">
        <v>0.0025737</v>
      </c>
      <c r="BL6" s="8">
        <v>0.0025973</v>
      </c>
      <c r="BM6" s="23"/>
      <c r="BN6" s="80" t="s">
        <v>174</v>
      </c>
      <c r="BO6" s="30" t="s">
        <v>174</v>
      </c>
      <c r="BQ6" s="44">
        <v>0</v>
      </c>
      <c r="BR6" s="8">
        <v>0.0047809</v>
      </c>
      <c r="BS6" s="23"/>
      <c r="BT6" s="80" t="s">
        <v>174</v>
      </c>
      <c r="BU6" s="30" t="s">
        <v>174</v>
      </c>
      <c r="BW6" s="44">
        <v>0.0078164</v>
      </c>
      <c r="BX6" s="8">
        <v>0.0124444</v>
      </c>
      <c r="BY6" s="23"/>
      <c r="BZ6" s="80" t="s">
        <v>174</v>
      </c>
      <c r="CA6" s="30" t="s">
        <v>174</v>
      </c>
      <c r="CC6" s="44">
        <v>0</v>
      </c>
      <c r="CD6" s="8">
        <v>0.0012659</v>
      </c>
      <c r="CE6" s="23"/>
      <c r="CF6" s="80" t="s">
        <v>174</v>
      </c>
      <c r="CG6" s="30" t="s">
        <v>174</v>
      </c>
      <c r="CI6" s="44">
        <v>0.0001568</v>
      </c>
      <c r="CJ6" s="8">
        <v>0.0001582</v>
      </c>
      <c r="CK6" s="23"/>
      <c r="CL6" s="80" t="s">
        <v>174</v>
      </c>
      <c r="CM6" s="30" t="s">
        <v>174</v>
      </c>
      <c r="CO6" s="44">
        <v>0.0001416</v>
      </c>
      <c r="CP6" s="8">
        <v>0.0001429</v>
      </c>
      <c r="CQ6" s="23"/>
      <c r="CR6" s="80" t="s">
        <v>174</v>
      </c>
      <c r="CS6" s="30" t="s">
        <v>174</v>
      </c>
      <c r="CU6" s="44">
        <v>0.0021433</v>
      </c>
      <c r="CV6" s="8">
        <v>0.0035531</v>
      </c>
      <c r="CW6" s="23"/>
      <c r="CX6" s="80" t="s">
        <v>174</v>
      </c>
      <c r="CY6" s="30" t="s">
        <v>174</v>
      </c>
      <c r="DA6" s="44">
        <v>0.0001105</v>
      </c>
      <c r="DB6" s="8">
        <v>0.0002758</v>
      </c>
      <c r="DC6" s="23"/>
      <c r="DD6" s="80" t="s">
        <v>174</v>
      </c>
      <c r="DE6" s="30" t="s">
        <v>174</v>
      </c>
      <c r="DG6" s="44">
        <v>0.0019505</v>
      </c>
      <c r="DH6" s="22">
        <v>0.0021815</v>
      </c>
      <c r="DI6" s="23"/>
      <c r="DJ6" s="80" t="s">
        <v>174</v>
      </c>
      <c r="DK6" s="30" t="s">
        <v>174</v>
      </c>
      <c r="DM6" s="44">
        <v>0.0110992</v>
      </c>
      <c r="DN6" s="22">
        <v>0.0112641</v>
      </c>
      <c r="DO6" s="23"/>
      <c r="DP6" s="80" t="s">
        <v>174</v>
      </c>
      <c r="DQ6" s="30" t="s">
        <v>174</v>
      </c>
      <c r="DS6" s="44">
        <v>0.0008856</v>
      </c>
      <c r="DT6" s="22">
        <v>0.0008937</v>
      </c>
      <c r="DU6" s="23"/>
      <c r="DV6" s="80" t="s">
        <v>174</v>
      </c>
      <c r="DW6" s="30" t="s">
        <v>174</v>
      </c>
      <c r="DY6" s="44">
        <v>0.0003003</v>
      </c>
      <c r="DZ6" s="22">
        <v>0.0024264</v>
      </c>
      <c r="EA6" s="23"/>
      <c r="EB6" s="80" t="s">
        <v>174</v>
      </c>
      <c r="EC6" s="30" t="s">
        <v>174</v>
      </c>
      <c r="EE6" s="44">
        <v>0.0022678</v>
      </c>
      <c r="EF6" s="22">
        <v>0.0027208</v>
      </c>
      <c r="EG6" s="23"/>
      <c r="EH6" s="80" t="s">
        <v>174</v>
      </c>
      <c r="EI6" s="30" t="s">
        <v>174</v>
      </c>
      <c r="EJ6" s="42"/>
      <c r="EK6" s="44">
        <v>0.0063511</v>
      </c>
      <c r="EL6" s="22">
        <v>0.0068555</v>
      </c>
      <c r="EM6" s="23"/>
      <c r="EN6" s="80" t="s">
        <v>174</v>
      </c>
      <c r="EO6" s="30" t="s">
        <v>174</v>
      </c>
      <c r="EP6" s="43"/>
      <c r="EQ6" s="44">
        <v>0.0079036</v>
      </c>
      <c r="ER6" s="22">
        <v>0.0105327</v>
      </c>
      <c r="ES6" s="23"/>
      <c r="ET6" s="80" t="s">
        <v>174</v>
      </c>
      <c r="EU6" s="30" t="s">
        <v>174</v>
      </c>
      <c r="EV6" s="43"/>
      <c r="EW6" s="44">
        <v>0.0432289</v>
      </c>
      <c r="EX6" s="22">
        <v>0.0499299</v>
      </c>
      <c r="EY6" s="23"/>
      <c r="EZ6" s="80" t="s">
        <v>174</v>
      </c>
      <c r="FA6" s="30" t="s">
        <v>174</v>
      </c>
      <c r="FB6" s="43"/>
      <c r="FC6" s="44">
        <v>0.0150947</v>
      </c>
      <c r="FD6" s="22">
        <v>0.0422346</v>
      </c>
      <c r="FE6" s="23"/>
      <c r="FF6" s="80" t="s">
        <v>174</v>
      </c>
      <c r="FG6" s="30" t="s">
        <v>174</v>
      </c>
      <c r="FH6" s="43"/>
      <c r="FI6" s="44">
        <v>3.62E-05</v>
      </c>
      <c r="FJ6" s="22">
        <v>0.000265</v>
      </c>
      <c r="FK6" s="23"/>
      <c r="FL6" s="80" t="s">
        <v>174</v>
      </c>
      <c r="FM6" s="30" t="s">
        <v>174</v>
      </c>
      <c r="FN6" s="34"/>
      <c r="FO6" s="44">
        <v>0</v>
      </c>
      <c r="FP6" s="22">
        <v>0.0007463</v>
      </c>
      <c r="FQ6" s="23"/>
      <c r="FR6" s="80" t="s">
        <v>174</v>
      </c>
      <c r="FS6" s="30" t="s">
        <v>174</v>
      </c>
    </row>
    <row r="7" spans="1:175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182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182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182</v>
      </c>
      <c r="U7" s="30" t="s">
        <v>16</v>
      </c>
      <c r="V7" s="30" t="s">
        <v>17</v>
      </c>
      <c r="W7" s="30" t="s">
        <v>18</v>
      </c>
      <c r="X7" s="30" t="s">
        <v>175</v>
      </c>
      <c r="Y7" s="30" t="s">
        <v>182</v>
      </c>
      <c r="Z7" s="83"/>
      <c r="AA7" s="30" t="s">
        <v>16</v>
      </c>
      <c r="AB7" s="30" t="s">
        <v>17</v>
      </c>
      <c r="AC7" s="30" t="s">
        <v>18</v>
      </c>
      <c r="AD7" s="30" t="s">
        <v>175</v>
      </c>
      <c r="AE7" s="30" t="s">
        <v>182</v>
      </c>
      <c r="AG7" s="30" t="s">
        <v>16</v>
      </c>
      <c r="AH7" s="30" t="s">
        <v>17</v>
      </c>
      <c r="AI7" s="30" t="s">
        <v>18</v>
      </c>
      <c r="AJ7" s="30" t="s">
        <v>175</v>
      </c>
      <c r="AK7" s="30" t="s">
        <v>182</v>
      </c>
      <c r="AM7" s="30" t="s">
        <v>16</v>
      </c>
      <c r="AN7" s="30" t="s">
        <v>17</v>
      </c>
      <c r="AO7" s="30" t="s">
        <v>18</v>
      </c>
      <c r="AP7" s="30" t="s">
        <v>175</v>
      </c>
      <c r="AQ7" s="30" t="s">
        <v>182</v>
      </c>
      <c r="AS7" s="30" t="s">
        <v>16</v>
      </c>
      <c r="AT7" s="30" t="s">
        <v>17</v>
      </c>
      <c r="AU7" s="30" t="s">
        <v>18</v>
      </c>
      <c r="AV7" s="30" t="s">
        <v>175</v>
      </c>
      <c r="AW7" s="30" t="s">
        <v>182</v>
      </c>
      <c r="AY7" s="30" t="s">
        <v>16</v>
      </c>
      <c r="AZ7" s="30" t="s">
        <v>17</v>
      </c>
      <c r="BA7" s="30" t="s">
        <v>18</v>
      </c>
      <c r="BB7" s="30" t="s">
        <v>175</v>
      </c>
      <c r="BC7" s="30" t="s">
        <v>182</v>
      </c>
      <c r="BE7" s="30" t="s">
        <v>16</v>
      </c>
      <c r="BF7" s="30" t="s">
        <v>17</v>
      </c>
      <c r="BG7" s="30" t="s">
        <v>18</v>
      </c>
      <c r="BH7" s="30" t="s">
        <v>175</v>
      </c>
      <c r="BI7" s="30" t="s">
        <v>182</v>
      </c>
      <c r="BK7" s="30" t="s">
        <v>16</v>
      </c>
      <c r="BL7" s="30" t="s">
        <v>17</v>
      </c>
      <c r="BM7" s="30" t="s">
        <v>18</v>
      </c>
      <c r="BN7" s="30" t="s">
        <v>175</v>
      </c>
      <c r="BO7" s="30" t="s">
        <v>182</v>
      </c>
      <c r="BQ7" s="30" t="s">
        <v>16</v>
      </c>
      <c r="BR7" s="30" t="s">
        <v>17</v>
      </c>
      <c r="BS7" s="30" t="s">
        <v>18</v>
      </c>
      <c r="BT7" s="30" t="s">
        <v>175</v>
      </c>
      <c r="BU7" s="30" t="s">
        <v>182</v>
      </c>
      <c r="BW7" s="30" t="s">
        <v>16</v>
      </c>
      <c r="BX7" s="30" t="s">
        <v>17</v>
      </c>
      <c r="BY7" s="30" t="s">
        <v>18</v>
      </c>
      <c r="BZ7" s="30" t="s">
        <v>175</v>
      </c>
      <c r="CA7" s="30" t="s">
        <v>182</v>
      </c>
      <c r="CC7" s="30" t="s">
        <v>16</v>
      </c>
      <c r="CD7" s="30" t="s">
        <v>17</v>
      </c>
      <c r="CE7" s="30" t="s">
        <v>18</v>
      </c>
      <c r="CF7" s="30" t="s">
        <v>175</v>
      </c>
      <c r="CG7" s="30" t="s">
        <v>182</v>
      </c>
      <c r="CI7" s="30" t="s">
        <v>16</v>
      </c>
      <c r="CJ7" s="30" t="s">
        <v>17</v>
      </c>
      <c r="CK7" s="30" t="s">
        <v>18</v>
      </c>
      <c r="CL7" s="30" t="s">
        <v>175</v>
      </c>
      <c r="CM7" s="30" t="s">
        <v>182</v>
      </c>
      <c r="CO7" s="30" t="s">
        <v>16</v>
      </c>
      <c r="CP7" s="30" t="s">
        <v>17</v>
      </c>
      <c r="CQ7" s="30" t="s">
        <v>18</v>
      </c>
      <c r="CR7" s="30" t="s">
        <v>175</v>
      </c>
      <c r="CS7" s="30" t="s">
        <v>182</v>
      </c>
      <c r="CU7" s="30" t="s">
        <v>16</v>
      </c>
      <c r="CV7" s="30" t="s">
        <v>17</v>
      </c>
      <c r="CW7" s="30" t="s">
        <v>18</v>
      </c>
      <c r="CX7" s="30" t="s">
        <v>175</v>
      </c>
      <c r="CY7" s="30" t="s">
        <v>182</v>
      </c>
      <c r="DA7" s="30" t="s">
        <v>16</v>
      </c>
      <c r="DB7" s="30" t="s">
        <v>17</v>
      </c>
      <c r="DC7" s="30" t="s">
        <v>18</v>
      </c>
      <c r="DD7" s="30" t="s">
        <v>175</v>
      </c>
      <c r="DE7" s="30" t="s">
        <v>182</v>
      </c>
      <c r="DG7" s="30" t="s">
        <v>16</v>
      </c>
      <c r="DH7" s="30" t="s">
        <v>17</v>
      </c>
      <c r="DI7" s="30" t="s">
        <v>18</v>
      </c>
      <c r="DJ7" s="30" t="s">
        <v>175</v>
      </c>
      <c r="DK7" s="30" t="s">
        <v>182</v>
      </c>
      <c r="DM7" s="30" t="s">
        <v>16</v>
      </c>
      <c r="DN7" s="30" t="s">
        <v>17</v>
      </c>
      <c r="DO7" s="30" t="s">
        <v>18</v>
      </c>
      <c r="DP7" s="30" t="s">
        <v>175</v>
      </c>
      <c r="DQ7" s="30" t="s">
        <v>182</v>
      </c>
      <c r="DS7" s="30" t="s">
        <v>16</v>
      </c>
      <c r="DT7" s="30" t="s">
        <v>17</v>
      </c>
      <c r="DU7" s="30" t="s">
        <v>18</v>
      </c>
      <c r="DV7" s="30" t="s">
        <v>175</v>
      </c>
      <c r="DW7" s="30" t="s">
        <v>182</v>
      </c>
      <c r="DY7" s="30" t="s">
        <v>16</v>
      </c>
      <c r="DZ7" s="30" t="s">
        <v>17</v>
      </c>
      <c r="EA7" s="30" t="s">
        <v>18</v>
      </c>
      <c r="EB7" s="30" t="s">
        <v>175</v>
      </c>
      <c r="EC7" s="30" t="s">
        <v>182</v>
      </c>
      <c r="EE7" s="30" t="s">
        <v>16</v>
      </c>
      <c r="EF7" s="30" t="s">
        <v>17</v>
      </c>
      <c r="EG7" s="30" t="s">
        <v>18</v>
      </c>
      <c r="EH7" s="30" t="s">
        <v>175</v>
      </c>
      <c r="EI7" s="30" t="s">
        <v>182</v>
      </c>
      <c r="EJ7" s="45"/>
      <c r="EK7" s="30" t="s">
        <v>16</v>
      </c>
      <c r="EL7" s="30" t="s">
        <v>17</v>
      </c>
      <c r="EM7" s="30" t="s">
        <v>18</v>
      </c>
      <c r="EN7" s="30" t="s">
        <v>175</v>
      </c>
      <c r="EO7" s="30" t="s">
        <v>182</v>
      </c>
      <c r="EP7" s="45"/>
      <c r="EQ7" s="30" t="s">
        <v>16</v>
      </c>
      <c r="ER7" s="30" t="s">
        <v>17</v>
      </c>
      <c r="ES7" s="30" t="s">
        <v>18</v>
      </c>
      <c r="ET7" s="30" t="s">
        <v>175</v>
      </c>
      <c r="EU7" s="30" t="s">
        <v>182</v>
      </c>
      <c r="EV7" s="45"/>
      <c r="EW7" s="30" t="s">
        <v>16</v>
      </c>
      <c r="EX7" s="30" t="s">
        <v>17</v>
      </c>
      <c r="EY7" s="30" t="s">
        <v>18</v>
      </c>
      <c r="EZ7" s="30" t="s">
        <v>175</v>
      </c>
      <c r="FA7" s="30" t="s">
        <v>182</v>
      </c>
      <c r="FB7" s="45"/>
      <c r="FC7" s="30" t="s">
        <v>16</v>
      </c>
      <c r="FD7" s="30" t="s">
        <v>17</v>
      </c>
      <c r="FE7" s="30" t="s">
        <v>18</v>
      </c>
      <c r="FF7" s="30" t="s">
        <v>175</v>
      </c>
      <c r="FG7" s="30" t="s">
        <v>182</v>
      </c>
      <c r="FH7" s="45"/>
      <c r="FI7" s="30" t="s">
        <v>16</v>
      </c>
      <c r="FJ7" s="30" t="s">
        <v>17</v>
      </c>
      <c r="FK7" s="30" t="s">
        <v>18</v>
      </c>
      <c r="FL7" s="30" t="s">
        <v>175</v>
      </c>
      <c r="FM7" s="30" t="s">
        <v>182</v>
      </c>
      <c r="FN7" s="73"/>
      <c r="FO7" s="30" t="s">
        <v>16</v>
      </c>
      <c r="FP7" s="30" t="s">
        <v>17</v>
      </c>
      <c r="FQ7" s="30" t="s">
        <v>18</v>
      </c>
      <c r="FR7" s="30" t="s">
        <v>175</v>
      </c>
      <c r="FS7" s="30" t="s">
        <v>182</v>
      </c>
    </row>
    <row r="8" spans="1:175" ht="12.75">
      <c r="A8" s="36">
        <v>43739</v>
      </c>
      <c r="C8" s="77">
        <f>'2019C'!C8</f>
        <v>0</v>
      </c>
      <c r="D8" s="77">
        <f>'2019C'!D8</f>
        <v>0</v>
      </c>
      <c r="E8" s="34">
        <f>C8+D8</f>
        <v>0</v>
      </c>
      <c r="F8" s="77">
        <f>'2019C'!F8</f>
        <v>0</v>
      </c>
      <c r="G8" s="77">
        <f>'2019C'!G8</f>
        <v>0</v>
      </c>
      <c r="I8" s="46"/>
      <c r="J8" s="35">
        <f aca="true" t="shared" si="0" ref="J8:J29">P8+V8+AH8+AN8+AT8+AB8+AZ8+BF8+BL8+BR8+BX8+CD8+CJ8+CP8+CV8+DB8+DH8+DN8+DT8+DZ8+EF8+EL8+ER8+EX8+FD8+FJ8+FP8</f>
        <v>0</v>
      </c>
      <c r="K8" s="35">
        <f aca="true" t="shared" si="1" ref="K8:K29">I8+J8</f>
        <v>0</v>
      </c>
      <c r="L8" s="35">
        <f aca="true" t="shared" si="2" ref="L8:M29">R8+X8+AJ8+AP8+AV8+AD8+BB8+BH8+BN8+BZ8+CL8+CR8+CX8+DD8+DJ8+DP8+DV8+EB8+EH8+EN8+ET8+EZ8+FF8+FL8+BT8+CF8+FR8</f>
        <v>0</v>
      </c>
      <c r="M8" s="35">
        <f t="shared" si="2"/>
        <v>0</v>
      </c>
      <c r="P8" s="5">
        <f aca="true" t="shared" si="3" ref="P8:P29">$D8*P$6</f>
        <v>0</v>
      </c>
      <c r="Q8" s="5">
        <f aca="true" t="shared" si="4" ref="Q8:Q29">O8+P8</f>
        <v>0</v>
      </c>
      <c r="R8" s="35">
        <f aca="true" t="shared" si="5" ref="R8:R29">$F8*P$6</f>
        <v>0</v>
      </c>
      <c r="S8" s="35">
        <f>$G8*P$6</f>
        <v>0</v>
      </c>
      <c r="V8" s="5">
        <f aca="true" t="shared" si="6" ref="V8:V29">$D8*V$6</f>
        <v>0</v>
      </c>
      <c r="W8" s="35">
        <f aca="true" t="shared" si="7" ref="W8:W29">U8+V8</f>
        <v>0</v>
      </c>
      <c r="X8" s="35">
        <f aca="true" t="shared" si="8" ref="X8:X29">$F8*V$6</f>
        <v>0</v>
      </c>
      <c r="Y8" s="35">
        <f>$G8*V$6</f>
        <v>0</v>
      </c>
      <c r="Z8" s="35"/>
      <c r="AB8" s="5">
        <f aca="true" t="shared" si="9" ref="AB8:AB29">$D8*AB$6</f>
        <v>0</v>
      </c>
      <c r="AC8" s="5">
        <f aca="true" t="shared" si="10" ref="AC8:AC29">AA8+AB8</f>
        <v>0</v>
      </c>
      <c r="AD8" s="35">
        <f aca="true" t="shared" si="11" ref="AD8:AD29">$F8*AB$6</f>
        <v>0</v>
      </c>
      <c r="AE8" s="35">
        <f>$G8*AB$6</f>
        <v>0</v>
      </c>
      <c r="AH8" s="5">
        <f aca="true" t="shared" si="12" ref="AH8:AH29">$D8*AH$6</f>
        <v>0</v>
      </c>
      <c r="AI8" s="5">
        <f aca="true" t="shared" si="13" ref="AI8:AI29">AG8+AH8</f>
        <v>0</v>
      </c>
      <c r="AJ8" s="35">
        <f aca="true" t="shared" si="14" ref="AJ8:AJ29">$F8*AH$6</f>
        <v>0</v>
      </c>
      <c r="AK8" s="35">
        <f>$G8*AH$6</f>
        <v>0</v>
      </c>
      <c r="AN8" s="5">
        <f aca="true" t="shared" si="15" ref="AN8:AN29">$D8*AN$6</f>
        <v>0</v>
      </c>
      <c r="AO8" s="5">
        <f aca="true" t="shared" si="16" ref="AO8:AO29">AM8+AN8</f>
        <v>0</v>
      </c>
      <c r="AP8" s="35">
        <f aca="true" t="shared" si="17" ref="AP8:AP29">$F8*AN$6</f>
        <v>0</v>
      </c>
      <c r="AQ8" s="35">
        <f>$G8*AN$6</f>
        <v>0</v>
      </c>
      <c r="AT8" s="5">
        <f aca="true" t="shared" si="18" ref="AT8:AT29">$D8*AT$6</f>
        <v>0</v>
      </c>
      <c r="AU8" s="5">
        <f aca="true" t="shared" si="19" ref="AU8:AU29">AS8+AT8</f>
        <v>0</v>
      </c>
      <c r="AV8" s="35">
        <f aca="true" t="shared" si="20" ref="AV8:AV29">$F8*AT$6</f>
        <v>0</v>
      </c>
      <c r="AW8" s="35">
        <f>$G8*AT$6</f>
        <v>0</v>
      </c>
      <c r="AZ8" s="5">
        <f aca="true" t="shared" si="21" ref="AZ8:AZ29">$D8*AZ$6</f>
        <v>0</v>
      </c>
      <c r="BA8" s="5">
        <f aca="true" t="shared" si="22" ref="BA8:BA29">AY8+AZ8</f>
        <v>0</v>
      </c>
      <c r="BB8" s="35">
        <f aca="true" t="shared" si="23" ref="BB8:BB29">$F8*AZ$6</f>
        <v>0</v>
      </c>
      <c r="BC8" s="35">
        <f>$G8*AZ$6</f>
        <v>0</v>
      </c>
      <c r="BF8" s="5">
        <f aca="true" t="shared" si="24" ref="BF8:BF29">$D8*BF$6</f>
        <v>0</v>
      </c>
      <c r="BG8" s="5">
        <f aca="true" t="shared" si="25" ref="BG8:BG29">BE8+BF8</f>
        <v>0</v>
      </c>
      <c r="BH8" s="35">
        <f aca="true" t="shared" si="26" ref="BH8:BH29">$F8*BF$6</f>
        <v>0</v>
      </c>
      <c r="BI8" s="35">
        <f>$G8*BF$6</f>
        <v>0</v>
      </c>
      <c r="BL8" s="5">
        <f aca="true" t="shared" si="27" ref="BL8:BL29">$D8*BL$6</f>
        <v>0</v>
      </c>
      <c r="BM8" s="35">
        <f aca="true" t="shared" si="28" ref="BM8:BM29">BK8+BL8</f>
        <v>0</v>
      </c>
      <c r="BN8" s="35">
        <f aca="true" t="shared" si="29" ref="BN8:BN29">$F8*BL$6</f>
        <v>0</v>
      </c>
      <c r="BO8" s="35">
        <f>$G8*BL$6</f>
        <v>0</v>
      </c>
      <c r="BR8" s="5">
        <f aca="true" t="shared" si="30" ref="BR8:BR29">$D8*BR$6</f>
        <v>0</v>
      </c>
      <c r="BS8" s="5">
        <f aca="true" t="shared" si="31" ref="BS8:BS29">BQ8+BR8</f>
        <v>0</v>
      </c>
      <c r="BT8" s="35">
        <f aca="true" t="shared" si="32" ref="BT8:BT29">$F8*BR$6</f>
        <v>0</v>
      </c>
      <c r="BU8" s="35">
        <f>$G8*BR$6</f>
        <v>0</v>
      </c>
      <c r="BX8" s="5">
        <f aca="true" t="shared" si="33" ref="BX8:BX29">$D8*BX$6</f>
        <v>0</v>
      </c>
      <c r="BY8" s="5">
        <f aca="true" t="shared" si="34" ref="BY8:BY29">BW8+BX8</f>
        <v>0</v>
      </c>
      <c r="BZ8" s="35">
        <f aca="true" t="shared" si="35" ref="BZ8:BZ29">$F8*BX$6</f>
        <v>0</v>
      </c>
      <c r="CA8" s="35">
        <f>$G8*BX$6</f>
        <v>0</v>
      </c>
      <c r="CD8" s="5">
        <f aca="true" t="shared" si="36" ref="CD8:CD29">$D8*CD$6</f>
        <v>0</v>
      </c>
      <c r="CE8" s="5">
        <f aca="true" t="shared" si="37" ref="CE8:CE29">CC8+CD8</f>
        <v>0</v>
      </c>
      <c r="CF8" s="35">
        <f aca="true" t="shared" si="38" ref="CF8:CF29">$F8*CD$6</f>
        <v>0</v>
      </c>
      <c r="CG8" s="35">
        <f>$G8*CD$6</f>
        <v>0</v>
      </c>
      <c r="CJ8" s="5">
        <f aca="true" t="shared" si="39" ref="CJ8:CJ29">$D8*CJ$6</f>
        <v>0</v>
      </c>
      <c r="CK8" s="5">
        <f aca="true" t="shared" si="40" ref="CK8:CK29">CI8+CJ8</f>
        <v>0</v>
      </c>
      <c r="CL8" s="35">
        <f aca="true" t="shared" si="41" ref="CL8:CL29">$F8*CJ$6</f>
        <v>0</v>
      </c>
      <c r="CM8" s="35">
        <f>$G8*CJ$6</f>
        <v>0</v>
      </c>
      <c r="CP8" s="5">
        <f aca="true" t="shared" si="42" ref="CP8:CP29">$D8*CP$6</f>
        <v>0</v>
      </c>
      <c r="CQ8" s="5">
        <f aca="true" t="shared" si="43" ref="CQ8:CQ29">CO8+CP8</f>
        <v>0</v>
      </c>
      <c r="CR8" s="35">
        <f aca="true" t="shared" si="44" ref="CR8:CR29">$F8*CP$6</f>
        <v>0</v>
      </c>
      <c r="CS8" s="35">
        <f>$G8*CP$6</f>
        <v>0</v>
      </c>
      <c r="CV8" s="5">
        <f aca="true" t="shared" si="45" ref="CV8:CV29">$D8*CV$6</f>
        <v>0</v>
      </c>
      <c r="CW8" s="5">
        <f aca="true" t="shared" si="46" ref="CW8:CW29">CU8+CV8</f>
        <v>0</v>
      </c>
      <c r="CX8" s="35">
        <f aca="true" t="shared" si="47" ref="CX8:CX29">$F8*CV$6</f>
        <v>0</v>
      </c>
      <c r="CY8" s="35">
        <f>$G8*CV$6</f>
        <v>0</v>
      </c>
      <c r="DB8" s="5">
        <f aca="true" t="shared" si="48" ref="DB8:DB29">$D8*DB$6</f>
        <v>0</v>
      </c>
      <c r="DC8" s="5">
        <f aca="true" t="shared" si="49" ref="DC8:DC29">DA8+DB8</f>
        <v>0</v>
      </c>
      <c r="DD8" s="35">
        <f aca="true" t="shared" si="50" ref="DD8:DD29">$F8*DB$6</f>
        <v>0</v>
      </c>
      <c r="DE8" s="35">
        <f>$G8*DB$6</f>
        <v>0</v>
      </c>
      <c r="DH8" s="5">
        <f aca="true" t="shared" si="51" ref="DH8:DH29">$D8*DH$6</f>
        <v>0</v>
      </c>
      <c r="DI8" s="35">
        <f aca="true" t="shared" si="52" ref="DI8:DI29">DG8+DH8</f>
        <v>0</v>
      </c>
      <c r="DJ8" s="35">
        <f aca="true" t="shared" si="53" ref="DJ8:DJ29">$F8*DH$6</f>
        <v>0</v>
      </c>
      <c r="DK8" s="35">
        <f>$G8*DH$6</f>
        <v>0</v>
      </c>
      <c r="DN8" s="5">
        <f aca="true" t="shared" si="54" ref="DN8:DN29">$D8*DN$6</f>
        <v>0</v>
      </c>
      <c r="DO8" s="5">
        <f aca="true" t="shared" si="55" ref="DO8:DO29">DM8+DN8</f>
        <v>0</v>
      </c>
      <c r="DP8" s="35">
        <f aca="true" t="shared" si="56" ref="DP8:DP29">$F8*DN$6</f>
        <v>0</v>
      </c>
      <c r="DQ8" s="35">
        <f>$G8*DN$6</f>
        <v>0</v>
      </c>
      <c r="DT8" s="5">
        <f aca="true" t="shared" si="57" ref="DT8:DT29">$D8*DT$6</f>
        <v>0</v>
      </c>
      <c r="DU8" s="5">
        <f aca="true" t="shared" si="58" ref="DU8:DU29">DS8+DT8</f>
        <v>0</v>
      </c>
      <c r="DV8" s="35">
        <f aca="true" t="shared" si="59" ref="DV8:DV29">$F8*DT$6</f>
        <v>0</v>
      </c>
      <c r="DW8" s="35">
        <f>$G8*DT$6</f>
        <v>0</v>
      </c>
      <c r="DZ8" s="5">
        <f aca="true" t="shared" si="60" ref="DZ8:DZ29">$D8*DZ$6</f>
        <v>0</v>
      </c>
      <c r="EA8" s="5">
        <f aca="true" t="shared" si="61" ref="EA8:EA29">DY8+DZ8</f>
        <v>0</v>
      </c>
      <c r="EB8" s="35">
        <f aca="true" t="shared" si="62" ref="EB8:EB29">$F8*DZ$6</f>
        <v>0</v>
      </c>
      <c r="EC8" s="35">
        <f>$G8*DZ$6</f>
        <v>0</v>
      </c>
      <c r="EF8" s="5">
        <f aca="true" t="shared" si="63" ref="EF8:EF29">$D8*EF$6</f>
        <v>0</v>
      </c>
      <c r="EG8" s="35">
        <f aca="true" t="shared" si="64" ref="EG8:EG29">EE8+EF8</f>
        <v>0</v>
      </c>
      <c r="EH8" s="35">
        <f aca="true" t="shared" si="65" ref="EH8:EH29">$F8*EF$6</f>
        <v>0</v>
      </c>
      <c r="EI8" s="35">
        <f>$G8*EF$6</f>
        <v>0</v>
      </c>
      <c r="EL8" s="5">
        <f aca="true" t="shared" si="66" ref="EL8:EL29">$D8*EL$6</f>
        <v>0</v>
      </c>
      <c r="EM8" s="35">
        <f aca="true" t="shared" si="67" ref="EM8:EM29">EK8+EL8</f>
        <v>0</v>
      </c>
      <c r="EN8" s="35">
        <f aca="true" t="shared" si="68" ref="EN8:EN29">$F8*EL$6</f>
        <v>0</v>
      </c>
      <c r="EO8" s="35">
        <f>$G8*EL$6</f>
        <v>0</v>
      </c>
      <c r="ER8" s="5">
        <f aca="true" t="shared" si="69" ref="ER8:ER29">$D8*ER$6</f>
        <v>0</v>
      </c>
      <c r="ES8" s="35">
        <f aca="true" t="shared" si="70" ref="ES8:ES29">EQ8+ER8</f>
        <v>0</v>
      </c>
      <c r="ET8" s="35">
        <f aca="true" t="shared" si="71" ref="ET8:ET29">$F8*ER$6</f>
        <v>0</v>
      </c>
      <c r="EU8" s="35">
        <f>$G8*ER$6</f>
        <v>0</v>
      </c>
      <c r="EX8" s="5">
        <f aca="true" t="shared" si="72" ref="EX8:EX29">$D8*EX$6</f>
        <v>0</v>
      </c>
      <c r="EY8" s="5">
        <f aca="true" t="shared" si="73" ref="EY8:EY29">EW8+EX8</f>
        <v>0</v>
      </c>
      <c r="EZ8" s="35">
        <f aca="true" t="shared" si="74" ref="EZ8:EZ29">$F8*EX$6</f>
        <v>0</v>
      </c>
      <c r="FA8" s="35">
        <f>$G8*EX$6</f>
        <v>0</v>
      </c>
      <c r="FD8" s="5">
        <f aca="true" t="shared" si="75" ref="FD8:FD29">$D8*FD$6</f>
        <v>0</v>
      </c>
      <c r="FE8" s="5">
        <f aca="true" t="shared" si="76" ref="FE8:FE29">FC8+FD8</f>
        <v>0</v>
      </c>
      <c r="FF8" s="35">
        <f aca="true" t="shared" si="77" ref="FF8:FF29">$F8*FD$6</f>
        <v>0</v>
      </c>
      <c r="FG8" s="35">
        <f>$G8*FD$6</f>
        <v>0</v>
      </c>
      <c r="FJ8" s="5">
        <f aca="true" t="shared" si="78" ref="FJ8:FJ29">$D8*FJ$6</f>
        <v>0</v>
      </c>
      <c r="FK8" s="5">
        <f aca="true" t="shared" si="79" ref="FK8:FK29">FI8+FJ8</f>
        <v>0</v>
      </c>
      <c r="FL8" s="35">
        <f aca="true" t="shared" si="80" ref="FL8:FL29">$F8*FJ$6</f>
        <v>0</v>
      </c>
      <c r="FM8" s="35">
        <f>$G8*FJ$6</f>
        <v>0</v>
      </c>
      <c r="FP8" s="5">
        <f aca="true" t="shared" si="81" ref="FP8:FP29">$D8*FP$6</f>
        <v>0</v>
      </c>
      <c r="FQ8" s="5">
        <f aca="true" t="shared" si="82" ref="FQ8:FQ29">FO8+FP8</f>
        <v>0</v>
      </c>
      <c r="FR8" s="35">
        <f aca="true" t="shared" si="83" ref="FR8:FR29">$F8*FP$6</f>
        <v>0</v>
      </c>
      <c r="FS8" s="35">
        <f>$G8*FP$6</f>
        <v>0</v>
      </c>
    </row>
    <row r="9" spans="1:175" ht="12.75">
      <c r="A9" s="36">
        <v>43922</v>
      </c>
      <c r="C9" s="77">
        <f>'2019C'!C9</f>
        <v>0</v>
      </c>
      <c r="D9" s="77">
        <f>'2019C'!D9</f>
        <v>1205938</v>
      </c>
      <c r="E9" s="34">
        <f aca="true" t="shared" si="84" ref="E9:E29">C9+D9</f>
        <v>1205938</v>
      </c>
      <c r="F9" s="77">
        <f>'2019C'!F9</f>
        <v>522679</v>
      </c>
      <c r="G9" s="77">
        <f>'2019C'!G9</f>
        <v>5425</v>
      </c>
      <c r="I9" s="46">
        <f>O9+U9+AG9+AM9+AS9+AA9+AY9+BE9+BK9+BQ9+BW9+CC9+CI9+CO9+CU9+DA9+DG9+DM9+DS9+DY9+EE9+EK9+EQ9+EW9+FC9+FI9+FO9</f>
        <v>0</v>
      </c>
      <c r="J9" s="35">
        <f t="shared" si="0"/>
        <v>269202.74567800004</v>
      </c>
      <c r="K9" s="35">
        <f t="shared" si="1"/>
        <v>269202.74567800004</v>
      </c>
      <c r="L9" s="35">
        <f t="shared" si="2"/>
        <v>116678.15584899997</v>
      </c>
      <c r="M9" s="35">
        <f t="shared" si="2"/>
        <v>1211.0281750000001</v>
      </c>
      <c r="O9" s="5">
        <f aca="true" t="shared" si="85" ref="O9:O29">$C9*P$6</f>
        <v>0</v>
      </c>
      <c r="P9" s="5">
        <f t="shared" si="3"/>
        <v>56439.9484946</v>
      </c>
      <c r="Q9" s="5">
        <f t="shared" si="4"/>
        <v>56439.9484946</v>
      </c>
      <c r="R9" s="35">
        <f t="shared" si="5"/>
        <v>24462.265754300002</v>
      </c>
      <c r="S9" s="35">
        <f aca="true" t="shared" si="86" ref="S9:S29">$G9*P$6</f>
        <v>253.8992225</v>
      </c>
      <c r="U9" s="5">
        <f aca="true" t="shared" si="87" ref="U9:U29">$C9*V$6</f>
        <v>0</v>
      </c>
      <c r="V9" s="5">
        <f t="shared" si="6"/>
        <v>7855.1183506</v>
      </c>
      <c r="W9" s="35">
        <f t="shared" si="7"/>
        <v>7855.1183506</v>
      </c>
      <c r="X9" s="35">
        <f t="shared" si="8"/>
        <v>3404.5742023</v>
      </c>
      <c r="Y9" s="35">
        <f aca="true" t="shared" si="88" ref="Y9:Y29">$G9*V$6</f>
        <v>35.3368225</v>
      </c>
      <c r="Z9" s="35"/>
      <c r="AA9" s="5">
        <f aca="true" t="shared" si="89" ref="AA9:AA29">$C9*AB$6</f>
        <v>0</v>
      </c>
      <c r="AB9" s="5">
        <f t="shared" si="9"/>
        <v>1128.757968</v>
      </c>
      <c r="AC9" s="5">
        <f t="shared" si="10"/>
        <v>1128.757968</v>
      </c>
      <c r="AD9" s="35">
        <f t="shared" si="11"/>
        <v>489.22754399999997</v>
      </c>
      <c r="AE9" s="35">
        <f aca="true" t="shared" si="90" ref="AE9:AE29">$G9*AB$6</f>
        <v>5.0778</v>
      </c>
      <c r="AG9" s="5">
        <f aca="true" t="shared" si="91" ref="AG9:AG29">$C9*AH$6</f>
        <v>0</v>
      </c>
      <c r="AH9" s="5">
        <f t="shared" si="12"/>
        <v>6642.4270978</v>
      </c>
      <c r="AI9" s="5">
        <f t="shared" si="13"/>
        <v>6642.4270978</v>
      </c>
      <c r="AJ9" s="35">
        <f t="shared" si="14"/>
        <v>2878.9681999</v>
      </c>
      <c r="AK9" s="35">
        <f aca="true" t="shared" si="92" ref="AK9:AK29">$G9*AH$6</f>
        <v>29.881442500000002</v>
      </c>
      <c r="AM9" s="5">
        <f aca="true" t="shared" si="93" ref="AM9:AM29">$C9*AN$6</f>
        <v>0</v>
      </c>
      <c r="AN9" s="5">
        <f t="shared" si="15"/>
        <v>2951.2920673999997</v>
      </c>
      <c r="AO9" s="5">
        <f t="shared" si="16"/>
        <v>2951.2920673999997</v>
      </c>
      <c r="AP9" s="35">
        <f t="shared" si="17"/>
        <v>1279.1523167</v>
      </c>
      <c r="AQ9" s="35">
        <f aca="true" t="shared" si="94" ref="AQ9:AQ29">$G9*AN$6</f>
        <v>13.2766025</v>
      </c>
      <c r="AS9" s="5">
        <f aca="true" t="shared" si="95" ref="AS9:AS29">$C9*AT$6</f>
        <v>0</v>
      </c>
      <c r="AT9" s="5">
        <f t="shared" si="18"/>
        <v>1876.3189342</v>
      </c>
      <c r="AU9" s="5">
        <f t="shared" si="19"/>
        <v>1876.3189342</v>
      </c>
      <c r="AV9" s="35">
        <f t="shared" si="20"/>
        <v>813.2362561</v>
      </c>
      <c r="AW9" s="35">
        <f aca="true" t="shared" si="96" ref="AW9:AW29">$G9*AT$6</f>
        <v>8.4407575</v>
      </c>
      <c r="AY9" s="5">
        <f aca="true" t="shared" si="97" ref="AY9:AY29">$C9*AZ$6</f>
        <v>0</v>
      </c>
      <c r="AZ9" s="5">
        <f t="shared" si="21"/>
        <v>5063.130693</v>
      </c>
      <c r="BA9" s="5">
        <f t="shared" si="22"/>
        <v>5063.130693</v>
      </c>
      <c r="BB9" s="35">
        <f t="shared" si="23"/>
        <v>2194.4677815</v>
      </c>
      <c r="BC9" s="35">
        <f aca="true" t="shared" si="98" ref="BC9:BC29">$G9*AZ$6</f>
        <v>22.7768625</v>
      </c>
      <c r="BE9" s="5">
        <f aca="true" t="shared" si="99" ref="BE9:BE29">$C9*BF$6</f>
        <v>0</v>
      </c>
      <c r="BF9" s="5">
        <f t="shared" si="24"/>
        <v>0.9647504</v>
      </c>
      <c r="BG9" s="5">
        <f t="shared" si="25"/>
        <v>0.9647504</v>
      </c>
      <c r="BH9" s="35">
        <f t="shared" si="26"/>
        <v>0.4181432</v>
      </c>
      <c r="BI9" s="35">
        <f aca="true" t="shared" si="100" ref="BI9:BI29">$G9*BF$6</f>
        <v>0.00434</v>
      </c>
      <c r="BK9" s="5">
        <f aca="true" t="shared" si="101" ref="BK9:BK29">$C9*BL$6</f>
        <v>0</v>
      </c>
      <c r="BL9" s="5">
        <f t="shared" si="27"/>
        <v>3132.1827673999996</v>
      </c>
      <c r="BM9" s="35">
        <f t="shared" si="28"/>
        <v>3132.1827673999996</v>
      </c>
      <c r="BN9" s="35">
        <f t="shared" si="29"/>
        <v>1357.5541667</v>
      </c>
      <c r="BO9" s="35">
        <f aca="true" t="shared" si="102" ref="BO9:BO29">$G9*BL$6</f>
        <v>14.0903525</v>
      </c>
      <c r="BQ9" s="5">
        <f aca="true" t="shared" si="103" ref="BQ9:BQ29">$C9*BR$6</f>
        <v>0</v>
      </c>
      <c r="BR9" s="5">
        <f t="shared" si="30"/>
        <v>5765.468984200001</v>
      </c>
      <c r="BS9" s="5">
        <f t="shared" si="31"/>
        <v>5765.468984200001</v>
      </c>
      <c r="BT9" s="35">
        <f t="shared" si="32"/>
        <v>2498.8760311</v>
      </c>
      <c r="BU9" s="35">
        <f aca="true" t="shared" si="104" ref="BU9:BU29">$G9*BR$6</f>
        <v>25.9363825</v>
      </c>
      <c r="BW9" s="5">
        <f aca="true" t="shared" si="105" ref="BW9:BW29">$C9*BX$6</f>
        <v>0</v>
      </c>
      <c r="BX9" s="5">
        <f t="shared" si="33"/>
        <v>15007.1748472</v>
      </c>
      <c r="BY9" s="5">
        <f t="shared" si="34"/>
        <v>15007.1748472</v>
      </c>
      <c r="BZ9" s="35">
        <f t="shared" si="35"/>
        <v>6504.4265476</v>
      </c>
      <c r="CA9" s="35">
        <f aca="true" t="shared" si="106" ref="CA9:CA29">$G9*BX$6</f>
        <v>67.51087</v>
      </c>
      <c r="CC9" s="5">
        <f aca="true" t="shared" si="107" ref="CC9:CC29">$C9*CD$6</f>
        <v>0</v>
      </c>
      <c r="CD9" s="5">
        <f t="shared" si="36"/>
        <v>1526.5969142</v>
      </c>
      <c r="CE9" s="5">
        <f t="shared" si="37"/>
        <v>1526.5969142</v>
      </c>
      <c r="CF9" s="35">
        <f t="shared" si="38"/>
        <v>661.6593461</v>
      </c>
      <c r="CG9" s="35">
        <f aca="true" t="shared" si="108" ref="CG9:CG29">$G9*CD$6</f>
        <v>6.867507499999999</v>
      </c>
      <c r="CI9" s="5">
        <f aca="true" t="shared" si="109" ref="CI9:CI29">$C9*CJ$6</f>
        <v>0</v>
      </c>
      <c r="CJ9" s="5">
        <f t="shared" si="39"/>
        <v>190.7793916</v>
      </c>
      <c r="CK9" s="5">
        <f t="shared" si="40"/>
        <v>190.7793916</v>
      </c>
      <c r="CL9" s="35">
        <f t="shared" si="41"/>
        <v>82.6878178</v>
      </c>
      <c r="CM9" s="35">
        <f aca="true" t="shared" si="110" ref="CM9:CM29">$G9*CJ$6</f>
        <v>0.858235</v>
      </c>
      <c r="CO9" s="5">
        <f aca="true" t="shared" si="111" ref="CO9:CO29">$C9*CP$6</f>
        <v>0</v>
      </c>
      <c r="CP9" s="5">
        <f t="shared" si="42"/>
        <v>172.3285402</v>
      </c>
      <c r="CQ9" s="5">
        <f t="shared" si="43"/>
        <v>172.3285402</v>
      </c>
      <c r="CR9" s="35">
        <f t="shared" si="44"/>
        <v>74.6908291</v>
      </c>
      <c r="CS9" s="35">
        <f aca="true" t="shared" si="112" ref="CS9:CS29">$G9*CP$6</f>
        <v>0.7752325</v>
      </c>
      <c r="CU9" s="5">
        <f aca="true" t="shared" si="113" ref="CU9:CU29">$C9*CV$6</f>
        <v>0</v>
      </c>
      <c r="CV9" s="5">
        <f t="shared" si="45"/>
        <v>4284.8183078</v>
      </c>
      <c r="CW9" s="5">
        <f t="shared" si="46"/>
        <v>4284.8183078</v>
      </c>
      <c r="CX9" s="35">
        <f t="shared" si="47"/>
        <v>1857.1307549</v>
      </c>
      <c r="CY9" s="35">
        <f aca="true" t="shared" si="114" ref="CY9:CY29">$G9*CV$6</f>
        <v>19.2755675</v>
      </c>
      <c r="DA9" s="5">
        <f aca="true" t="shared" si="115" ref="DA9:DA29">$C9*DB$6</f>
        <v>0</v>
      </c>
      <c r="DB9" s="5">
        <f t="shared" si="48"/>
        <v>332.59770039999995</v>
      </c>
      <c r="DC9" s="5">
        <f t="shared" si="49"/>
        <v>332.59770039999995</v>
      </c>
      <c r="DD9" s="35">
        <f t="shared" si="50"/>
        <v>144.15486819999998</v>
      </c>
      <c r="DE9" s="35">
        <f aca="true" t="shared" si="116" ref="DE9:DE29">$G9*DB$6</f>
        <v>1.4962149999999999</v>
      </c>
      <c r="DG9" s="5">
        <f aca="true" t="shared" si="117" ref="DG9:DG29">$C9*DH$6</f>
        <v>0</v>
      </c>
      <c r="DH9" s="5">
        <f t="shared" si="51"/>
        <v>2630.7537469999997</v>
      </c>
      <c r="DI9" s="35">
        <f t="shared" si="52"/>
        <v>2630.7537469999997</v>
      </c>
      <c r="DJ9" s="35">
        <f t="shared" si="53"/>
        <v>1140.2242385</v>
      </c>
      <c r="DK9" s="35">
        <f aca="true" t="shared" si="118" ref="DK9:DK29">$G9*DH$6</f>
        <v>11.8346375</v>
      </c>
      <c r="DM9" s="5">
        <f aca="true" t="shared" si="119" ref="DM9:DM29">$C9*DN$6</f>
        <v>0</v>
      </c>
      <c r="DN9" s="5">
        <f t="shared" si="54"/>
        <v>13583.8062258</v>
      </c>
      <c r="DO9" s="5">
        <f t="shared" si="55"/>
        <v>13583.8062258</v>
      </c>
      <c r="DP9" s="35">
        <f t="shared" si="56"/>
        <v>5887.5085239</v>
      </c>
      <c r="DQ9" s="35">
        <f aca="true" t="shared" si="120" ref="DQ9:DQ29">$G9*DN$6</f>
        <v>61.10774250000001</v>
      </c>
      <c r="DS9" s="5">
        <f aca="true" t="shared" si="121" ref="DS9:DS29">$C9*DT$6</f>
        <v>0</v>
      </c>
      <c r="DT9" s="5">
        <f t="shared" si="57"/>
        <v>1077.7467906</v>
      </c>
      <c r="DU9" s="5">
        <f t="shared" si="58"/>
        <v>1077.7467906</v>
      </c>
      <c r="DV9" s="35">
        <f t="shared" si="59"/>
        <v>467.1182223</v>
      </c>
      <c r="DW9" s="35">
        <f aca="true" t="shared" si="122" ref="DW9:DW29">$G9*DT$6</f>
        <v>4.8483225</v>
      </c>
      <c r="DY9" s="5">
        <f aca="true" t="shared" si="123" ref="DY9:DY29">$C9*DZ$6</f>
        <v>0</v>
      </c>
      <c r="DZ9" s="5">
        <f t="shared" si="60"/>
        <v>2926.0879632</v>
      </c>
      <c r="EA9" s="5">
        <f t="shared" si="61"/>
        <v>2926.0879632</v>
      </c>
      <c r="EB9" s="35">
        <f t="shared" si="62"/>
        <v>1268.2283256</v>
      </c>
      <c r="EC9" s="35">
        <f aca="true" t="shared" si="124" ref="EC9:EC29">$G9*DZ$6</f>
        <v>13.16322</v>
      </c>
      <c r="EE9" s="5">
        <f aca="true" t="shared" si="125" ref="EE9:EE29">$C9*EF$6</f>
        <v>0</v>
      </c>
      <c r="EF9" s="5">
        <f t="shared" si="63"/>
        <v>3281.1161104000003</v>
      </c>
      <c r="EG9" s="35">
        <f t="shared" si="64"/>
        <v>3281.1161104000003</v>
      </c>
      <c r="EH9" s="35">
        <f t="shared" si="65"/>
        <v>1422.1050232</v>
      </c>
      <c r="EI9" s="35">
        <f aca="true" t="shared" si="126" ref="EI9:EI29">$G9*EF$6</f>
        <v>14.760340000000001</v>
      </c>
      <c r="EK9" s="5">
        <f aca="true" t="shared" si="127" ref="EK9:EK29">$C9*EL$6</f>
        <v>0</v>
      </c>
      <c r="EL9" s="5">
        <f t="shared" si="66"/>
        <v>8267.307959</v>
      </c>
      <c r="EM9" s="35">
        <f t="shared" si="67"/>
        <v>8267.307959</v>
      </c>
      <c r="EN9" s="35">
        <f t="shared" si="68"/>
        <v>3583.2258844999997</v>
      </c>
      <c r="EO9" s="35">
        <f aca="true" t="shared" si="128" ref="EO9:EO29">$G9*EL$6</f>
        <v>37.191087499999995</v>
      </c>
      <c r="EQ9" s="5">
        <f aca="true" t="shared" si="129" ref="EQ9:EQ29">$C9*ER$6</f>
        <v>0</v>
      </c>
      <c r="ER9" s="5">
        <f t="shared" si="69"/>
        <v>12701.7831726</v>
      </c>
      <c r="ES9" s="35">
        <f t="shared" si="70"/>
        <v>12701.7831726</v>
      </c>
      <c r="ET9" s="35">
        <f t="shared" si="71"/>
        <v>5505.2211033</v>
      </c>
      <c r="EU9" s="35">
        <f aca="true" t="shared" si="130" ref="EU9:EU29">$G9*ER$6</f>
        <v>57.139897500000004</v>
      </c>
      <c r="EW9" s="5">
        <f aca="true" t="shared" si="131" ref="EW9:EW29">$C9*EX$6</f>
        <v>0</v>
      </c>
      <c r="EX9" s="5">
        <f t="shared" si="72"/>
        <v>60212.3637462</v>
      </c>
      <c r="EY9" s="5">
        <f t="shared" si="73"/>
        <v>60212.3637462</v>
      </c>
      <c r="EZ9" s="35">
        <f t="shared" si="74"/>
        <v>26097.3102021</v>
      </c>
      <c r="FA9" s="35">
        <f aca="true" t="shared" si="132" ref="FA9:FA29">$G9*EX$6</f>
        <v>270.8697075</v>
      </c>
      <c r="FC9" s="5">
        <f aca="true" t="shared" si="133" ref="FC9:FC29">$C9*FD$6</f>
        <v>0</v>
      </c>
      <c r="FD9" s="5">
        <f t="shared" si="75"/>
        <v>50932.3090548</v>
      </c>
      <c r="FE9" s="5">
        <f t="shared" si="76"/>
        <v>50932.3090548</v>
      </c>
      <c r="FF9" s="35">
        <f t="shared" si="77"/>
        <v>22075.138493399998</v>
      </c>
      <c r="FG9" s="35">
        <f aca="true" t="shared" si="134" ref="FG9:FG29">$G9*FD$6</f>
        <v>229.122705</v>
      </c>
      <c r="FI9" s="5">
        <f aca="true" t="shared" si="135" ref="FI9:FI29">$C9*FJ$6</f>
        <v>0</v>
      </c>
      <c r="FJ9" s="5">
        <f t="shared" si="78"/>
        <v>319.57356999999996</v>
      </c>
      <c r="FK9" s="5">
        <f t="shared" si="79"/>
        <v>319.57356999999996</v>
      </c>
      <c r="FL9" s="35">
        <f t="shared" si="80"/>
        <v>138.50993499999998</v>
      </c>
      <c r="FM9" s="35">
        <f aca="true" t="shared" si="136" ref="FM9:FM29">$G9*FJ$6</f>
        <v>1.437625</v>
      </c>
      <c r="FO9" s="5">
        <f aca="true" t="shared" si="137" ref="FO9:FO29">$C9*FP$6</f>
        <v>0</v>
      </c>
      <c r="FP9" s="5">
        <f t="shared" si="81"/>
        <v>899.9915294</v>
      </c>
      <c r="FQ9" s="5">
        <f t="shared" si="82"/>
        <v>899.9915294</v>
      </c>
      <c r="FR9" s="35">
        <f t="shared" si="83"/>
        <v>390.0753377</v>
      </c>
      <c r="FS9" s="35">
        <f aca="true" t="shared" si="138" ref="FS9:FS29">$G9*FP$6</f>
        <v>4.0486775</v>
      </c>
    </row>
    <row r="10" spans="1:175" ht="12.75">
      <c r="A10" s="36">
        <v>44105</v>
      </c>
      <c r="C10" s="77">
        <f>'2019C'!C10</f>
        <v>0</v>
      </c>
      <c r="D10" s="77">
        <f>'2019C'!D10</f>
        <v>1212675</v>
      </c>
      <c r="E10" s="34">
        <f t="shared" si="84"/>
        <v>1212675</v>
      </c>
      <c r="F10" s="77">
        <f>'2019C'!F10</f>
        <v>522689</v>
      </c>
      <c r="G10" s="77">
        <f>'2019C'!G10</f>
        <v>5431</v>
      </c>
      <c r="I10" s="46"/>
      <c r="J10" s="35">
        <f t="shared" si="0"/>
        <v>270706.652925</v>
      </c>
      <c r="K10" s="35">
        <f t="shared" si="1"/>
        <v>270706.652925</v>
      </c>
      <c r="L10" s="35">
        <f t="shared" si="2"/>
        <v>116680.38815900001</v>
      </c>
      <c r="M10" s="35">
        <f t="shared" si="2"/>
        <v>1212.3675610000003</v>
      </c>
      <c r="P10" s="5">
        <f t="shared" si="3"/>
        <v>56755.251547500004</v>
      </c>
      <c r="Q10" s="5">
        <f t="shared" si="4"/>
        <v>56755.251547500004</v>
      </c>
      <c r="R10" s="35">
        <f t="shared" si="5"/>
        <v>24462.7337713</v>
      </c>
      <c r="S10" s="35">
        <f t="shared" si="86"/>
        <v>254.1800327</v>
      </c>
      <c r="V10" s="5">
        <f t="shared" si="6"/>
        <v>7899.0011475</v>
      </c>
      <c r="W10" s="35">
        <f t="shared" si="7"/>
        <v>7899.0011475</v>
      </c>
      <c r="X10" s="35">
        <f t="shared" si="8"/>
        <v>3404.6393393</v>
      </c>
      <c r="Y10" s="35">
        <f t="shared" si="88"/>
        <v>35.3759047</v>
      </c>
      <c r="Z10" s="35"/>
      <c r="AB10" s="5">
        <f t="shared" si="9"/>
        <v>1135.0638</v>
      </c>
      <c r="AC10" s="5">
        <f t="shared" si="10"/>
        <v>1135.0638</v>
      </c>
      <c r="AD10" s="35">
        <f t="shared" si="11"/>
        <v>489.236904</v>
      </c>
      <c r="AE10" s="35">
        <f t="shared" si="90"/>
        <v>5.083416</v>
      </c>
      <c r="AH10" s="5">
        <f t="shared" si="12"/>
        <v>6679.5351675</v>
      </c>
      <c r="AI10" s="5">
        <f t="shared" si="13"/>
        <v>6679.5351675</v>
      </c>
      <c r="AJ10" s="35">
        <f t="shared" si="14"/>
        <v>2879.0232809</v>
      </c>
      <c r="AK10" s="35">
        <f t="shared" si="92"/>
        <v>29.9144911</v>
      </c>
      <c r="AN10" s="5">
        <f t="shared" si="15"/>
        <v>2967.7795275</v>
      </c>
      <c r="AO10" s="5">
        <f t="shared" si="16"/>
        <v>2967.7795275</v>
      </c>
      <c r="AP10" s="35">
        <f t="shared" si="17"/>
        <v>1279.1767897</v>
      </c>
      <c r="AQ10" s="35">
        <f t="shared" si="94"/>
        <v>13.2912863</v>
      </c>
      <c r="AT10" s="5">
        <f t="shared" si="18"/>
        <v>1886.8010325</v>
      </c>
      <c r="AU10" s="5">
        <f t="shared" si="19"/>
        <v>1886.8010325</v>
      </c>
      <c r="AV10" s="35">
        <f t="shared" si="20"/>
        <v>813.2518151</v>
      </c>
      <c r="AW10" s="35">
        <f t="shared" si="96"/>
        <v>8.4500929</v>
      </c>
      <c r="AZ10" s="5">
        <f t="shared" si="21"/>
        <v>5091.4159875</v>
      </c>
      <c r="BA10" s="5">
        <f t="shared" si="22"/>
        <v>5091.4159875</v>
      </c>
      <c r="BB10" s="35">
        <f t="shared" si="23"/>
        <v>2194.5097665</v>
      </c>
      <c r="BC10" s="35">
        <f t="shared" si="98"/>
        <v>22.8020535</v>
      </c>
      <c r="BF10" s="5">
        <f t="shared" si="24"/>
        <v>0.97014</v>
      </c>
      <c r="BG10" s="5">
        <f t="shared" si="25"/>
        <v>0.97014</v>
      </c>
      <c r="BH10" s="35">
        <f t="shared" si="26"/>
        <v>0.4181512</v>
      </c>
      <c r="BI10" s="35">
        <f t="shared" si="100"/>
        <v>0.0043448</v>
      </c>
      <c r="BL10" s="5">
        <f t="shared" si="27"/>
        <v>3149.6807774999997</v>
      </c>
      <c r="BM10" s="35">
        <f t="shared" si="28"/>
        <v>3149.6807774999997</v>
      </c>
      <c r="BN10" s="35">
        <f t="shared" si="29"/>
        <v>1357.5801397</v>
      </c>
      <c r="BO10" s="35">
        <f t="shared" si="102"/>
        <v>14.1059363</v>
      </c>
      <c r="BR10" s="5">
        <f t="shared" si="30"/>
        <v>5797.6779075</v>
      </c>
      <c r="BS10" s="5">
        <f t="shared" si="31"/>
        <v>5797.6779075</v>
      </c>
      <c r="BT10" s="35">
        <f t="shared" si="32"/>
        <v>2498.9238401000002</v>
      </c>
      <c r="BU10" s="35">
        <f t="shared" si="104"/>
        <v>25.9650679</v>
      </c>
      <c r="BX10" s="5">
        <f t="shared" si="33"/>
        <v>15091.01277</v>
      </c>
      <c r="BY10" s="5">
        <f t="shared" si="34"/>
        <v>15091.01277</v>
      </c>
      <c r="BZ10" s="35">
        <f t="shared" si="35"/>
        <v>6504.5509916</v>
      </c>
      <c r="CA10" s="35">
        <f t="shared" si="106"/>
        <v>67.5855364</v>
      </c>
      <c r="CD10" s="5">
        <f t="shared" si="36"/>
        <v>1535.1252825</v>
      </c>
      <c r="CE10" s="5">
        <f t="shared" si="37"/>
        <v>1535.1252825</v>
      </c>
      <c r="CF10" s="35">
        <f t="shared" si="38"/>
        <v>661.6720051</v>
      </c>
      <c r="CG10" s="35">
        <f t="shared" si="108"/>
        <v>6.8751029</v>
      </c>
      <c r="CJ10" s="5">
        <f t="shared" si="39"/>
        <v>191.845185</v>
      </c>
      <c r="CK10" s="5">
        <f t="shared" si="40"/>
        <v>191.845185</v>
      </c>
      <c r="CL10" s="35">
        <f t="shared" si="41"/>
        <v>82.6893998</v>
      </c>
      <c r="CM10" s="35">
        <f t="shared" si="110"/>
        <v>0.8591842</v>
      </c>
      <c r="CP10" s="5">
        <f t="shared" si="42"/>
        <v>173.2912575</v>
      </c>
      <c r="CQ10" s="5">
        <f t="shared" si="43"/>
        <v>173.2912575</v>
      </c>
      <c r="CR10" s="35">
        <f t="shared" si="44"/>
        <v>74.6922581</v>
      </c>
      <c r="CS10" s="35">
        <f t="shared" si="112"/>
        <v>0.7760899</v>
      </c>
      <c r="CV10" s="5">
        <f t="shared" si="45"/>
        <v>4308.7555425</v>
      </c>
      <c r="CW10" s="5">
        <f t="shared" si="46"/>
        <v>4308.7555425</v>
      </c>
      <c r="CX10" s="35">
        <f t="shared" si="47"/>
        <v>1857.1662859</v>
      </c>
      <c r="CY10" s="35">
        <f t="shared" si="114"/>
        <v>19.296886100000002</v>
      </c>
      <c r="DB10" s="5">
        <f t="shared" si="48"/>
        <v>334.455765</v>
      </c>
      <c r="DC10" s="5">
        <f t="shared" si="49"/>
        <v>334.455765</v>
      </c>
      <c r="DD10" s="35">
        <f t="shared" si="50"/>
        <v>144.15762619999998</v>
      </c>
      <c r="DE10" s="35">
        <f t="shared" si="116"/>
        <v>1.4978698</v>
      </c>
      <c r="DH10" s="5">
        <f t="shared" si="51"/>
        <v>2645.4505124999996</v>
      </c>
      <c r="DI10" s="35">
        <f t="shared" si="52"/>
        <v>2645.4505124999996</v>
      </c>
      <c r="DJ10" s="35">
        <f t="shared" si="53"/>
        <v>1140.2460535</v>
      </c>
      <c r="DK10" s="35">
        <f t="shared" si="118"/>
        <v>11.847726499999998</v>
      </c>
      <c r="DN10" s="5">
        <f t="shared" si="54"/>
        <v>13659.692467500001</v>
      </c>
      <c r="DO10" s="5">
        <f t="shared" si="55"/>
        <v>13659.692467500001</v>
      </c>
      <c r="DP10" s="35">
        <f t="shared" si="56"/>
        <v>5887.621164900001</v>
      </c>
      <c r="DQ10" s="35">
        <f t="shared" si="120"/>
        <v>61.175327100000004</v>
      </c>
      <c r="DT10" s="5">
        <f t="shared" si="57"/>
        <v>1083.7676475</v>
      </c>
      <c r="DU10" s="5">
        <f t="shared" si="58"/>
        <v>1083.7676475</v>
      </c>
      <c r="DV10" s="35">
        <f t="shared" si="59"/>
        <v>467.1271593</v>
      </c>
      <c r="DW10" s="35">
        <f t="shared" si="122"/>
        <v>4.8536847</v>
      </c>
      <c r="DZ10" s="5">
        <f t="shared" si="60"/>
        <v>2942.43462</v>
      </c>
      <c r="EA10" s="5">
        <f t="shared" si="61"/>
        <v>2942.43462</v>
      </c>
      <c r="EB10" s="35">
        <f t="shared" si="62"/>
        <v>1268.2525896</v>
      </c>
      <c r="EC10" s="35">
        <f t="shared" si="124"/>
        <v>13.1777784</v>
      </c>
      <c r="EF10" s="5">
        <f t="shared" si="63"/>
        <v>3299.4461400000005</v>
      </c>
      <c r="EG10" s="35">
        <f t="shared" si="64"/>
        <v>3299.4461400000005</v>
      </c>
      <c r="EH10" s="35">
        <f t="shared" si="65"/>
        <v>1422.1322312000002</v>
      </c>
      <c r="EI10" s="35">
        <f t="shared" si="126"/>
        <v>14.7766648</v>
      </c>
      <c r="EL10" s="5">
        <f t="shared" si="66"/>
        <v>8313.493462499999</v>
      </c>
      <c r="EM10" s="35">
        <f t="shared" si="67"/>
        <v>8313.493462499999</v>
      </c>
      <c r="EN10" s="35">
        <f t="shared" si="68"/>
        <v>3583.2944395</v>
      </c>
      <c r="EO10" s="35">
        <f t="shared" si="128"/>
        <v>37.2322205</v>
      </c>
      <c r="ER10" s="5">
        <f t="shared" si="69"/>
        <v>12772.741972500002</v>
      </c>
      <c r="ES10" s="35">
        <f t="shared" si="70"/>
        <v>12772.741972500002</v>
      </c>
      <c r="ET10" s="35">
        <f t="shared" si="71"/>
        <v>5505.3264303000005</v>
      </c>
      <c r="EU10" s="35">
        <f t="shared" si="130"/>
        <v>57.203093700000004</v>
      </c>
      <c r="EX10" s="5">
        <f t="shared" si="72"/>
        <v>60548.7414825</v>
      </c>
      <c r="EY10" s="5">
        <f t="shared" si="73"/>
        <v>60548.7414825</v>
      </c>
      <c r="EZ10" s="35">
        <f t="shared" si="74"/>
        <v>26097.8095011</v>
      </c>
      <c r="FA10" s="35">
        <f t="shared" si="132"/>
        <v>271.1692869</v>
      </c>
      <c r="FD10" s="5">
        <f t="shared" si="75"/>
        <v>51216.843555</v>
      </c>
      <c r="FE10" s="5">
        <f t="shared" si="76"/>
        <v>51216.843555</v>
      </c>
      <c r="FF10" s="35">
        <f t="shared" si="77"/>
        <v>22075.560839399997</v>
      </c>
      <c r="FG10" s="35">
        <f t="shared" si="134"/>
        <v>229.37611259999997</v>
      </c>
      <c r="FJ10" s="5">
        <f t="shared" si="78"/>
        <v>321.358875</v>
      </c>
      <c r="FK10" s="5">
        <f t="shared" si="79"/>
        <v>321.358875</v>
      </c>
      <c r="FL10" s="35">
        <f t="shared" si="80"/>
        <v>138.512585</v>
      </c>
      <c r="FM10" s="35">
        <f t="shared" si="136"/>
        <v>1.439215</v>
      </c>
      <c r="FP10" s="5">
        <f t="shared" si="81"/>
        <v>905.0193525</v>
      </c>
      <c r="FQ10" s="5">
        <f t="shared" si="82"/>
        <v>905.0193525</v>
      </c>
      <c r="FR10" s="35">
        <f t="shared" si="83"/>
        <v>390.0828007</v>
      </c>
      <c r="FS10" s="35">
        <f t="shared" si="138"/>
        <v>4.0531553</v>
      </c>
    </row>
    <row r="11" spans="1:175" ht="12.75">
      <c r="A11" s="36">
        <v>44287</v>
      </c>
      <c r="C11" s="77">
        <f>'2019C'!C11</f>
        <v>0</v>
      </c>
      <c r="D11" s="77">
        <f>'2019C'!D11</f>
        <v>1212675</v>
      </c>
      <c r="E11" s="34">
        <f t="shared" si="84"/>
        <v>1212675</v>
      </c>
      <c r="F11" s="77">
        <f>'2019C'!F11</f>
        <v>522689</v>
      </c>
      <c r="G11" s="77">
        <f>'2019C'!G11</f>
        <v>5431</v>
      </c>
      <c r="I11" s="46">
        <f>O11+U11+AG11+AM11+AS11+AA11+AY11+BE11+BK11+BQ11+BW11+CC11+CI11+CO11+CU11+DA11+DG11+DM11+DS11+DY11+EE11+EK11+EQ11+EW11+FC11+FI11+FO11</f>
        <v>0</v>
      </c>
      <c r="J11" s="35">
        <f t="shared" si="0"/>
        <v>270706.652925</v>
      </c>
      <c r="K11" s="35">
        <f t="shared" si="1"/>
        <v>270706.652925</v>
      </c>
      <c r="L11" s="35">
        <f t="shared" si="2"/>
        <v>116680.38815900001</v>
      </c>
      <c r="M11" s="35">
        <f t="shared" si="2"/>
        <v>1212.3675610000003</v>
      </c>
      <c r="O11" s="5">
        <f t="shared" si="85"/>
        <v>0</v>
      </c>
      <c r="P11" s="5">
        <f t="shared" si="3"/>
        <v>56755.251547500004</v>
      </c>
      <c r="Q11" s="5">
        <f t="shared" si="4"/>
        <v>56755.251547500004</v>
      </c>
      <c r="R11" s="35">
        <f t="shared" si="5"/>
        <v>24462.7337713</v>
      </c>
      <c r="S11" s="35">
        <f t="shared" si="86"/>
        <v>254.1800327</v>
      </c>
      <c r="U11" s="5">
        <f t="shared" si="87"/>
        <v>0</v>
      </c>
      <c r="V11" s="5">
        <f t="shared" si="6"/>
        <v>7899.0011475</v>
      </c>
      <c r="W11" s="35">
        <f t="shared" si="7"/>
        <v>7899.0011475</v>
      </c>
      <c r="X11" s="35">
        <f t="shared" si="8"/>
        <v>3404.6393393</v>
      </c>
      <c r="Y11" s="35">
        <f t="shared" si="88"/>
        <v>35.3759047</v>
      </c>
      <c r="Z11" s="35"/>
      <c r="AA11" s="5">
        <f t="shared" si="89"/>
        <v>0</v>
      </c>
      <c r="AB11" s="5">
        <f t="shared" si="9"/>
        <v>1135.0638</v>
      </c>
      <c r="AC11" s="5">
        <f t="shared" si="10"/>
        <v>1135.0638</v>
      </c>
      <c r="AD11" s="35">
        <f t="shared" si="11"/>
        <v>489.236904</v>
      </c>
      <c r="AE11" s="35">
        <f t="shared" si="90"/>
        <v>5.083416</v>
      </c>
      <c r="AG11" s="5">
        <f t="shared" si="91"/>
        <v>0</v>
      </c>
      <c r="AH11" s="5">
        <f t="shared" si="12"/>
        <v>6679.5351675</v>
      </c>
      <c r="AI11" s="5">
        <f t="shared" si="13"/>
        <v>6679.5351675</v>
      </c>
      <c r="AJ11" s="35">
        <f t="shared" si="14"/>
        <v>2879.0232809</v>
      </c>
      <c r="AK11" s="35">
        <f t="shared" si="92"/>
        <v>29.9144911</v>
      </c>
      <c r="AM11" s="5">
        <f t="shared" si="93"/>
        <v>0</v>
      </c>
      <c r="AN11" s="5">
        <f t="shared" si="15"/>
        <v>2967.7795275</v>
      </c>
      <c r="AO11" s="5">
        <f t="shared" si="16"/>
        <v>2967.7795275</v>
      </c>
      <c r="AP11" s="35">
        <f t="shared" si="17"/>
        <v>1279.1767897</v>
      </c>
      <c r="AQ11" s="35">
        <f t="shared" si="94"/>
        <v>13.2912863</v>
      </c>
      <c r="AS11" s="5">
        <f t="shared" si="95"/>
        <v>0</v>
      </c>
      <c r="AT11" s="5">
        <f t="shared" si="18"/>
        <v>1886.8010325</v>
      </c>
      <c r="AU11" s="5">
        <f t="shared" si="19"/>
        <v>1886.8010325</v>
      </c>
      <c r="AV11" s="35">
        <f t="shared" si="20"/>
        <v>813.2518151</v>
      </c>
      <c r="AW11" s="35">
        <f t="shared" si="96"/>
        <v>8.4500929</v>
      </c>
      <c r="AY11" s="5">
        <f t="shared" si="97"/>
        <v>0</v>
      </c>
      <c r="AZ11" s="5">
        <f t="shared" si="21"/>
        <v>5091.4159875</v>
      </c>
      <c r="BA11" s="5">
        <f t="shared" si="22"/>
        <v>5091.4159875</v>
      </c>
      <c r="BB11" s="35">
        <f t="shared" si="23"/>
        <v>2194.5097665</v>
      </c>
      <c r="BC11" s="35">
        <f t="shared" si="98"/>
        <v>22.8020535</v>
      </c>
      <c r="BE11" s="5">
        <f t="shared" si="99"/>
        <v>0</v>
      </c>
      <c r="BF11" s="5">
        <f t="shared" si="24"/>
        <v>0.97014</v>
      </c>
      <c r="BG11" s="5">
        <f t="shared" si="25"/>
        <v>0.97014</v>
      </c>
      <c r="BH11" s="35">
        <f t="shared" si="26"/>
        <v>0.4181512</v>
      </c>
      <c r="BI11" s="35">
        <f t="shared" si="100"/>
        <v>0.0043448</v>
      </c>
      <c r="BK11" s="5">
        <f t="shared" si="101"/>
        <v>0</v>
      </c>
      <c r="BL11" s="5">
        <f t="shared" si="27"/>
        <v>3149.6807774999997</v>
      </c>
      <c r="BM11" s="35">
        <f t="shared" si="28"/>
        <v>3149.6807774999997</v>
      </c>
      <c r="BN11" s="35">
        <f t="shared" si="29"/>
        <v>1357.5801397</v>
      </c>
      <c r="BO11" s="35">
        <f t="shared" si="102"/>
        <v>14.1059363</v>
      </c>
      <c r="BQ11" s="5">
        <f t="shared" si="103"/>
        <v>0</v>
      </c>
      <c r="BR11" s="5">
        <f t="shared" si="30"/>
        <v>5797.6779075</v>
      </c>
      <c r="BS11" s="5">
        <f t="shared" si="31"/>
        <v>5797.6779075</v>
      </c>
      <c r="BT11" s="35">
        <f t="shared" si="32"/>
        <v>2498.9238401000002</v>
      </c>
      <c r="BU11" s="35">
        <f t="shared" si="104"/>
        <v>25.9650679</v>
      </c>
      <c r="BW11" s="5">
        <f t="shared" si="105"/>
        <v>0</v>
      </c>
      <c r="BX11" s="5">
        <f t="shared" si="33"/>
        <v>15091.01277</v>
      </c>
      <c r="BY11" s="5">
        <f t="shared" si="34"/>
        <v>15091.01277</v>
      </c>
      <c r="BZ11" s="35">
        <f t="shared" si="35"/>
        <v>6504.5509916</v>
      </c>
      <c r="CA11" s="35">
        <f t="shared" si="106"/>
        <v>67.5855364</v>
      </c>
      <c r="CC11" s="5">
        <f t="shared" si="107"/>
        <v>0</v>
      </c>
      <c r="CD11" s="5">
        <f t="shared" si="36"/>
        <v>1535.1252825</v>
      </c>
      <c r="CE11" s="5">
        <f t="shared" si="37"/>
        <v>1535.1252825</v>
      </c>
      <c r="CF11" s="35">
        <f t="shared" si="38"/>
        <v>661.6720051</v>
      </c>
      <c r="CG11" s="35">
        <f t="shared" si="108"/>
        <v>6.8751029</v>
      </c>
      <c r="CI11" s="5">
        <f t="shared" si="109"/>
        <v>0</v>
      </c>
      <c r="CJ11" s="5">
        <f t="shared" si="39"/>
        <v>191.845185</v>
      </c>
      <c r="CK11" s="5">
        <f t="shared" si="40"/>
        <v>191.845185</v>
      </c>
      <c r="CL11" s="35">
        <f t="shared" si="41"/>
        <v>82.6893998</v>
      </c>
      <c r="CM11" s="35">
        <f t="shared" si="110"/>
        <v>0.8591842</v>
      </c>
      <c r="CO11" s="5">
        <f t="shared" si="111"/>
        <v>0</v>
      </c>
      <c r="CP11" s="5">
        <f t="shared" si="42"/>
        <v>173.2912575</v>
      </c>
      <c r="CQ11" s="5">
        <f t="shared" si="43"/>
        <v>173.2912575</v>
      </c>
      <c r="CR11" s="35">
        <f t="shared" si="44"/>
        <v>74.6922581</v>
      </c>
      <c r="CS11" s="35">
        <f t="shared" si="112"/>
        <v>0.7760899</v>
      </c>
      <c r="CU11" s="5">
        <f t="shared" si="113"/>
        <v>0</v>
      </c>
      <c r="CV11" s="5">
        <f t="shared" si="45"/>
        <v>4308.7555425</v>
      </c>
      <c r="CW11" s="5">
        <f t="shared" si="46"/>
        <v>4308.7555425</v>
      </c>
      <c r="CX11" s="35">
        <f t="shared" si="47"/>
        <v>1857.1662859</v>
      </c>
      <c r="CY11" s="35">
        <f t="shared" si="114"/>
        <v>19.296886100000002</v>
      </c>
      <c r="DA11" s="5">
        <f t="shared" si="115"/>
        <v>0</v>
      </c>
      <c r="DB11" s="5">
        <f t="shared" si="48"/>
        <v>334.455765</v>
      </c>
      <c r="DC11" s="5">
        <f t="shared" si="49"/>
        <v>334.455765</v>
      </c>
      <c r="DD11" s="35">
        <f t="shared" si="50"/>
        <v>144.15762619999998</v>
      </c>
      <c r="DE11" s="35">
        <f t="shared" si="116"/>
        <v>1.4978698</v>
      </c>
      <c r="DG11" s="5">
        <f t="shared" si="117"/>
        <v>0</v>
      </c>
      <c r="DH11" s="5">
        <f t="shared" si="51"/>
        <v>2645.4505124999996</v>
      </c>
      <c r="DI11" s="35">
        <f t="shared" si="52"/>
        <v>2645.4505124999996</v>
      </c>
      <c r="DJ11" s="35">
        <f t="shared" si="53"/>
        <v>1140.2460535</v>
      </c>
      <c r="DK11" s="35">
        <f t="shared" si="118"/>
        <v>11.847726499999998</v>
      </c>
      <c r="DM11" s="5">
        <f t="shared" si="119"/>
        <v>0</v>
      </c>
      <c r="DN11" s="5">
        <f t="shared" si="54"/>
        <v>13659.692467500001</v>
      </c>
      <c r="DO11" s="5">
        <f t="shared" si="55"/>
        <v>13659.692467500001</v>
      </c>
      <c r="DP11" s="35">
        <f t="shared" si="56"/>
        <v>5887.621164900001</v>
      </c>
      <c r="DQ11" s="35">
        <f t="shared" si="120"/>
        <v>61.175327100000004</v>
      </c>
      <c r="DS11" s="5">
        <f t="shared" si="121"/>
        <v>0</v>
      </c>
      <c r="DT11" s="5">
        <f t="shared" si="57"/>
        <v>1083.7676475</v>
      </c>
      <c r="DU11" s="5">
        <f t="shared" si="58"/>
        <v>1083.7676475</v>
      </c>
      <c r="DV11" s="35">
        <f t="shared" si="59"/>
        <v>467.1271593</v>
      </c>
      <c r="DW11" s="35">
        <f t="shared" si="122"/>
        <v>4.8536847</v>
      </c>
      <c r="DY11" s="5">
        <f t="shared" si="123"/>
        <v>0</v>
      </c>
      <c r="DZ11" s="5">
        <f t="shared" si="60"/>
        <v>2942.43462</v>
      </c>
      <c r="EA11" s="5">
        <f t="shared" si="61"/>
        <v>2942.43462</v>
      </c>
      <c r="EB11" s="35">
        <f t="shared" si="62"/>
        <v>1268.2525896</v>
      </c>
      <c r="EC11" s="35">
        <f t="shared" si="124"/>
        <v>13.1777784</v>
      </c>
      <c r="EE11" s="5">
        <f t="shared" si="125"/>
        <v>0</v>
      </c>
      <c r="EF11" s="5">
        <f t="shared" si="63"/>
        <v>3299.4461400000005</v>
      </c>
      <c r="EG11" s="35">
        <f t="shared" si="64"/>
        <v>3299.4461400000005</v>
      </c>
      <c r="EH11" s="35">
        <f t="shared" si="65"/>
        <v>1422.1322312000002</v>
      </c>
      <c r="EI11" s="35">
        <f t="shared" si="126"/>
        <v>14.7766648</v>
      </c>
      <c r="EK11" s="5">
        <f t="shared" si="127"/>
        <v>0</v>
      </c>
      <c r="EL11" s="5">
        <f t="shared" si="66"/>
        <v>8313.493462499999</v>
      </c>
      <c r="EM11" s="35">
        <f t="shared" si="67"/>
        <v>8313.493462499999</v>
      </c>
      <c r="EN11" s="35">
        <f t="shared" si="68"/>
        <v>3583.2944395</v>
      </c>
      <c r="EO11" s="35">
        <f t="shared" si="128"/>
        <v>37.2322205</v>
      </c>
      <c r="EQ11" s="5">
        <f t="shared" si="129"/>
        <v>0</v>
      </c>
      <c r="ER11" s="5">
        <f t="shared" si="69"/>
        <v>12772.741972500002</v>
      </c>
      <c r="ES11" s="35">
        <f t="shared" si="70"/>
        <v>12772.741972500002</v>
      </c>
      <c r="ET11" s="35">
        <f t="shared" si="71"/>
        <v>5505.3264303000005</v>
      </c>
      <c r="EU11" s="35">
        <f t="shared" si="130"/>
        <v>57.203093700000004</v>
      </c>
      <c r="EW11" s="5">
        <f t="shared" si="131"/>
        <v>0</v>
      </c>
      <c r="EX11" s="5">
        <f t="shared" si="72"/>
        <v>60548.7414825</v>
      </c>
      <c r="EY11" s="5">
        <f t="shared" si="73"/>
        <v>60548.7414825</v>
      </c>
      <c r="EZ11" s="35">
        <f t="shared" si="74"/>
        <v>26097.8095011</v>
      </c>
      <c r="FA11" s="35">
        <f t="shared" si="132"/>
        <v>271.1692869</v>
      </c>
      <c r="FC11" s="5">
        <f t="shared" si="133"/>
        <v>0</v>
      </c>
      <c r="FD11" s="5">
        <f t="shared" si="75"/>
        <v>51216.843555</v>
      </c>
      <c r="FE11" s="5">
        <f t="shared" si="76"/>
        <v>51216.843555</v>
      </c>
      <c r="FF11" s="35">
        <f t="shared" si="77"/>
        <v>22075.560839399997</v>
      </c>
      <c r="FG11" s="35">
        <f t="shared" si="134"/>
        <v>229.37611259999997</v>
      </c>
      <c r="FI11" s="5">
        <f t="shared" si="135"/>
        <v>0</v>
      </c>
      <c r="FJ11" s="5">
        <f t="shared" si="78"/>
        <v>321.358875</v>
      </c>
      <c r="FK11" s="5">
        <f t="shared" si="79"/>
        <v>321.358875</v>
      </c>
      <c r="FL11" s="35">
        <f t="shared" si="80"/>
        <v>138.512585</v>
      </c>
      <c r="FM11" s="35">
        <f t="shared" si="136"/>
        <v>1.439215</v>
      </c>
      <c r="FO11" s="5">
        <f t="shared" si="137"/>
        <v>0</v>
      </c>
      <c r="FP11" s="5">
        <f t="shared" si="81"/>
        <v>905.0193525</v>
      </c>
      <c r="FQ11" s="5">
        <f t="shared" si="82"/>
        <v>905.0193525</v>
      </c>
      <c r="FR11" s="35">
        <f t="shared" si="83"/>
        <v>390.0828007</v>
      </c>
      <c r="FS11" s="35">
        <f t="shared" si="138"/>
        <v>4.0531553</v>
      </c>
    </row>
    <row r="12" spans="1:175" ht="12.75">
      <c r="A12" s="36">
        <v>44470</v>
      </c>
      <c r="C12" s="77">
        <f>'2019C'!C12</f>
        <v>0</v>
      </c>
      <c r="D12" s="77">
        <f>'2019C'!D12</f>
        <v>1212675</v>
      </c>
      <c r="E12" s="34">
        <f t="shared" si="84"/>
        <v>1212675</v>
      </c>
      <c r="F12" s="77">
        <f>'2019C'!F12</f>
        <v>522689</v>
      </c>
      <c r="G12" s="77">
        <f>'2019C'!G12</f>
        <v>5431</v>
      </c>
      <c r="I12" s="46"/>
      <c r="J12" s="35">
        <f t="shared" si="0"/>
        <v>270706.652925</v>
      </c>
      <c r="K12" s="35">
        <f t="shared" si="1"/>
        <v>270706.652925</v>
      </c>
      <c r="L12" s="35">
        <f t="shared" si="2"/>
        <v>116680.38815900001</v>
      </c>
      <c r="M12" s="35">
        <f t="shared" si="2"/>
        <v>1212.3675610000003</v>
      </c>
      <c r="P12" s="5">
        <f t="shared" si="3"/>
        <v>56755.251547500004</v>
      </c>
      <c r="Q12" s="5">
        <f t="shared" si="4"/>
        <v>56755.251547500004</v>
      </c>
      <c r="R12" s="35">
        <f t="shared" si="5"/>
        <v>24462.7337713</v>
      </c>
      <c r="S12" s="35">
        <f t="shared" si="86"/>
        <v>254.1800327</v>
      </c>
      <c r="V12" s="5">
        <f t="shared" si="6"/>
        <v>7899.0011475</v>
      </c>
      <c r="W12" s="35">
        <f t="shared" si="7"/>
        <v>7899.0011475</v>
      </c>
      <c r="X12" s="35">
        <f t="shared" si="8"/>
        <v>3404.6393393</v>
      </c>
      <c r="Y12" s="35">
        <f t="shared" si="88"/>
        <v>35.3759047</v>
      </c>
      <c r="Z12" s="35"/>
      <c r="AB12" s="5">
        <f t="shared" si="9"/>
        <v>1135.0638</v>
      </c>
      <c r="AC12" s="5">
        <f t="shared" si="10"/>
        <v>1135.0638</v>
      </c>
      <c r="AD12" s="35">
        <f t="shared" si="11"/>
        <v>489.236904</v>
      </c>
      <c r="AE12" s="35">
        <f t="shared" si="90"/>
        <v>5.083416</v>
      </c>
      <c r="AH12" s="5">
        <f t="shared" si="12"/>
        <v>6679.5351675</v>
      </c>
      <c r="AI12" s="5">
        <f t="shared" si="13"/>
        <v>6679.5351675</v>
      </c>
      <c r="AJ12" s="35">
        <f t="shared" si="14"/>
        <v>2879.0232809</v>
      </c>
      <c r="AK12" s="35">
        <f t="shared" si="92"/>
        <v>29.9144911</v>
      </c>
      <c r="AN12" s="5">
        <f t="shared" si="15"/>
        <v>2967.7795275</v>
      </c>
      <c r="AO12" s="5">
        <f t="shared" si="16"/>
        <v>2967.7795275</v>
      </c>
      <c r="AP12" s="35">
        <f t="shared" si="17"/>
        <v>1279.1767897</v>
      </c>
      <c r="AQ12" s="35">
        <f t="shared" si="94"/>
        <v>13.2912863</v>
      </c>
      <c r="AT12" s="5">
        <f t="shared" si="18"/>
        <v>1886.8010325</v>
      </c>
      <c r="AU12" s="5">
        <f t="shared" si="19"/>
        <v>1886.8010325</v>
      </c>
      <c r="AV12" s="35">
        <f t="shared" si="20"/>
        <v>813.2518151</v>
      </c>
      <c r="AW12" s="35">
        <f t="shared" si="96"/>
        <v>8.4500929</v>
      </c>
      <c r="AZ12" s="5">
        <f t="shared" si="21"/>
        <v>5091.4159875</v>
      </c>
      <c r="BA12" s="5">
        <f t="shared" si="22"/>
        <v>5091.4159875</v>
      </c>
      <c r="BB12" s="35">
        <f t="shared" si="23"/>
        <v>2194.5097665</v>
      </c>
      <c r="BC12" s="35">
        <f t="shared" si="98"/>
        <v>22.8020535</v>
      </c>
      <c r="BF12" s="5">
        <f t="shared" si="24"/>
        <v>0.97014</v>
      </c>
      <c r="BG12" s="5">
        <f t="shared" si="25"/>
        <v>0.97014</v>
      </c>
      <c r="BH12" s="35">
        <f t="shared" si="26"/>
        <v>0.4181512</v>
      </c>
      <c r="BI12" s="35">
        <f t="shared" si="100"/>
        <v>0.0043448</v>
      </c>
      <c r="BL12" s="5">
        <f t="shared" si="27"/>
        <v>3149.6807774999997</v>
      </c>
      <c r="BM12" s="35">
        <f t="shared" si="28"/>
        <v>3149.6807774999997</v>
      </c>
      <c r="BN12" s="35">
        <f t="shared" si="29"/>
        <v>1357.5801397</v>
      </c>
      <c r="BO12" s="35">
        <f t="shared" si="102"/>
        <v>14.1059363</v>
      </c>
      <c r="BR12" s="5">
        <f t="shared" si="30"/>
        <v>5797.6779075</v>
      </c>
      <c r="BS12" s="5">
        <f t="shared" si="31"/>
        <v>5797.6779075</v>
      </c>
      <c r="BT12" s="35">
        <f t="shared" si="32"/>
        <v>2498.9238401000002</v>
      </c>
      <c r="BU12" s="35">
        <f t="shared" si="104"/>
        <v>25.9650679</v>
      </c>
      <c r="BX12" s="5">
        <f t="shared" si="33"/>
        <v>15091.01277</v>
      </c>
      <c r="BY12" s="5">
        <f t="shared" si="34"/>
        <v>15091.01277</v>
      </c>
      <c r="BZ12" s="35">
        <f t="shared" si="35"/>
        <v>6504.5509916</v>
      </c>
      <c r="CA12" s="35">
        <f t="shared" si="106"/>
        <v>67.5855364</v>
      </c>
      <c r="CD12" s="5">
        <f t="shared" si="36"/>
        <v>1535.1252825</v>
      </c>
      <c r="CE12" s="5">
        <f t="shared" si="37"/>
        <v>1535.1252825</v>
      </c>
      <c r="CF12" s="35">
        <f t="shared" si="38"/>
        <v>661.6720051</v>
      </c>
      <c r="CG12" s="35">
        <f t="shared" si="108"/>
        <v>6.8751029</v>
      </c>
      <c r="CJ12" s="5">
        <f t="shared" si="39"/>
        <v>191.845185</v>
      </c>
      <c r="CK12" s="5">
        <f t="shared" si="40"/>
        <v>191.845185</v>
      </c>
      <c r="CL12" s="35">
        <f t="shared" si="41"/>
        <v>82.6893998</v>
      </c>
      <c r="CM12" s="35">
        <f t="shared" si="110"/>
        <v>0.8591842</v>
      </c>
      <c r="CP12" s="5">
        <f t="shared" si="42"/>
        <v>173.2912575</v>
      </c>
      <c r="CQ12" s="5">
        <f t="shared" si="43"/>
        <v>173.2912575</v>
      </c>
      <c r="CR12" s="35">
        <f t="shared" si="44"/>
        <v>74.6922581</v>
      </c>
      <c r="CS12" s="35">
        <f t="shared" si="112"/>
        <v>0.7760899</v>
      </c>
      <c r="CV12" s="5">
        <f t="shared" si="45"/>
        <v>4308.7555425</v>
      </c>
      <c r="CW12" s="5">
        <f t="shared" si="46"/>
        <v>4308.7555425</v>
      </c>
      <c r="CX12" s="35">
        <f t="shared" si="47"/>
        <v>1857.1662859</v>
      </c>
      <c r="CY12" s="35">
        <f t="shared" si="114"/>
        <v>19.296886100000002</v>
      </c>
      <c r="DB12" s="5">
        <f t="shared" si="48"/>
        <v>334.455765</v>
      </c>
      <c r="DC12" s="5">
        <f t="shared" si="49"/>
        <v>334.455765</v>
      </c>
      <c r="DD12" s="35">
        <f t="shared" si="50"/>
        <v>144.15762619999998</v>
      </c>
      <c r="DE12" s="35">
        <f t="shared" si="116"/>
        <v>1.4978698</v>
      </c>
      <c r="DH12" s="5">
        <f t="shared" si="51"/>
        <v>2645.4505124999996</v>
      </c>
      <c r="DI12" s="35">
        <f t="shared" si="52"/>
        <v>2645.4505124999996</v>
      </c>
      <c r="DJ12" s="35">
        <f t="shared" si="53"/>
        <v>1140.2460535</v>
      </c>
      <c r="DK12" s="35">
        <f t="shared" si="118"/>
        <v>11.847726499999998</v>
      </c>
      <c r="DN12" s="5">
        <f t="shared" si="54"/>
        <v>13659.692467500001</v>
      </c>
      <c r="DO12" s="5">
        <f t="shared" si="55"/>
        <v>13659.692467500001</v>
      </c>
      <c r="DP12" s="35">
        <f t="shared" si="56"/>
        <v>5887.621164900001</v>
      </c>
      <c r="DQ12" s="35">
        <f t="shared" si="120"/>
        <v>61.175327100000004</v>
      </c>
      <c r="DT12" s="5">
        <f t="shared" si="57"/>
        <v>1083.7676475</v>
      </c>
      <c r="DU12" s="5">
        <f t="shared" si="58"/>
        <v>1083.7676475</v>
      </c>
      <c r="DV12" s="35">
        <f t="shared" si="59"/>
        <v>467.1271593</v>
      </c>
      <c r="DW12" s="35">
        <f t="shared" si="122"/>
        <v>4.8536847</v>
      </c>
      <c r="DZ12" s="5">
        <f t="shared" si="60"/>
        <v>2942.43462</v>
      </c>
      <c r="EA12" s="5">
        <f t="shared" si="61"/>
        <v>2942.43462</v>
      </c>
      <c r="EB12" s="35">
        <f t="shared" si="62"/>
        <v>1268.2525896</v>
      </c>
      <c r="EC12" s="35">
        <f t="shared" si="124"/>
        <v>13.1777784</v>
      </c>
      <c r="EF12" s="5">
        <f t="shared" si="63"/>
        <v>3299.4461400000005</v>
      </c>
      <c r="EG12" s="35">
        <f t="shared" si="64"/>
        <v>3299.4461400000005</v>
      </c>
      <c r="EH12" s="35">
        <f t="shared" si="65"/>
        <v>1422.1322312000002</v>
      </c>
      <c r="EI12" s="35">
        <f t="shared" si="126"/>
        <v>14.7766648</v>
      </c>
      <c r="EL12" s="5">
        <f t="shared" si="66"/>
        <v>8313.493462499999</v>
      </c>
      <c r="EM12" s="35">
        <f t="shared" si="67"/>
        <v>8313.493462499999</v>
      </c>
      <c r="EN12" s="35">
        <f t="shared" si="68"/>
        <v>3583.2944395</v>
      </c>
      <c r="EO12" s="35">
        <f t="shared" si="128"/>
        <v>37.2322205</v>
      </c>
      <c r="ER12" s="5">
        <f t="shared" si="69"/>
        <v>12772.741972500002</v>
      </c>
      <c r="ES12" s="35">
        <f t="shared" si="70"/>
        <v>12772.741972500002</v>
      </c>
      <c r="ET12" s="35">
        <f t="shared" si="71"/>
        <v>5505.3264303000005</v>
      </c>
      <c r="EU12" s="35">
        <f t="shared" si="130"/>
        <v>57.203093700000004</v>
      </c>
      <c r="EX12" s="5">
        <f t="shared" si="72"/>
        <v>60548.7414825</v>
      </c>
      <c r="EY12" s="5">
        <f t="shared" si="73"/>
        <v>60548.7414825</v>
      </c>
      <c r="EZ12" s="35">
        <f t="shared" si="74"/>
        <v>26097.8095011</v>
      </c>
      <c r="FA12" s="35">
        <f t="shared" si="132"/>
        <v>271.1692869</v>
      </c>
      <c r="FD12" s="5">
        <f t="shared" si="75"/>
        <v>51216.843555</v>
      </c>
      <c r="FE12" s="5">
        <f t="shared" si="76"/>
        <v>51216.843555</v>
      </c>
      <c r="FF12" s="35">
        <f t="shared" si="77"/>
        <v>22075.560839399997</v>
      </c>
      <c r="FG12" s="35">
        <f t="shared" si="134"/>
        <v>229.37611259999997</v>
      </c>
      <c r="FJ12" s="5">
        <f t="shared" si="78"/>
        <v>321.358875</v>
      </c>
      <c r="FK12" s="5">
        <f t="shared" si="79"/>
        <v>321.358875</v>
      </c>
      <c r="FL12" s="35">
        <f t="shared" si="80"/>
        <v>138.512585</v>
      </c>
      <c r="FM12" s="35">
        <f t="shared" si="136"/>
        <v>1.439215</v>
      </c>
      <c r="FP12" s="5">
        <f t="shared" si="81"/>
        <v>905.0193525</v>
      </c>
      <c r="FQ12" s="5">
        <f t="shared" si="82"/>
        <v>905.0193525</v>
      </c>
      <c r="FR12" s="35">
        <f t="shared" si="83"/>
        <v>390.0828007</v>
      </c>
      <c r="FS12" s="35">
        <f t="shared" si="138"/>
        <v>4.0531553</v>
      </c>
    </row>
    <row r="13" spans="1:175" ht="12.75">
      <c r="A13" s="36">
        <v>44652</v>
      </c>
      <c r="C13" s="77">
        <f>'2019C'!C13</f>
        <v>5095000</v>
      </c>
      <c r="D13" s="77">
        <f>'2019C'!D13</f>
        <v>1212675</v>
      </c>
      <c r="E13" s="34">
        <f t="shared" si="84"/>
        <v>6307675</v>
      </c>
      <c r="F13" s="77">
        <f>'2019C'!F13</f>
        <v>522689</v>
      </c>
      <c r="G13" s="77">
        <f>'2019C'!G13</f>
        <v>5431</v>
      </c>
      <c r="I13" s="46">
        <f>O13+U13+AG13+AM13+AS13+AA13+AY13+BE13+BK13+BQ13+BW13+CC13+CI13+CO13+CU13+DA13+DG13+DM13+DS13+DY13+EE13+EK13+EQ13+EW13+FC13+FI13+FO13</f>
        <v>1137361.9449999998</v>
      </c>
      <c r="J13" s="35">
        <f t="shared" si="0"/>
        <v>270706.652925</v>
      </c>
      <c r="K13" s="35">
        <f t="shared" si="1"/>
        <v>1408068.597925</v>
      </c>
      <c r="L13" s="35">
        <f t="shared" si="2"/>
        <v>116680.38815900001</v>
      </c>
      <c r="M13" s="35">
        <f t="shared" si="2"/>
        <v>1212.3675610000003</v>
      </c>
      <c r="O13" s="5">
        <f t="shared" si="85"/>
        <v>238454.66150000002</v>
      </c>
      <c r="P13" s="5">
        <f t="shared" si="3"/>
        <v>56755.251547500004</v>
      </c>
      <c r="Q13" s="5">
        <f t="shared" si="4"/>
        <v>295209.9130475</v>
      </c>
      <c r="R13" s="35">
        <f t="shared" si="5"/>
        <v>24462.7337713</v>
      </c>
      <c r="S13" s="35">
        <f t="shared" si="86"/>
        <v>254.1800327</v>
      </c>
      <c r="U13" s="5">
        <f t="shared" si="87"/>
        <v>33187.3015</v>
      </c>
      <c r="V13" s="5">
        <f t="shared" si="6"/>
        <v>7899.0011475</v>
      </c>
      <c r="W13" s="35">
        <f t="shared" si="7"/>
        <v>41086.3026475</v>
      </c>
      <c r="X13" s="35">
        <f t="shared" si="8"/>
        <v>3404.6393393</v>
      </c>
      <c r="Y13" s="35">
        <f t="shared" si="88"/>
        <v>35.3759047</v>
      </c>
      <c r="Z13" s="35"/>
      <c r="AA13" s="5">
        <f t="shared" si="89"/>
        <v>4768.92</v>
      </c>
      <c r="AB13" s="5">
        <f t="shared" si="9"/>
        <v>1135.0638</v>
      </c>
      <c r="AC13" s="5">
        <f t="shared" si="10"/>
        <v>5903.9838</v>
      </c>
      <c r="AD13" s="35">
        <f t="shared" si="11"/>
        <v>489.236904</v>
      </c>
      <c r="AE13" s="35">
        <f t="shared" si="90"/>
        <v>5.083416</v>
      </c>
      <c r="AG13" s="5">
        <f t="shared" si="91"/>
        <v>28063.769500000002</v>
      </c>
      <c r="AH13" s="5">
        <f t="shared" si="12"/>
        <v>6679.5351675</v>
      </c>
      <c r="AI13" s="5">
        <f t="shared" si="13"/>
        <v>34743.3046675</v>
      </c>
      <c r="AJ13" s="35">
        <f t="shared" si="14"/>
        <v>2879.0232809</v>
      </c>
      <c r="AK13" s="35">
        <f t="shared" si="92"/>
        <v>29.9144911</v>
      </c>
      <c r="AM13" s="5">
        <f t="shared" si="93"/>
        <v>12468.993499999999</v>
      </c>
      <c r="AN13" s="5">
        <f t="shared" si="15"/>
        <v>2967.7795275</v>
      </c>
      <c r="AO13" s="5">
        <f t="shared" si="16"/>
        <v>15436.7730275</v>
      </c>
      <c r="AP13" s="35">
        <f t="shared" si="17"/>
        <v>1279.1767897</v>
      </c>
      <c r="AQ13" s="35">
        <f t="shared" si="94"/>
        <v>13.2912863</v>
      </c>
      <c r="AS13" s="5">
        <f t="shared" si="95"/>
        <v>7927.3105000000005</v>
      </c>
      <c r="AT13" s="5">
        <f t="shared" si="18"/>
        <v>1886.8010325</v>
      </c>
      <c r="AU13" s="5">
        <f t="shared" si="19"/>
        <v>9814.111532500001</v>
      </c>
      <c r="AV13" s="35">
        <f t="shared" si="20"/>
        <v>813.2518151</v>
      </c>
      <c r="AW13" s="35">
        <f t="shared" si="96"/>
        <v>8.4500929</v>
      </c>
      <c r="AY13" s="5">
        <f t="shared" si="97"/>
        <v>21391.3575</v>
      </c>
      <c r="AZ13" s="5">
        <f t="shared" si="21"/>
        <v>5091.4159875</v>
      </c>
      <c r="BA13" s="5">
        <f t="shared" si="22"/>
        <v>26482.7734875</v>
      </c>
      <c r="BB13" s="35">
        <f t="shared" si="23"/>
        <v>2194.5097665</v>
      </c>
      <c r="BC13" s="35">
        <f t="shared" si="98"/>
        <v>22.8020535</v>
      </c>
      <c r="BE13" s="5">
        <f t="shared" si="99"/>
        <v>4.076</v>
      </c>
      <c r="BF13" s="5">
        <f t="shared" si="24"/>
        <v>0.97014</v>
      </c>
      <c r="BG13" s="5">
        <f t="shared" si="25"/>
        <v>5.046139999999999</v>
      </c>
      <c r="BH13" s="35">
        <f t="shared" si="26"/>
        <v>0.4181512</v>
      </c>
      <c r="BI13" s="35">
        <f t="shared" si="100"/>
        <v>0.0043448</v>
      </c>
      <c r="BK13" s="5">
        <f t="shared" si="101"/>
        <v>13233.243499999999</v>
      </c>
      <c r="BL13" s="5">
        <f t="shared" si="27"/>
        <v>3149.6807774999997</v>
      </c>
      <c r="BM13" s="35">
        <f t="shared" si="28"/>
        <v>16382.924277499998</v>
      </c>
      <c r="BN13" s="35">
        <f t="shared" si="29"/>
        <v>1357.5801397</v>
      </c>
      <c r="BO13" s="35">
        <f t="shared" si="102"/>
        <v>14.1059363</v>
      </c>
      <c r="BQ13" s="5">
        <f t="shared" si="103"/>
        <v>24358.6855</v>
      </c>
      <c r="BR13" s="5">
        <f t="shared" si="30"/>
        <v>5797.6779075</v>
      </c>
      <c r="BS13" s="5">
        <f t="shared" si="31"/>
        <v>30156.3634075</v>
      </c>
      <c r="BT13" s="35">
        <f t="shared" si="32"/>
        <v>2498.9238401000002</v>
      </c>
      <c r="BU13" s="35">
        <f t="shared" si="104"/>
        <v>25.9650679</v>
      </c>
      <c r="BW13" s="5">
        <f t="shared" si="105"/>
        <v>63404.218</v>
      </c>
      <c r="BX13" s="5">
        <f t="shared" si="33"/>
        <v>15091.01277</v>
      </c>
      <c r="BY13" s="5">
        <f t="shared" si="34"/>
        <v>78495.23077</v>
      </c>
      <c r="BZ13" s="35">
        <f t="shared" si="35"/>
        <v>6504.5509916</v>
      </c>
      <c r="CA13" s="35">
        <f t="shared" si="106"/>
        <v>67.5855364</v>
      </c>
      <c r="CC13" s="5">
        <f t="shared" si="107"/>
        <v>6449.760499999999</v>
      </c>
      <c r="CD13" s="5">
        <f t="shared" si="36"/>
        <v>1535.1252825</v>
      </c>
      <c r="CE13" s="5">
        <f t="shared" si="37"/>
        <v>7984.8857825</v>
      </c>
      <c r="CF13" s="35">
        <f t="shared" si="38"/>
        <v>661.6720051</v>
      </c>
      <c r="CG13" s="35">
        <f t="shared" si="108"/>
        <v>6.8751029</v>
      </c>
      <c r="CI13" s="5">
        <f t="shared" si="109"/>
        <v>806.029</v>
      </c>
      <c r="CJ13" s="5">
        <f t="shared" si="39"/>
        <v>191.845185</v>
      </c>
      <c r="CK13" s="5">
        <f t="shared" si="40"/>
        <v>997.874185</v>
      </c>
      <c r="CL13" s="35">
        <f t="shared" si="41"/>
        <v>82.6893998</v>
      </c>
      <c r="CM13" s="35">
        <f t="shared" si="110"/>
        <v>0.8591842</v>
      </c>
      <c r="CO13" s="5">
        <f t="shared" si="111"/>
        <v>728.0755</v>
      </c>
      <c r="CP13" s="5">
        <f t="shared" si="42"/>
        <v>173.2912575</v>
      </c>
      <c r="CQ13" s="5">
        <f t="shared" si="43"/>
        <v>901.3667575000001</v>
      </c>
      <c r="CR13" s="35">
        <f t="shared" si="44"/>
        <v>74.6922581</v>
      </c>
      <c r="CS13" s="35">
        <f t="shared" si="112"/>
        <v>0.7760899</v>
      </c>
      <c r="CU13" s="5">
        <f t="shared" si="113"/>
        <v>18103.0445</v>
      </c>
      <c r="CV13" s="5">
        <f t="shared" si="45"/>
        <v>4308.7555425</v>
      </c>
      <c r="CW13" s="5">
        <f t="shared" si="46"/>
        <v>22411.8000425</v>
      </c>
      <c r="CX13" s="35">
        <f t="shared" si="47"/>
        <v>1857.1662859</v>
      </c>
      <c r="CY13" s="35">
        <f t="shared" si="114"/>
        <v>19.296886100000002</v>
      </c>
      <c r="DA13" s="5">
        <f t="shared" si="115"/>
        <v>1405.2009999999998</v>
      </c>
      <c r="DB13" s="5">
        <f t="shared" si="48"/>
        <v>334.455765</v>
      </c>
      <c r="DC13" s="5">
        <f t="shared" si="49"/>
        <v>1739.6567649999997</v>
      </c>
      <c r="DD13" s="35">
        <f t="shared" si="50"/>
        <v>144.15762619999998</v>
      </c>
      <c r="DE13" s="35">
        <f t="shared" si="116"/>
        <v>1.4978698</v>
      </c>
      <c r="DG13" s="5">
        <f t="shared" si="117"/>
        <v>11114.742499999998</v>
      </c>
      <c r="DH13" s="5">
        <f t="shared" si="51"/>
        <v>2645.4505124999996</v>
      </c>
      <c r="DI13" s="35">
        <f t="shared" si="52"/>
        <v>13760.193012499998</v>
      </c>
      <c r="DJ13" s="35">
        <f t="shared" si="53"/>
        <v>1140.2460535</v>
      </c>
      <c r="DK13" s="35">
        <f t="shared" si="118"/>
        <v>11.847726499999998</v>
      </c>
      <c r="DM13" s="5">
        <f t="shared" si="119"/>
        <v>57390.5895</v>
      </c>
      <c r="DN13" s="5">
        <f t="shared" si="54"/>
        <v>13659.692467500001</v>
      </c>
      <c r="DO13" s="5">
        <f t="shared" si="55"/>
        <v>71050.2819675</v>
      </c>
      <c r="DP13" s="35">
        <f t="shared" si="56"/>
        <v>5887.621164900001</v>
      </c>
      <c r="DQ13" s="35">
        <f t="shared" si="120"/>
        <v>61.175327100000004</v>
      </c>
      <c r="DS13" s="5">
        <f t="shared" si="121"/>
        <v>4553.4015</v>
      </c>
      <c r="DT13" s="5">
        <f t="shared" si="57"/>
        <v>1083.7676475</v>
      </c>
      <c r="DU13" s="5">
        <f t="shared" si="58"/>
        <v>5637.1691475</v>
      </c>
      <c r="DV13" s="35">
        <f t="shared" si="59"/>
        <v>467.1271593</v>
      </c>
      <c r="DW13" s="35">
        <f t="shared" si="122"/>
        <v>4.8536847</v>
      </c>
      <c r="DY13" s="5">
        <f t="shared" si="123"/>
        <v>12362.508</v>
      </c>
      <c r="DZ13" s="5">
        <f t="shared" si="60"/>
        <v>2942.43462</v>
      </c>
      <c r="EA13" s="5">
        <f t="shared" si="61"/>
        <v>15304.94262</v>
      </c>
      <c r="EB13" s="35">
        <f t="shared" si="62"/>
        <v>1268.2525896</v>
      </c>
      <c r="EC13" s="35">
        <f t="shared" si="124"/>
        <v>13.1777784</v>
      </c>
      <c r="EE13" s="5">
        <f t="shared" si="125"/>
        <v>13862.476</v>
      </c>
      <c r="EF13" s="5">
        <f t="shared" si="63"/>
        <v>3299.4461400000005</v>
      </c>
      <c r="EG13" s="35">
        <f t="shared" si="64"/>
        <v>17161.922140000002</v>
      </c>
      <c r="EH13" s="35">
        <f t="shared" si="65"/>
        <v>1422.1322312000002</v>
      </c>
      <c r="EI13" s="35">
        <f t="shared" si="126"/>
        <v>14.7766648</v>
      </c>
      <c r="EK13" s="5">
        <f t="shared" si="127"/>
        <v>34928.7725</v>
      </c>
      <c r="EL13" s="5">
        <f t="shared" si="66"/>
        <v>8313.493462499999</v>
      </c>
      <c r="EM13" s="35">
        <f t="shared" si="67"/>
        <v>43242.265962499994</v>
      </c>
      <c r="EN13" s="35">
        <f t="shared" si="68"/>
        <v>3583.2944395</v>
      </c>
      <c r="EO13" s="35">
        <f t="shared" si="128"/>
        <v>37.2322205</v>
      </c>
      <c r="EQ13" s="5">
        <f t="shared" si="129"/>
        <v>53664.1065</v>
      </c>
      <c r="ER13" s="5">
        <f t="shared" si="69"/>
        <v>12772.741972500002</v>
      </c>
      <c r="ES13" s="35">
        <f t="shared" si="70"/>
        <v>66436.8484725</v>
      </c>
      <c r="ET13" s="35">
        <f t="shared" si="71"/>
        <v>5505.3264303000005</v>
      </c>
      <c r="EU13" s="35">
        <f t="shared" si="130"/>
        <v>57.203093700000004</v>
      </c>
      <c r="EW13" s="5">
        <f t="shared" si="131"/>
        <v>254392.8405</v>
      </c>
      <c r="EX13" s="5">
        <f t="shared" si="72"/>
        <v>60548.7414825</v>
      </c>
      <c r="EY13" s="5">
        <f t="shared" si="73"/>
        <v>314941.5819825</v>
      </c>
      <c r="EZ13" s="35">
        <f t="shared" si="74"/>
        <v>26097.8095011</v>
      </c>
      <c r="FA13" s="35">
        <f t="shared" si="132"/>
        <v>271.1692869</v>
      </c>
      <c r="FC13" s="5">
        <f t="shared" si="133"/>
        <v>215185.28699999998</v>
      </c>
      <c r="FD13" s="5">
        <f t="shared" si="75"/>
        <v>51216.843555</v>
      </c>
      <c r="FE13" s="5">
        <f t="shared" si="76"/>
        <v>266402.130555</v>
      </c>
      <c r="FF13" s="35">
        <f t="shared" si="77"/>
        <v>22075.560839399997</v>
      </c>
      <c r="FG13" s="35">
        <f t="shared" si="134"/>
        <v>229.37611259999997</v>
      </c>
      <c r="FI13" s="5">
        <f t="shared" si="135"/>
        <v>1350.175</v>
      </c>
      <c r="FJ13" s="5">
        <f t="shared" si="78"/>
        <v>321.358875</v>
      </c>
      <c r="FK13" s="5">
        <f t="shared" si="79"/>
        <v>1671.533875</v>
      </c>
      <c r="FL13" s="35">
        <f t="shared" si="80"/>
        <v>138.512585</v>
      </c>
      <c r="FM13" s="35">
        <f t="shared" si="136"/>
        <v>1.439215</v>
      </c>
      <c r="FO13" s="5">
        <f t="shared" si="137"/>
        <v>3802.3985</v>
      </c>
      <c r="FP13" s="5">
        <f t="shared" si="81"/>
        <v>905.0193525</v>
      </c>
      <c r="FQ13" s="5">
        <f t="shared" si="82"/>
        <v>4707.4178525</v>
      </c>
      <c r="FR13" s="35">
        <f t="shared" si="83"/>
        <v>390.0828007</v>
      </c>
      <c r="FS13" s="35">
        <f t="shared" si="138"/>
        <v>4.0531553</v>
      </c>
    </row>
    <row r="14" spans="1:175" ht="12.75">
      <c r="A14" s="36">
        <v>44835</v>
      </c>
      <c r="C14" s="77">
        <f>'2019C'!C14</f>
        <v>0</v>
      </c>
      <c r="D14" s="77">
        <f>'2019C'!D14</f>
        <v>1136250</v>
      </c>
      <c r="E14" s="34">
        <f t="shared" si="84"/>
        <v>1136250</v>
      </c>
      <c r="F14" s="77">
        <f>'2019C'!F14</f>
        <v>522689</v>
      </c>
      <c r="G14" s="77">
        <f>'2019C'!G14</f>
        <v>5431</v>
      </c>
      <c r="I14" s="46"/>
      <c r="J14" s="35">
        <f t="shared" si="0"/>
        <v>253646.22375000003</v>
      </c>
      <c r="K14" s="35">
        <f t="shared" si="1"/>
        <v>253646.22375000003</v>
      </c>
      <c r="L14" s="35">
        <f t="shared" si="2"/>
        <v>116680.38815900001</v>
      </c>
      <c r="M14" s="35">
        <f t="shared" si="2"/>
        <v>1212.3675610000003</v>
      </c>
      <c r="P14" s="5">
        <f t="shared" si="3"/>
        <v>53178.431625000005</v>
      </c>
      <c r="Q14" s="5">
        <f t="shared" si="4"/>
        <v>53178.431625000005</v>
      </c>
      <c r="R14" s="35">
        <f t="shared" si="5"/>
        <v>24462.7337713</v>
      </c>
      <c r="S14" s="35">
        <f t="shared" si="86"/>
        <v>254.1800327</v>
      </c>
      <c r="V14" s="5">
        <f t="shared" si="6"/>
        <v>7401.1916249999995</v>
      </c>
      <c r="W14" s="35">
        <f t="shared" si="7"/>
        <v>7401.1916249999995</v>
      </c>
      <c r="X14" s="35">
        <f t="shared" si="8"/>
        <v>3404.6393393</v>
      </c>
      <c r="Y14" s="35">
        <f t="shared" si="88"/>
        <v>35.3759047</v>
      </c>
      <c r="Z14" s="35"/>
      <c r="AB14" s="5">
        <f t="shared" si="9"/>
        <v>1063.53</v>
      </c>
      <c r="AC14" s="5">
        <f t="shared" si="10"/>
        <v>1063.53</v>
      </c>
      <c r="AD14" s="35">
        <f t="shared" si="11"/>
        <v>489.236904</v>
      </c>
      <c r="AE14" s="35">
        <f t="shared" si="90"/>
        <v>5.083416</v>
      </c>
      <c r="AH14" s="5">
        <f t="shared" si="12"/>
        <v>6258.578625</v>
      </c>
      <c r="AI14" s="5">
        <f t="shared" si="13"/>
        <v>6258.578625</v>
      </c>
      <c r="AJ14" s="35">
        <f t="shared" si="14"/>
        <v>2879.0232809</v>
      </c>
      <c r="AK14" s="35">
        <f t="shared" si="92"/>
        <v>29.9144911</v>
      </c>
      <c r="AN14" s="5">
        <f t="shared" si="15"/>
        <v>2780.744625</v>
      </c>
      <c r="AO14" s="5">
        <f t="shared" si="16"/>
        <v>2780.744625</v>
      </c>
      <c r="AP14" s="35">
        <f t="shared" si="17"/>
        <v>1279.1767897</v>
      </c>
      <c r="AQ14" s="35">
        <f t="shared" si="94"/>
        <v>13.2912863</v>
      </c>
      <c r="AT14" s="5">
        <f t="shared" si="18"/>
        <v>1767.8913750000002</v>
      </c>
      <c r="AU14" s="5">
        <f t="shared" si="19"/>
        <v>1767.8913750000002</v>
      </c>
      <c r="AV14" s="35">
        <f t="shared" si="20"/>
        <v>813.2518151</v>
      </c>
      <c r="AW14" s="35">
        <f t="shared" si="96"/>
        <v>8.4500929</v>
      </c>
      <c r="AZ14" s="5">
        <f t="shared" si="21"/>
        <v>4770.545625</v>
      </c>
      <c r="BA14" s="5">
        <f t="shared" si="22"/>
        <v>4770.545625</v>
      </c>
      <c r="BB14" s="35">
        <f t="shared" si="23"/>
        <v>2194.5097665</v>
      </c>
      <c r="BC14" s="35">
        <f t="shared" si="98"/>
        <v>22.8020535</v>
      </c>
      <c r="BF14" s="5">
        <f t="shared" si="24"/>
        <v>0.9089999999999999</v>
      </c>
      <c r="BG14" s="5">
        <f t="shared" si="25"/>
        <v>0.9089999999999999</v>
      </c>
      <c r="BH14" s="35">
        <f t="shared" si="26"/>
        <v>0.4181512</v>
      </c>
      <c r="BI14" s="35">
        <f t="shared" si="100"/>
        <v>0.0043448</v>
      </c>
      <c r="BL14" s="5">
        <f t="shared" si="27"/>
        <v>2951.182125</v>
      </c>
      <c r="BM14" s="35">
        <f t="shared" si="28"/>
        <v>2951.182125</v>
      </c>
      <c r="BN14" s="35">
        <f t="shared" si="29"/>
        <v>1357.5801397</v>
      </c>
      <c r="BO14" s="35">
        <f t="shared" si="102"/>
        <v>14.1059363</v>
      </c>
      <c r="BR14" s="5">
        <f t="shared" si="30"/>
        <v>5432.297625</v>
      </c>
      <c r="BS14" s="5">
        <f t="shared" si="31"/>
        <v>5432.297625</v>
      </c>
      <c r="BT14" s="35">
        <f t="shared" si="32"/>
        <v>2498.9238401000002</v>
      </c>
      <c r="BU14" s="35">
        <f t="shared" si="104"/>
        <v>25.9650679</v>
      </c>
      <c r="BX14" s="5">
        <f t="shared" si="33"/>
        <v>14139.949499999999</v>
      </c>
      <c r="BY14" s="5">
        <f t="shared" si="34"/>
        <v>14139.949499999999</v>
      </c>
      <c r="BZ14" s="35">
        <f t="shared" si="35"/>
        <v>6504.5509916</v>
      </c>
      <c r="CA14" s="35">
        <f t="shared" si="106"/>
        <v>67.5855364</v>
      </c>
      <c r="CD14" s="5">
        <f t="shared" si="36"/>
        <v>1438.3788749999999</v>
      </c>
      <c r="CE14" s="5">
        <f t="shared" si="37"/>
        <v>1438.3788749999999</v>
      </c>
      <c r="CF14" s="35">
        <f t="shared" si="38"/>
        <v>661.6720051</v>
      </c>
      <c r="CG14" s="35">
        <f t="shared" si="108"/>
        <v>6.8751029</v>
      </c>
      <c r="CJ14" s="5">
        <f t="shared" si="39"/>
        <v>179.75475</v>
      </c>
      <c r="CK14" s="5">
        <f t="shared" si="40"/>
        <v>179.75475</v>
      </c>
      <c r="CL14" s="35">
        <f t="shared" si="41"/>
        <v>82.6893998</v>
      </c>
      <c r="CM14" s="35">
        <f t="shared" si="110"/>
        <v>0.8591842</v>
      </c>
      <c r="CP14" s="5">
        <f t="shared" si="42"/>
        <v>162.370125</v>
      </c>
      <c r="CQ14" s="5">
        <f t="shared" si="43"/>
        <v>162.370125</v>
      </c>
      <c r="CR14" s="35">
        <f t="shared" si="44"/>
        <v>74.6922581</v>
      </c>
      <c r="CS14" s="35">
        <f t="shared" si="112"/>
        <v>0.7760899</v>
      </c>
      <c r="CV14" s="5">
        <f t="shared" si="45"/>
        <v>4037.209875</v>
      </c>
      <c r="CW14" s="5">
        <f t="shared" si="46"/>
        <v>4037.209875</v>
      </c>
      <c r="CX14" s="35">
        <f t="shared" si="47"/>
        <v>1857.1662859</v>
      </c>
      <c r="CY14" s="35">
        <f t="shared" si="114"/>
        <v>19.296886100000002</v>
      </c>
      <c r="DB14" s="5">
        <f t="shared" si="48"/>
        <v>313.37775</v>
      </c>
      <c r="DC14" s="5">
        <f t="shared" si="49"/>
        <v>313.37775</v>
      </c>
      <c r="DD14" s="35">
        <f t="shared" si="50"/>
        <v>144.15762619999998</v>
      </c>
      <c r="DE14" s="35">
        <f t="shared" si="116"/>
        <v>1.4978698</v>
      </c>
      <c r="DH14" s="5">
        <f t="shared" si="51"/>
        <v>2478.729375</v>
      </c>
      <c r="DI14" s="35">
        <f t="shared" si="52"/>
        <v>2478.729375</v>
      </c>
      <c r="DJ14" s="35">
        <f t="shared" si="53"/>
        <v>1140.2460535</v>
      </c>
      <c r="DK14" s="35">
        <f t="shared" si="118"/>
        <v>11.847726499999998</v>
      </c>
      <c r="DN14" s="5">
        <f t="shared" si="54"/>
        <v>12798.833625000001</v>
      </c>
      <c r="DO14" s="5">
        <f t="shared" si="55"/>
        <v>12798.833625000001</v>
      </c>
      <c r="DP14" s="35">
        <f t="shared" si="56"/>
        <v>5887.621164900001</v>
      </c>
      <c r="DQ14" s="35">
        <f t="shared" si="120"/>
        <v>61.175327100000004</v>
      </c>
      <c r="DT14" s="5">
        <f t="shared" si="57"/>
        <v>1015.466625</v>
      </c>
      <c r="DU14" s="5">
        <f t="shared" si="58"/>
        <v>1015.466625</v>
      </c>
      <c r="DV14" s="35">
        <f t="shared" si="59"/>
        <v>467.1271593</v>
      </c>
      <c r="DW14" s="35">
        <f t="shared" si="122"/>
        <v>4.8536847</v>
      </c>
      <c r="DZ14" s="5">
        <f t="shared" si="60"/>
        <v>2756.997</v>
      </c>
      <c r="EA14" s="5">
        <f t="shared" si="61"/>
        <v>2756.997</v>
      </c>
      <c r="EB14" s="35">
        <f t="shared" si="62"/>
        <v>1268.2525896</v>
      </c>
      <c r="EC14" s="35">
        <f t="shared" si="124"/>
        <v>13.1777784</v>
      </c>
      <c r="EF14" s="5">
        <f t="shared" si="63"/>
        <v>3091.5090000000005</v>
      </c>
      <c r="EG14" s="35">
        <f t="shared" si="64"/>
        <v>3091.5090000000005</v>
      </c>
      <c r="EH14" s="35">
        <f t="shared" si="65"/>
        <v>1422.1322312000002</v>
      </c>
      <c r="EI14" s="35">
        <f t="shared" si="126"/>
        <v>14.7766648</v>
      </c>
      <c r="EL14" s="5">
        <f t="shared" si="66"/>
        <v>7789.561874999999</v>
      </c>
      <c r="EM14" s="35">
        <f t="shared" si="67"/>
        <v>7789.561874999999</v>
      </c>
      <c r="EN14" s="35">
        <f t="shared" si="68"/>
        <v>3583.2944395</v>
      </c>
      <c r="EO14" s="35">
        <f t="shared" si="128"/>
        <v>37.2322205</v>
      </c>
      <c r="ER14" s="5">
        <f t="shared" si="69"/>
        <v>11967.780375</v>
      </c>
      <c r="ES14" s="35">
        <f t="shared" si="70"/>
        <v>11967.780375</v>
      </c>
      <c r="ET14" s="35">
        <f t="shared" si="71"/>
        <v>5505.3264303000005</v>
      </c>
      <c r="EU14" s="35">
        <f t="shared" si="130"/>
        <v>57.203093700000004</v>
      </c>
      <c r="EX14" s="5">
        <f t="shared" si="72"/>
        <v>56732.848874999996</v>
      </c>
      <c r="EY14" s="5">
        <f t="shared" si="73"/>
        <v>56732.848874999996</v>
      </c>
      <c r="EZ14" s="35">
        <f t="shared" si="74"/>
        <v>26097.8095011</v>
      </c>
      <c r="FA14" s="35">
        <f t="shared" si="132"/>
        <v>271.1692869</v>
      </c>
      <c r="FD14" s="5">
        <f t="shared" si="75"/>
        <v>47989.064249999996</v>
      </c>
      <c r="FE14" s="5">
        <f t="shared" si="76"/>
        <v>47989.064249999996</v>
      </c>
      <c r="FF14" s="35">
        <f t="shared" si="77"/>
        <v>22075.560839399997</v>
      </c>
      <c r="FG14" s="35">
        <f t="shared" si="134"/>
        <v>229.37611259999997</v>
      </c>
      <c r="FJ14" s="5">
        <f t="shared" si="78"/>
        <v>301.10625</v>
      </c>
      <c r="FK14" s="5">
        <f t="shared" si="79"/>
        <v>301.10625</v>
      </c>
      <c r="FL14" s="35">
        <f t="shared" si="80"/>
        <v>138.512585</v>
      </c>
      <c r="FM14" s="35">
        <f t="shared" si="136"/>
        <v>1.439215</v>
      </c>
      <c r="FP14" s="5">
        <f t="shared" si="81"/>
        <v>847.983375</v>
      </c>
      <c r="FQ14" s="5">
        <f t="shared" si="82"/>
        <v>847.983375</v>
      </c>
      <c r="FR14" s="35">
        <f t="shared" si="83"/>
        <v>390.0828007</v>
      </c>
      <c r="FS14" s="35">
        <f t="shared" si="138"/>
        <v>4.0531553</v>
      </c>
    </row>
    <row r="15" spans="1:175" ht="12.75">
      <c r="A15" s="36">
        <v>45017</v>
      </c>
      <c r="C15" s="77">
        <f>'2019C'!C15</f>
        <v>5240000</v>
      </c>
      <c r="D15" s="77">
        <f>'2019C'!D15</f>
        <v>1136250</v>
      </c>
      <c r="E15" s="34">
        <f t="shared" si="84"/>
        <v>6376250</v>
      </c>
      <c r="F15" s="77">
        <f>'2019C'!F15</f>
        <v>522689</v>
      </c>
      <c r="G15" s="77">
        <f>'2019C'!G15</f>
        <v>5431</v>
      </c>
      <c r="I15" s="46">
        <f>O15+U15+AG15+AM15+AS15+AA15+AY15+BE15+BK15+BQ15+BW15+CC15+CI15+CO15+CU15+DA15+DG15+DM15+DS15+DY15+EE15+EK15+EQ15+EW15+FC15+FI15+FO15</f>
        <v>1169730.44</v>
      </c>
      <c r="J15" s="35">
        <f t="shared" si="0"/>
        <v>253646.22375000003</v>
      </c>
      <c r="K15" s="35">
        <f t="shared" si="1"/>
        <v>1423376.66375</v>
      </c>
      <c r="L15" s="35">
        <f t="shared" si="2"/>
        <v>116680.38815900001</v>
      </c>
      <c r="M15" s="35">
        <f t="shared" si="2"/>
        <v>1212.3675610000003</v>
      </c>
      <c r="O15" s="5">
        <f t="shared" si="85"/>
        <v>245240.908</v>
      </c>
      <c r="P15" s="5">
        <f t="shared" si="3"/>
        <v>53178.431625000005</v>
      </c>
      <c r="Q15" s="5">
        <f t="shared" si="4"/>
        <v>298419.339625</v>
      </c>
      <c r="R15" s="35">
        <f t="shared" si="5"/>
        <v>24462.7337713</v>
      </c>
      <c r="S15" s="35">
        <f t="shared" si="86"/>
        <v>254.1800327</v>
      </c>
      <c r="U15" s="5">
        <f t="shared" si="87"/>
        <v>34131.788</v>
      </c>
      <c r="V15" s="5">
        <f t="shared" si="6"/>
        <v>7401.1916249999995</v>
      </c>
      <c r="W15" s="35">
        <f t="shared" si="7"/>
        <v>41532.979625</v>
      </c>
      <c r="X15" s="35">
        <f t="shared" si="8"/>
        <v>3404.6393393</v>
      </c>
      <c r="Y15" s="35">
        <f t="shared" si="88"/>
        <v>35.3759047</v>
      </c>
      <c r="Z15" s="35"/>
      <c r="AA15" s="5">
        <f t="shared" si="89"/>
        <v>4904.64</v>
      </c>
      <c r="AB15" s="5">
        <f t="shared" si="9"/>
        <v>1063.53</v>
      </c>
      <c r="AC15" s="5">
        <f t="shared" si="10"/>
        <v>5968.17</v>
      </c>
      <c r="AD15" s="35">
        <f t="shared" si="11"/>
        <v>489.236904</v>
      </c>
      <c r="AE15" s="35">
        <f t="shared" si="90"/>
        <v>5.083416</v>
      </c>
      <c r="AG15" s="5">
        <f t="shared" si="91"/>
        <v>28862.444</v>
      </c>
      <c r="AH15" s="5">
        <f t="shared" si="12"/>
        <v>6258.578625</v>
      </c>
      <c r="AI15" s="5">
        <f t="shared" si="13"/>
        <v>35121.022625</v>
      </c>
      <c r="AJ15" s="35">
        <f t="shared" si="14"/>
        <v>2879.0232809</v>
      </c>
      <c r="AK15" s="35">
        <f t="shared" si="92"/>
        <v>29.9144911</v>
      </c>
      <c r="AM15" s="5">
        <f t="shared" si="93"/>
        <v>12823.851999999999</v>
      </c>
      <c r="AN15" s="5">
        <f t="shared" si="15"/>
        <v>2780.744625</v>
      </c>
      <c r="AO15" s="5">
        <f t="shared" si="16"/>
        <v>15604.596624999998</v>
      </c>
      <c r="AP15" s="35">
        <f t="shared" si="17"/>
        <v>1279.1767897</v>
      </c>
      <c r="AQ15" s="35">
        <f t="shared" si="94"/>
        <v>13.2912863</v>
      </c>
      <c r="AS15" s="5">
        <f t="shared" si="95"/>
        <v>8152.916</v>
      </c>
      <c r="AT15" s="5">
        <f t="shared" si="18"/>
        <v>1767.8913750000002</v>
      </c>
      <c r="AU15" s="5">
        <f t="shared" si="19"/>
        <v>9920.807375</v>
      </c>
      <c r="AV15" s="35">
        <f t="shared" si="20"/>
        <v>813.2518151</v>
      </c>
      <c r="AW15" s="35">
        <f t="shared" si="96"/>
        <v>8.4500929</v>
      </c>
      <c r="AY15" s="5">
        <f t="shared" si="97"/>
        <v>22000.14</v>
      </c>
      <c r="AZ15" s="5">
        <f t="shared" si="21"/>
        <v>4770.545625</v>
      </c>
      <c r="BA15" s="5">
        <f t="shared" si="22"/>
        <v>26770.685625</v>
      </c>
      <c r="BB15" s="35">
        <f t="shared" si="23"/>
        <v>2194.5097665</v>
      </c>
      <c r="BC15" s="35">
        <f t="shared" si="98"/>
        <v>22.8020535</v>
      </c>
      <c r="BE15" s="5">
        <f t="shared" si="99"/>
        <v>4.192</v>
      </c>
      <c r="BF15" s="5">
        <f t="shared" si="24"/>
        <v>0.9089999999999999</v>
      </c>
      <c r="BG15" s="5">
        <f t="shared" si="25"/>
        <v>5.101</v>
      </c>
      <c r="BH15" s="35">
        <f t="shared" si="26"/>
        <v>0.4181512</v>
      </c>
      <c r="BI15" s="35">
        <f t="shared" si="100"/>
        <v>0.0043448</v>
      </c>
      <c r="BK15" s="5">
        <f t="shared" si="101"/>
        <v>13609.851999999999</v>
      </c>
      <c r="BL15" s="5">
        <f t="shared" si="27"/>
        <v>2951.182125</v>
      </c>
      <c r="BM15" s="35">
        <f t="shared" si="28"/>
        <v>16561.034125</v>
      </c>
      <c r="BN15" s="35">
        <f t="shared" si="29"/>
        <v>1357.5801397</v>
      </c>
      <c r="BO15" s="35">
        <f t="shared" si="102"/>
        <v>14.1059363</v>
      </c>
      <c r="BQ15" s="5">
        <f t="shared" si="103"/>
        <v>25051.916</v>
      </c>
      <c r="BR15" s="5">
        <f t="shared" si="30"/>
        <v>5432.297625</v>
      </c>
      <c r="BS15" s="5">
        <f t="shared" si="31"/>
        <v>30484.213625</v>
      </c>
      <c r="BT15" s="35">
        <f t="shared" si="32"/>
        <v>2498.9238401000002</v>
      </c>
      <c r="BU15" s="35">
        <f t="shared" si="104"/>
        <v>25.9650679</v>
      </c>
      <c r="BW15" s="5">
        <f t="shared" si="105"/>
        <v>65208.655999999995</v>
      </c>
      <c r="BX15" s="5">
        <f t="shared" si="33"/>
        <v>14139.949499999999</v>
      </c>
      <c r="BY15" s="5">
        <f t="shared" si="34"/>
        <v>79348.60549999999</v>
      </c>
      <c r="BZ15" s="35">
        <f t="shared" si="35"/>
        <v>6504.5509916</v>
      </c>
      <c r="CA15" s="35">
        <f t="shared" si="106"/>
        <v>67.5855364</v>
      </c>
      <c r="CC15" s="5">
        <f t="shared" si="107"/>
        <v>6633.316</v>
      </c>
      <c r="CD15" s="5">
        <f t="shared" si="36"/>
        <v>1438.3788749999999</v>
      </c>
      <c r="CE15" s="5">
        <f t="shared" si="37"/>
        <v>8071.694874999999</v>
      </c>
      <c r="CF15" s="35">
        <f t="shared" si="38"/>
        <v>661.6720051</v>
      </c>
      <c r="CG15" s="35">
        <f t="shared" si="108"/>
        <v>6.8751029</v>
      </c>
      <c r="CI15" s="5">
        <f t="shared" si="109"/>
        <v>828.968</v>
      </c>
      <c r="CJ15" s="5">
        <f t="shared" si="39"/>
        <v>179.75475</v>
      </c>
      <c r="CK15" s="5">
        <f t="shared" si="40"/>
        <v>1008.7227499999999</v>
      </c>
      <c r="CL15" s="35">
        <f t="shared" si="41"/>
        <v>82.6893998</v>
      </c>
      <c r="CM15" s="35">
        <f t="shared" si="110"/>
        <v>0.8591842</v>
      </c>
      <c r="CO15" s="5">
        <f t="shared" si="111"/>
        <v>748.796</v>
      </c>
      <c r="CP15" s="5">
        <f t="shared" si="42"/>
        <v>162.370125</v>
      </c>
      <c r="CQ15" s="5">
        <f t="shared" si="43"/>
        <v>911.1661250000001</v>
      </c>
      <c r="CR15" s="35">
        <f t="shared" si="44"/>
        <v>74.6922581</v>
      </c>
      <c r="CS15" s="35">
        <f t="shared" si="112"/>
        <v>0.7760899</v>
      </c>
      <c r="CU15" s="5">
        <f t="shared" si="113"/>
        <v>18618.244</v>
      </c>
      <c r="CV15" s="5">
        <f t="shared" si="45"/>
        <v>4037.209875</v>
      </c>
      <c r="CW15" s="5">
        <f t="shared" si="46"/>
        <v>22655.453875</v>
      </c>
      <c r="CX15" s="35">
        <f t="shared" si="47"/>
        <v>1857.1662859</v>
      </c>
      <c r="CY15" s="35">
        <f t="shared" si="114"/>
        <v>19.296886100000002</v>
      </c>
      <c r="DA15" s="5">
        <f t="shared" si="115"/>
        <v>1445.192</v>
      </c>
      <c r="DB15" s="5">
        <f t="shared" si="48"/>
        <v>313.37775</v>
      </c>
      <c r="DC15" s="5">
        <f t="shared" si="49"/>
        <v>1758.56975</v>
      </c>
      <c r="DD15" s="35">
        <f t="shared" si="50"/>
        <v>144.15762619999998</v>
      </c>
      <c r="DE15" s="35">
        <f t="shared" si="116"/>
        <v>1.4978698</v>
      </c>
      <c r="DG15" s="5">
        <f t="shared" si="117"/>
        <v>11431.06</v>
      </c>
      <c r="DH15" s="5">
        <f t="shared" si="51"/>
        <v>2478.729375</v>
      </c>
      <c r="DI15" s="35">
        <f t="shared" si="52"/>
        <v>13909.789375</v>
      </c>
      <c r="DJ15" s="35">
        <f t="shared" si="53"/>
        <v>1140.2460535</v>
      </c>
      <c r="DK15" s="35">
        <f t="shared" si="118"/>
        <v>11.847726499999998</v>
      </c>
      <c r="DM15" s="5">
        <f t="shared" si="119"/>
        <v>59023.884000000005</v>
      </c>
      <c r="DN15" s="5">
        <f t="shared" si="54"/>
        <v>12798.833625000001</v>
      </c>
      <c r="DO15" s="5">
        <f t="shared" si="55"/>
        <v>71822.717625</v>
      </c>
      <c r="DP15" s="35">
        <f t="shared" si="56"/>
        <v>5887.621164900001</v>
      </c>
      <c r="DQ15" s="35">
        <f t="shared" si="120"/>
        <v>61.175327100000004</v>
      </c>
      <c r="DS15" s="5">
        <f t="shared" si="121"/>
        <v>4682.988</v>
      </c>
      <c r="DT15" s="5">
        <f t="shared" si="57"/>
        <v>1015.466625</v>
      </c>
      <c r="DU15" s="5">
        <f t="shared" si="58"/>
        <v>5698.454625</v>
      </c>
      <c r="DV15" s="35">
        <f t="shared" si="59"/>
        <v>467.1271593</v>
      </c>
      <c r="DW15" s="35">
        <f t="shared" si="122"/>
        <v>4.8536847</v>
      </c>
      <c r="DY15" s="5">
        <f t="shared" si="123"/>
        <v>12714.336</v>
      </c>
      <c r="DZ15" s="5">
        <f t="shared" si="60"/>
        <v>2756.997</v>
      </c>
      <c r="EA15" s="5">
        <f t="shared" si="61"/>
        <v>15471.332999999999</v>
      </c>
      <c r="EB15" s="35">
        <f t="shared" si="62"/>
        <v>1268.2525896</v>
      </c>
      <c r="EC15" s="35">
        <f t="shared" si="124"/>
        <v>13.1777784</v>
      </c>
      <c r="EE15" s="5">
        <f t="shared" si="125"/>
        <v>14256.992000000002</v>
      </c>
      <c r="EF15" s="5">
        <f t="shared" si="63"/>
        <v>3091.5090000000005</v>
      </c>
      <c r="EG15" s="35">
        <f t="shared" si="64"/>
        <v>17348.501000000004</v>
      </c>
      <c r="EH15" s="35">
        <f t="shared" si="65"/>
        <v>1422.1322312000002</v>
      </c>
      <c r="EI15" s="35">
        <f t="shared" si="126"/>
        <v>14.7766648</v>
      </c>
      <c r="EK15" s="5">
        <f t="shared" si="127"/>
        <v>35922.82</v>
      </c>
      <c r="EL15" s="5">
        <f t="shared" si="66"/>
        <v>7789.561874999999</v>
      </c>
      <c r="EM15" s="35">
        <f t="shared" si="67"/>
        <v>43712.381875</v>
      </c>
      <c r="EN15" s="35">
        <f t="shared" si="68"/>
        <v>3583.2944395</v>
      </c>
      <c r="EO15" s="35">
        <f t="shared" si="128"/>
        <v>37.2322205</v>
      </c>
      <c r="EQ15" s="5">
        <f t="shared" si="129"/>
        <v>55191.348000000005</v>
      </c>
      <c r="ER15" s="5">
        <f t="shared" si="69"/>
        <v>11967.780375</v>
      </c>
      <c r="ES15" s="35">
        <f t="shared" si="70"/>
        <v>67159.128375</v>
      </c>
      <c r="ET15" s="35">
        <f t="shared" si="71"/>
        <v>5505.3264303000005</v>
      </c>
      <c r="EU15" s="35">
        <f t="shared" si="130"/>
        <v>57.203093700000004</v>
      </c>
      <c r="EW15" s="5">
        <f t="shared" si="131"/>
        <v>261632.676</v>
      </c>
      <c r="EX15" s="5">
        <f t="shared" si="72"/>
        <v>56732.848874999996</v>
      </c>
      <c r="EY15" s="5">
        <f t="shared" si="73"/>
        <v>318365.524875</v>
      </c>
      <c r="EZ15" s="35">
        <f t="shared" si="74"/>
        <v>26097.8095011</v>
      </c>
      <c r="FA15" s="35">
        <f t="shared" si="132"/>
        <v>271.1692869</v>
      </c>
      <c r="FC15" s="5">
        <f t="shared" si="133"/>
        <v>221309.30399999997</v>
      </c>
      <c r="FD15" s="5">
        <f t="shared" si="75"/>
        <v>47989.064249999996</v>
      </c>
      <c r="FE15" s="5">
        <f t="shared" si="76"/>
        <v>269298.36824999994</v>
      </c>
      <c r="FF15" s="35">
        <f t="shared" si="77"/>
        <v>22075.560839399997</v>
      </c>
      <c r="FG15" s="35">
        <f t="shared" si="134"/>
        <v>229.37611259999997</v>
      </c>
      <c r="FI15" s="5">
        <f t="shared" si="135"/>
        <v>1388.6</v>
      </c>
      <c r="FJ15" s="5">
        <f t="shared" si="78"/>
        <v>301.10625</v>
      </c>
      <c r="FK15" s="5">
        <f t="shared" si="79"/>
        <v>1689.70625</v>
      </c>
      <c r="FL15" s="35">
        <f t="shared" si="80"/>
        <v>138.512585</v>
      </c>
      <c r="FM15" s="35">
        <f t="shared" si="136"/>
        <v>1.439215</v>
      </c>
      <c r="FO15" s="5">
        <f t="shared" si="137"/>
        <v>3910.612</v>
      </c>
      <c r="FP15" s="5">
        <f t="shared" si="81"/>
        <v>847.983375</v>
      </c>
      <c r="FQ15" s="5">
        <f t="shared" si="82"/>
        <v>4758.595375</v>
      </c>
      <c r="FR15" s="35">
        <f t="shared" si="83"/>
        <v>390.0828007</v>
      </c>
      <c r="FS15" s="35">
        <f t="shared" si="138"/>
        <v>4.0531553</v>
      </c>
    </row>
    <row r="16" spans="1:175" ht="12.75">
      <c r="A16" s="36">
        <v>45200</v>
      </c>
      <c r="C16" s="77">
        <f>'2019C'!C16</f>
        <v>0</v>
      </c>
      <c r="D16" s="77">
        <f>'2019C'!D16</f>
        <v>1031450</v>
      </c>
      <c r="E16" s="34">
        <f t="shared" si="84"/>
        <v>1031450</v>
      </c>
      <c r="F16" s="77">
        <f>'2019C'!F16</f>
        <v>522689</v>
      </c>
      <c r="G16" s="77">
        <f>'2019C'!G16</f>
        <v>5431</v>
      </c>
      <c r="I16" s="46"/>
      <c r="J16" s="35">
        <f t="shared" si="0"/>
        <v>230251.61495000002</v>
      </c>
      <c r="K16" s="35">
        <f t="shared" si="1"/>
        <v>230251.61495000002</v>
      </c>
      <c r="L16" s="35">
        <f t="shared" si="2"/>
        <v>116680.38815900001</v>
      </c>
      <c r="M16" s="35">
        <f t="shared" si="2"/>
        <v>1212.3675610000003</v>
      </c>
      <c r="P16" s="5">
        <f t="shared" si="3"/>
        <v>48273.613465</v>
      </c>
      <c r="Q16" s="5">
        <f t="shared" si="4"/>
        <v>48273.613465</v>
      </c>
      <c r="R16" s="35">
        <f t="shared" si="5"/>
        <v>24462.7337713</v>
      </c>
      <c r="S16" s="35">
        <f t="shared" si="86"/>
        <v>254.1800327</v>
      </c>
      <c r="V16" s="5">
        <f t="shared" si="6"/>
        <v>6718.555865</v>
      </c>
      <c r="W16" s="35">
        <f t="shared" si="7"/>
        <v>6718.555865</v>
      </c>
      <c r="X16" s="35">
        <f t="shared" si="8"/>
        <v>3404.6393393</v>
      </c>
      <c r="Y16" s="35">
        <f t="shared" si="88"/>
        <v>35.3759047</v>
      </c>
      <c r="Z16" s="35"/>
      <c r="AB16" s="5">
        <f t="shared" si="9"/>
        <v>965.4372</v>
      </c>
      <c r="AC16" s="5">
        <f t="shared" si="10"/>
        <v>965.4372</v>
      </c>
      <c r="AD16" s="35">
        <f t="shared" si="11"/>
        <v>489.236904</v>
      </c>
      <c r="AE16" s="35">
        <f t="shared" si="90"/>
        <v>5.083416</v>
      </c>
      <c r="AH16" s="5">
        <f t="shared" si="12"/>
        <v>5681.329745</v>
      </c>
      <c r="AI16" s="5">
        <f t="shared" si="13"/>
        <v>5681.329745</v>
      </c>
      <c r="AJ16" s="35">
        <f t="shared" si="14"/>
        <v>2879.0232809</v>
      </c>
      <c r="AK16" s="35">
        <f t="shared" si="92"/>
        <v>29.9144911</v>
      </c>
      <c r="AN16" s="5">
        <f t="shared" si="15"/>
        <v>2524.267585</v>
      </c>
      <c r="AO16" s="5">
        <f t="shared" si="16"/>
        <v>2524.267585</v>
      </c>
      <c r="AP16" s="35">
        <f t="shared" si="17"/>
        <v>1279.1767897</v>
      </c>
      <c r="AQ16" s="35">
        <f t="shared" si="94"/>
        <v>13.2912863</v>
      </c>
      <c r="AT16" s="5">
        <f t="shared" si="18"/>
        <v>1604.833055</v>
      </c>
      <c r="AU16" s="5">
        <f t="shared" si="19"/>
        <v>1604.833055</v>
      </c>
      <c r="AV16" s="35">
        <f t="shared" si="20"/>
        <v>813.2518151</v>
      </c>
      <c r="AW16" s="35">
        <f t="shared" si="96"/>
        <v>8.4500929</v>
      </c>
      <c r="AZ16" s="5">
        <f t="shared" si="21"/>
        <v>4330.5428249999995</v>
      </c>
      <c r="BA16" s="5">
        <f t="shared" si="22"/>
        <v>4330.5428249999995</v>
      </c>
      <c r="BB16" s="35">
        <f t="shared" si="23"/>
        <v>2194.5097665</v>
      </c>
      <c r="BC16" s="35">
        <f t="shared" si="98"/>
        <v>22.8020535</v>
      </c>
      <c r="BF16" s="5">
        <f t="shared" si="24"/>
        <v>0.82516</v>
      </c>
      <c r="BG16" s="5">
        <f t="shared" si="25"/>
        <v>0.82516</v>
      </c>
      <c r="BH16" s="35">
        <f t="shared" si="26"/>
        <v>0.4181512</v>
      </c>
      <c r="BI16" s="35">
        <f t="shared" si="100"/>
        <v>0.0043448</v>
      </c>
      <c r="BL16" s="5">
        <f t="shared" si="27"/>
        <v>2678.985085</v>
      </c>
      <c r="BM16" s="35">
        <f t="shared" si="28"/>
        <v>2678.985085</v>
      </c>
      <c r="BN16" s="35">
        <f t="shared" si="29"/>
        <v>1357.5801397</v>
      </c>
      <c r="BO16" s="35">
        <f t="shared" si="102"/>
        <v>14.1059363</v>
      </c>
      <c r="BR16" s="5">
        <f t="shared" si="30"/>
        <v>4931.2593050000005</v>
      </c>
      <c r="BS16" s="5">
        <f t="shared" si="31"/>
        <v>4931.2593050000005</v>
      </c>
      <c r="BT16" s="35">
        <f t="shared" si="32"/>
        <v>2498.9238401000002</v>
      </c>
      <c r="BU16" s="35">
        <f t="shared" si="104"/>
        <v>25.9650679</v>
      </c>
      <c r="BX16" s="5">
        <f t="shared" si="33"/>
        <v>12835.77638</v>
      </c>
      <c r="BY16" s="5">
        <f t="shared" si="34"/>
        <v>12835.77638</v>
      </c>
      <c r="BZ16" s="35">
        <f t="shared" si="35"/>
        <v>6504.5509916</v>
      </c>
      <c r="CA16" s="35">
        <f t="shared" si="106"/>
        <v>67.5855364</v>
      </c>
      <c r="CD16" s="5">
        <f t="shared" si="36"/>
        <v>1305.7125549999998</v>
      </c>
      <c r="CE16" s="5">
        <f t="shared" si="37"/>
        <v>1305.7125549999998</v>
      </c>
      <c r="CF16" s="35">
        <f t="shared" si="38"/>
        <v>661.6720051</v>
      </c>
      <c r="CG16" s="35">
        <f t="shared" si="108"/>
        <v>6.8751029</v>
      </c>
      <c r="CJ16" s="5">
        <f t="shared" si="39"/>
        <v>163.17539</v>
      </c>
      <c r="CK16" s="5">
        <f t="shared" si="40"/>
        <v>163.17539</v>
      </c>
      <c r="CL16" s="35">
        <f t="shared" si="41"/>
        <v>82.6893998</v>
      </c>
      <c r="CM16" s="35">
        <f t="shared" si="110"/>
        <v>0.8591842</v>
      </c>
      <c r="CP16" s="5">
        <f t="shared" si="42"/>
        <v>147.394205</v>
      </c>
      <c r="CQ16" s="5">
        <f t="shared" si="43"/>
        <v>147.394205</v>
      </c>
      <c r="CR16" s="35">
        <f t="shared" si="44"/>
        <v>74.6922581</v>
      </c>
      <c r="CS16" s="35">
        <f t="shared" si="112"/>
        <v>0.7760899</v>
      </c>
      <c r="CV16" s="5">
        <f t="shared" si="45"/>
        <v>3664.844995</v>
      </c>
      <c r="CW16" s="5">
        <f t="shared" si="46"/>
        <v>3664.844995</v>
      </c>
      <c r="CX16" s="35">
        <f t="shared" si="47"/>
        <v>1857.1662859</v>
      </c>
      <c r="CY16" s="35">
        <f t="shared" si="114"/>
        <v>19.296886100000002</v>
      </c>
      <c r="DB16" s="5">
        <f t="shared" si="48"/>
        <v>284.47391</v>
      </c>
      <c r="DC16" s="5">
        <f t="shared" si="49"/>
        <v>284.47391</v>
      </c>
      <c r="DD16" s="35">
        <f t="shared" si="50"/>
        <v>144.15762619999998</v>
      </c>
      <c r="DE16" s="35">
        <f t="shared" si="116"/>
        <v>1.4978698</v>
      </c>
      <c r="DH16" s="5">
        <f t="shared" si="51"/>
        <v>2250.108175</v>
      </c>
      <c r="DI16" s="35">
        <f t="shared" si="52"/>
        <v>2250.108175</v>
      </c>
      <c r="DJ16" s="35">
        <f t="shared" si="53"/>
        <v>1140.2460535</v>
      </c>
      <c r="DK16" s="35">
        <f t="shared" si="118"/>
        <v>11.847726499999998</v>
      </c>
      <c r="DN16" s="5">
        <f t="shared" si="54"/>
        <v>11618.355945000001</v>
      </c>
      <c r="DO16" s="5">
        <f t="shared" si="55"/>
        <v>11618.355945000001</v>
      </c>
      <c r="DP16" s="35">
        <f t="shared" si="56"/>
        <v>5887.621164900001</v>
      </c>
      <c r="DQ16" s="35">
        <f t="shared" si="120"/>
        <v>61.175327100000004</v>
      </c>
      <c r="DT16" s="5">
        <f t="shared" si="57"/>
        <v>921.806865</v>
      </c>
      <c r="DU16" s="5">
        <f t="shared" si="58"/>
        <v>921.806865</v>
      </c>
      <c r="DV16" s="35">
        <f t="shared" si="59"/>
        <v>467.1271593</v>
      </c>
      <c r="DW16" s="35">
        <f t="shared" si="122"/>
        <v>4.8536847</v>
      </c>
      <c r="DZ16" s="5">
        <f t="shared" si="60"/>
        <v>2502.71028</v>
      </c>
      <c r="EA16" s="5">
        <f t="shared" si="61"/>
        <v>2502.71028</v>
      </c>
      <c r="EB16" s="35">
        <f t="shared" si="62"/>
        <v>1268.2525896</v>
      </c>
      <c r="EC16" s="35">
        <f t="shared" si="124"/>
        <v>13.1777784</v>
      </c>
      <c r="EF16" s="5">
        <f t="shared" si="63"/>
        <v>2806.36916</v>
      </c>
      <c r="EG16" s="35">
        <f t="shared" si="64"/>
        <v>2806.36916</v>
      </c>
      <c r="EH16" s="35">
        <f t="shared" si="65"/>
        <v>1422.1322312000002</v>
      </c>
      <c r="EI16" s="35">
        <f t="shared" si="126"/>
        <v>14.7766648</v>
      </c>
      <c r="EL16" s="5">
        <f t="shared" si="66"/>
        <v>7071.105474999999</v>
      </c>
      <c r="EM16" s="35">
        <f t="shared" si="67"/>
        <v>7071.105474999999</v>
      </c>
      <c r="EN16" s="35">
        <f t="shared" si="68"/>
        <v>3583.2944395</v>
      </c>
      <c r="EO16" s="35">
        <f t="shared" si="128"/>
        <v>37.2322205</v>
      </c>
      <c r="ER16" s="5">
        <f t="shared" si="69"/>
        <v>10863.953415</v>
      </c>
      <c r="ES16" s="35">
        <f t="shared" si="70"/>
        <v>10863.953415</v>
      </c>
      <c r="ET16" s="35">
        <f t="shared" si="71"/>
        <v>5505.3264303000005</v>
      </c>
      <c r="EU16" s="35">
        <f t="shared" si="130"/>
        <v>57.203093700000004</v>
      </c>
      <c r="EX16" s="5">
        <f t="shared" si="72"/>
        <v>51500.195354999996</v>
      </c>
      <c r="EY16" s="5">
        <f t="shared" si="73"/>
        <v>51500.195354999996</v>
      </c>
      <c r="EZ16" s="35">
        <f t="shared" si="74"/>
        <v>26097.8095011</v>
      </c>
      <c r="FA16" s="35">
        <f t="shared" si="132"/>
        <v>271.1692869</v>
      </c>
      <c r="FD16" s="5">
        <f t="shared" si="75"/>
        <v>43562.878169999996</v>
      </c>
      <c r="FE16" s="5">
        <f t="shared" si="76"/>
        <v>43562.878169999996</v>
      </c>
      <c r="FF16" s="35">
        <f t="shared" si="77"/>
        <v>22075.560839399997</v>
      </c>
      <c r="FG16" s="35">
        <f t="shared" si="134"/>
        <v>229.37611259999997</v>
      </c>
      <c r="FJ16" s="5">
        <f t="shared" si="78"/>
        <v>273.33425</v>
      </c>
      <c r="FK16" s="5">
        <f t="shared" si="79"/>
        <v>273.33425</v>
      </c>
      <c r="FL16" s="35">
        <f t="shared" si="80"/>
        <v>138.512585</v>
      </c>
      <c r="FM16" s="35">
        <f t="shared" si="136"/>
        <v>1.439215</v>
      </c>
      <c r="FP16" s="5">
        <f t="shared" si="81"/>
        <v>769.771135</v>
      </c>
      <c r="FQ16" s="5">
        <f t="shared" si="82"/>
        <v>769.771135</v>
      </c>
      <c r="FR16" s="35">
        <f t="shared" si="83"/>
        <v>390.0828007</v>
      </c>
      <c r="FS16" s="35">
        <f t="shared" si="138"/>
        <v>4.0531553</v>
      </c>
    </row>
    <row r="17" spans="1:175" ht="12.75">
      <c r="A17" s="36">
        <v>45383</v>
      </c>
      <c r="C17" s="77">
        <f>'2019C'!C17</f>
        <v>5450000</v>
      </c>
      <c r="D17" s="77">
        <f>'2019C'!D17</f>
        <v>1031450</v>
      </c>
      <c r="E17" s="34">
        <f t="shared" si="84"/>
        <v>6481450</v>
      </c>
      <c r="F17" s="77">
        <f>'2019C'!F17</f>
        <v>522689</v>
      </c>
      <c r="G17" s="77">
        <f>'2019C'!G17</f>
        <v>5431</v>
      </c>
      <c r="I17" s="46">
        <f>O17+U17+AG17+AM17+AS17+AA17+AY17+BE17+BK17+BQ17+BW17+CC17+CI17+CO17+CU17+DA17+DG17+DM17+DS17+DY17+EE17+EK17+EQ17+EW17+FC17+FI17+FO17</f>
        <v>1216608.95</v>
      </c>
      <c r="J17" s="35">
        <f t="shared" si="0"/>
        <v>230251.61495000002</v>
      </c>
      <c r="K17" s="35">
        <f t="shared" si="1"/>
        <v>1446860.56495</v>
      </c>
      <c r="L17" s="35">
        <f t="shared" si="2"/>
        <v>116680.38815900001</v>
      </c>
      <c r="M17" s="35">
        <f t="shared" si="2"/>
        <v>1212.3675610000003</v>
      </c>
      <c r="O17" s="5">
        <f t="shared" si="85"/>
        <v>255069.265</v>
      </c>
      <c r="P17" s="5">
        <f t="shared" si="3"/>
        <v>48273.613465</v>
      </c>
      <c r="Q17" s="5">
        <f t="shared" si="4"/>
        <v>303342.878465</v>
      </c>
      <c r="R17" s="35">
        <f t="shared" si="5"/>
        <v>24462.7337713</v>
      </c>
      <c r="S17" s="35">
        <f t="shared" si="86"/>
        <v>254.1800327</v>
      </c>
      <c r="U17" s="5">
        <f t="shared" si="87"/>
        <v>35499.665</v>
      </c>
      <c r="V17" s="5">
        <f t="shared" si="6"/>
        <v>6718.555865</v>
      </c>
      <c r="W17" s="35">
        <f t="shared" si="7"/>
        <v>42218.220865</v>
      </c>
      <c r="X17" s="35">
        <f t="shared" si="8"/>
        <v>3404.6393393</v>
      </c>
      <c r="Y17" s="35">
        <f t="shared" si="88"/>
        <v>35.3759047</v>
      </c>
      <c r="Z17" s="35"/>
      <c r="AA17" s="5">
        <f t="shared" si="89"/>
        <v>5101.2</v>
      </c>
      <c r="AB17" s="5">
        <f t="shared" si="9"/>
        <v>965.4372</v>
      </c>
      <c r="AC17" s="5">
        <f t="shared" si="10"/>
        <v>6066.6372</v>
      </c>
      <c r="AD17" s="35">
        <f t="shared" si="11"/>
        <v>489.236904</v>
      </c>
      <c r="AE17" s="35">
        <f t="shared" si="90"/>
        <v>5.083416</v>
      </c>
      <c r="AG17" s="5">
        <f t="shared" si="91"/>
        <v>30019.145</v>
      </c>
      <c r="AH17" s="5">
        <f t="shared" si="12"/>
        <v>5681.329745</v>
      </c>
      <c r="AI17" s="5">
        <f t="shared" si="13"/>
        <v>35700.474745</v>
      </c>
      <c r="AJ17" s="35">
        <f t="shared" si="14"/>
        <v>2879.0232809</v>
      </c>
      <c r="AK17" s="35">
        <f t="shared" si="92"/>
        <v>29.9144911</v>
      </c>
      <c r="AM17" s="5">
        <f t="shared" si="93"/>
        <v>13337.785</v>
      </c>
      <c r="AN17" s="5">
        <f t="shared" si="15"/>
        <v>2524.267585</v>
      </c>
      <c r="AO17" s="5">
        <f t="shared" si="16"/>
        <v>15862.052585</v>
      </c>
      <c r="AP17" s="35">
        <f t="shared" si="17"/>
        <v>1279.1767897</v>
      </c>
      <c r="AQ17" s="35">
        <f t="shared" si="94"/>
        <v>13.2912863</v>
      </c>
      <c r="AS17" s="5">
        <f t="shared" si="95"/>
        <v>8479.655</v>
      </c>
      <c r="AT17" s="5">
        <f t="shared" si="18"/>
        <v>1604.833055</v>
      </c>
      <c r="AU17" s="5">
        <f t="shared" si="19"/>
        <v>10084.488055000002</v>
      </c>
      <c r="AV17" s="35">
        <f t="shared" si="20"/>
        <v>813.2518151</v>
      </c>
      <c r="AW17" s="35">
        <f t="shared" si="96"/>
        <v>8.4500929</v>
      </c>
      <c r="AY17" s="5">
        <f t="shared" si="97"/>
        <v>22881.825</v>
      </c>
      <c r="AZ17" s="5">
        <f t="shared" si="21"/>
        <v>4330.5428249999995</v>
      </c>
      <c r="BA17" s="5">
        <f t="shared" si="22"/>
        <v>27212.367825</v>
      </c>
      <c r="BB17" s="35">
        <f t="shared" si="23"/>
        <v>2194.5097665</v>
      </c>
      <c r="BC17" s="35">
        <f t="shared" si="98"/>
        <v>22.8020535</v>
      </c>
      <c r="BE17" s="5">
        <f t="shared" si="99"/>
        <v>4.359999999999999</v>
      </c>
      <c r="BF17" s="5">
        <f t="shared" si="24"/>
        <v>0.82516</v>
      </c>
      <c r="BG17" s="5">
        <f t="shared" si="25"/>
        <v>5.18516</v>
      </c>
      <c r="BH17" s="35">
        <f t="shared" si="26"/>
        <v>0.4181512</v>
      </c>
      <c r="BI17" s="35">
        <f t="shared" si="100"/>
        <v>0.0043448</v>
      </c>
      <c r="BK17" s="5">
        <f t="shared" si="101"/>
        <v>14155.285</v>
      </c>
      <c r="BL17" s="5">
        <f t="shared" si="27"/>
        <v>2678.985085</v>
      </c>
      <c r="BM17" s="35">
        <f t="shared" si="28"/>
        <v>16834.270085</v>
      </c>
      <c r="BN17" s="35">
        <f t="shared" si="29"/>
        <v>1357.5801397</v>
      </c>
      <c r="BO17" s="35">
        <f t="shared" si="102"/>
        <v>14.1059363</v>
      </c>
      <c r="BQ17" s="5">
        <f t="shared" si="103"/>
        <v>26055.905000000002</v>
      </c>
      <c r="BR17" s="5">
        <f t="shared" si="30"/>
        <v>4931.2593050000005</v>
      </c>
      <c r="BS17" s="5">
        <f t="shared" si="31"/>
        <v>30987.164305000002</v>
      </c>
      <c r="BT17" s="35">
        <f t="shared" si="32"/>
        <v>2498.9238401000002</v>
      </c>
      <c r="BU17" s="35">
        <f t="shared" si="104"/>
        <v>25.9650679</v>
      </c>
      <c r="BW17" s="5">
        <f t="shared" si="105"/>
        <v>67821.98</v>
      </c>
      <c r="BX17" s="5">
        <f t="shared" si="33"/>
        <v>12835.77638</v>
      </c>
      <c r="BY17" s="5">
        <f t="shared" si="34"/>
        <v>80657.75637999999</v>
      </c>
      <c r="BZ17" s="35">
        <f t="shared" si="35"/>
        <v>6504.5509916</v>
      </c>
      <c r="CA17" s="35">
        <f t="shared" si="106"/>
        <v>67.5855364</v>
      </c>
      <c r="CC17" s="5">
        <f t="shared" si="107"/>
        <v>6899.155</v>
      </c>
      <c r="CD17" s="5">
        <f t="shared" si="36"/>
        <v>1305.7125549999998</v>
      </c>
      <c r="CE17" s="5">
        <f t="shared" si="37"/>
        <v>8204.867554999999</v>
      </c>
      <c r="CF17" s="35">
        <f t="shared" si="38"/>
        <v>661.6720051</v>
      </c>
      <c r="CG17" s="35">
        <f t="shared" si="108"/>
        <v>6.8751029</v>
      </c>
      <c r="CI17" s="5">
        <f t="shared" si="109"/>
        <v>862.1899999999999</v>
      </c>
      <c r="CJ17" s="5">
        <f t="shared" si="39"/>
        <v>163.17539</v>
      </c>
      <c r="CK17" s="5">
        <f t="shared" si="40"/>
        <v>1025.36539</v>
      </c>
      <c r="CL17" s="35">
        <f t="shared" si="41"/>
        <v>82.6893998</v>
      </c>
      <c r="CM17" s="35">
        <f t="shared" si="110"/>
        <v>0.8591842</v>
      </c>
      <c r="CO17" s="5">
        <f t="shared" si="111"/>
        <v>778.8050000000001</v>
      </c>
      <c r="CP17" s="5">
        <f t="shared" si="42"/>
        <v>147.394205</v>
      </c>
      <c r="CQ17" s="5">
        <f t="shared" si="43"/>
        <v>926.1992050000001</v>
      </c>
      <c r="CR17" s="35">
        <f t="shared" si="44"/>
        <v>74.6922581</v>
      </c>
      <c r="CS17" s="35">
        <f t="shared" si="112"/>
        <v>0.7760899</v>
      </c>
      <c r="CU17" s="5">
        <f t="shared" si="113"/>
        <v>19364.395</v>
      </c>
      <c r="CV17" s="5">
        <f t="shared" si="45"/>
        <v>3664.844995</v>
      </c>
      <c r="CW17" s="5">
        <f t="shared" si="46"/>
        <v>23029.239995</v>
      </c>
      <c r="CX17" s="35">
        <f t="shared" si="47"/>
        <v>1857.1662859</v>
      </c>
      <c r="CY17" s="35">
        <f t="shared" si="114"/>
        <v>19.296886100000002</v>
      </c>
      <c r="DA17" s="5">
        <f t="shared" si="115"/>
        <v>1503.11</v>
      </c>
      <c r="DB17" s="5">
        <f t="shared" si="48"/>
        <v>284.47391</v>
      </c>
      <c r="DC17" s="5">
        <f t="shared" si="49"/>
        <v>1787.5839099999998</v>
      </c>
      <c r="DD17" s="35">
        <f t="shared" si="50"/>
        <v>144.15762619999998</v>
      </c>
      <c r="DE17" s="35">
        <f t="shared" si="116"/>
        <v>1.4978698</v>
      </c>
      <c r="DG17" s="5">
        <f t="shared" si="117"/>
        <v>11889.175</v>
      </c>
      <c r="DH17" s="5">
        <f t="shared" si="51"/>
        <v>2250.108175</v>
      </c>
      <c r="DI17" s="35">
        <f t="shared" si="52"/>
        <v>14139.283174999999</v>
      </c>
      <c r="DJ17" s="35">
        <f t="shared" si="53"/>
        <v>1140.2460535</v>
      </c>
      <c r="DK17" s="35">
        <f t="shared" si="118"/>
        <v>11.847726499999998</v>
      </c>
      <c r="DM17" s="5">
        <f t="shared" si="119"/>
        <v>61389.345</v>
      </c>
      <c r="DN17" s="5">
        <f t="shared" si="54"/>
        <v>11618.355945000001</v>
      </c>
      <c r="DO17" s="5">
        <f t="shared" si="55"/>
        <v>73007.700945</v>
      </c>
      <c r="DP17" s="35">
        <f t="shared" si="56"/>
        <v>5887.621164900001</v>
      </c>
      <c r="DQ17" s="35">
        <f t="shared" si="120"/>
        <v>61.175327100000004</v>
      </c>
      <c r="DS17" s="5">
        <f t="shared" si="121"/>
        <v>4870.665</v>
      </c>
      <c r="DT17" s="5">
        <f t="shared" si="57"/>
        <v>921.806865</v>
      </c>
      <c r="DU17" s="5">
        <f t="shared" si="58"/>
        <v>5792.4718649999995</v>
      </c>
      <c r="DV17" s="35">
        <f t="shared" si="59"/>
        <v>467.1271593</v>
      </c>
      <c r="DW17" s="35">
        <f t="shared" si="122"/>
        <v>4.8536847</v>
      </c>
      <c r="DY17" s="5">
        <f t="shared" si="123"/>
        <v>13223.88</v>
      </c>
      <c r="DZ17" s="5">
        <f t="shared" si="60"/>
        <v>2502.71028</v>
      </c>
      <c r="EA17" s="5">
        <f t="shared" si="61"/>
        <v>15726.590279999999</v>
      </c>
      <c r="EB17" s="35">
        <f t="shared" si="62"/>
        <v>1268.2525896</v>
      </c>
      <c r="EC17" s="35">
        <f t="shared" si="124"/>
        <v>13.1777784</v>
      </c>
      <c r="EE17" s="5">
        <f t="shared" si="125"/>
        <v>14828.36</v>
      </c>
      <c r="EF17" s="5">
        <f t="shared" si="63"/>
        <v>2806.36916</v>
      </c>
      <c r="EG17" s="35">
        <f t="shared" si="64"/>
        <v>17634.729160000003</v>
      </c>
      <c r="EH17" s="35">
        <f t="shared" si="65"/>
        <v>1422.1322312000002</v>
      </c>
      <c r="EI17" s="35">
        <f t="shared" si="126"/>
        <v>14.7766648</v>
      </c>
      <c r="EK17" s="5">
        <f t="shared" si="127"/>
        <v>37362.475</v>
      </c>
      <c r="EL17" s="5">
        <f t="shared" si="66"/>
        <v>7071.105474999999</v>
      </c>
      <c r="EM17" s="35">
        <f t="shared" si="67"/>
        <v>44433.580474999995</v>
      </c>
      <c r="EN17" s="35">
        <f t="shared" si="68"/>
        <v>3583.2944395</v>
      </c>
      <c r="EO17" s="35">
        <f t="shared" si="128"/>
        <v>37.2322205</v>
      </c>
      <c r="EQ17" s="5">
        <f t="shared" si="129"/>
        <v>57403.215000000004</v>
      </c>
      <c r="ER17" s="5">
        <f t="shared" si="69"/>
        <v>10863.953415</v>
      </c>
      <c r="ES17" s="35">
        <f t="shared" si="70"/>
        <v>68267.16841500001</v>
      </c>
      <c r="ET17" s="35">
        <f t="shared" si="71"/>
        <v>5505.3264303000005</v>
      </c>
      <c r="EU17" s="35">
        <f t="shared" si="130"/>
        <v>57.203093700000004</v>
      </c>
      <c r="EW17" s="5">
        <f t="shared" si="131"/>
        <v>272117.955</v>
      </c>
      <c r="EX17" s="5">
        <f t="shared" si="72"/>
        <v>51500.195354999996</v>
      </c>
      <c r="EY17" s="5">
        <f t="shared" si="73"/>
        <v>323618.150355</v>
      </c>
      <c r="EZ17" s="35">
        <f t="shared" si="74"/>
        <v>26097.8095011</v>
      </c>
      <c r="FA17" s="35">
        <f t="shared" si="132"/>
        <v>271.1692869</v>
      </c>
      <c r="FC17" s="5">
        <f t="shared" si="133"/>
        <v>230178.56999999998</v>
      </c>
      <c r="FD17" s="5">
        <f t="shared" si="75"/>
        <v>43562.878169999996</v>
      </c>
      <c r="FE17" s="5">
        <f t="shared" si="76"/>
        <v>273741.44817</v>
      </c>
      <c r="FF17" s="35">
        <f t="shared" si="77"/>
        <v>22075.560839399997</v>
      </c>
      <c r="FG17" s="35">
        <f t="shared" si="134"/>
        <v>229.37611259999997</v>
      </c>
      <c r="FI17" s="5">
        <f t="shared" si="135"/>
        <v>1444.25</v>
      </c>
      <c r="FJ17" s="5">
        <f t="shared" si="78"/>
        <v>273.33425</v>
      </c>
      <c r="FK17" s="5">
        <f t="shared" si="79"/>
        <v>1717.5842499999999</v>
      </c>
      <c r="FL17" s="35">
        <f t="shared" si="80"/>
        <v>138.512585</v>
      </c>
      <c r="FM17" s="35">
        <f t="shared" si="136"/>
        <v>1.439215</v>
      </c>
      <c r="FO17" s="5">
        <f t="shared" si="137"/>
        <v>4067.335</v>
      </c>
      <c r="FP17" s="5">
        <f t="shared" si="81"/>
        <v>769.771135</v>
      </c>
      <c r="FQ17" s="5">
        <f t="shared" si="82"/>
        <v>4837.106135</v>
      </c>
      <c r="FR17" s="35">
        <f t="shared" si="83"/>
        <v>390.0828007</v>
      </c>
      <c r="FS17" s="35">
        <f t="shared" si="138"/>
        <v>4.0531553</v>
      </c>
    </row>
    <row r="18" spans="1:175" ht="12.75">
      <c r="A18" s="36">
        <v>45566</v>
      </c>
      <c r="C18" s="77">
        <f>'2019C'!C18</f>
        <v>0</v>
      </c>
      <c r="D18" s="77">
        <f>'2019C'!D18</f>
        <v>922450</v>
      </c>
      <c r="E18" s="34">
        <f t="shared" si="84"/>
        <v>922450</v>
      </c>
      <c r="F18" s="77">
        <f>'2019C'!F18</f>
        <v>522689</v>
      </c>
      <c r="G18" s="77">
        <f>'2019C'!G18</f>
        <v>5431</v>
      </c>
      <c r="I18" s="46"/>
      <c r="J18" s="35">
        <f t="shared" si="0"/>
        <v>205919.43594999998</v>
      </c>
      <c r="K18" s="35">
        <f t="shared" si="1"/>
        <v>205919.43594999998</v>
      </c>
      <c r="L18" s="35">
        <f t="shared" si="2"/>
        <v>116680.38815900001</v>
      </c>
      <c r="M18" s="35">
        <f t="shared" si="2"/>
        <v>1212.3675610000003</v>
      </c>
      <c r="N18"/>
      <c r="P18" s="5">
        <f t="shared" si="3"/>
        <v>43172.228165</v>
      </c>
      <c r="Q18" s="5">
        <f t="shared" si="4"/>
        <v>43172.228165</v>
      </c>
      <c r="R18" s="35">
        <f t="shared" si="5"/>
        <v>24462.7337713</v>
      </c>
      <c r="S18" s="35">
        <f t="shared" si="86"/>
        <v>254.1800327</v>
      </c>
      <c r="T18"/>
      <c r="V18" s="5">
        <f t="shared" si="6"/>
        <v>6008.562565</v>
      </c>
      <c r="W18" s="35">
        <f t="shared" si="7"/>
        <v>6008.562565</v>
      </c>
      <c r="X18" s="35">
        <f t="shared" si="8"/>
        <v>3404.6393393</v>
      </c>
      <c r="Y18" s="35">
        <f t="shared" si="88"/>
        <v>35.3759047</v>
      </c>
      <c r="Z18" s="35"/>
      <c r="AB18" s="5">
        <f t="shared" si="9"/>
        <v>863.4132</v>
      </c>
      <c r="AC18" s="5">
        <f t="shared" si="10"/>
        <v>863.4132</v>
      </c>
      <c r="AD18" s="35">
        <f t="shared" si="11"/>
        <v>489.236904</v>
      </c>
      <c r="AE18" s="35">
        <f t="shared" si="90"/>
        <v>5.083416</v>
      </c>
      <c r="AF18"/>
      <c r="AH18" s="5">
        <f t="shared" si="12"/>
        <v>5080.946845</v>
      </c>
      <c r="AI18" s="5">
        <f t="shared" si="13"/>
        <v>5080.946845</v>
      </c>
      <c r="AJ18" s="35">
        <f t="shared" si="14"/>
        <v>2879.0232809</v>
      </c>
      <c r="AK18" s="35">
        <f t="shared" si="92"/>
        <v>29.9144911</v>
      </c>
      <c r="AL18"/>
      <c r="AN18" s="5">
        <f t="shared" si="15"/>
        <v>2257.511885</v>
      </c>
      <c r="AO18" s="5">
        <f t="shared" si="16"/>
        <v>2257.511885</v>
      </c>
      <c r="AP18" s="35">
        <f t="shared" si="17"/>
        <v>1279.1767897</v>
      </c>
      <c r="AQ18" s="35">
        <f t="shared" si="94"/>
        <v>13.2912863</v>
      </c>
      <c r="AR18"/>
      <c r="AT18" s="5">
        <f t="shared" si="18"/>
        <v>1435.239955</v>
      </c>
      <c r="AU18" s="5">
        <f t="shared" si="19"/>
        <v>1435.239955</v>
      </c>
      <c r="AV18" s="35">
        <f t="shared" si="20"/>
        <v>813.2518151</v>
      </c>
      <c r="AW18" s="35">
        <f t="shared" si="96"/>
        <v>8.4500929</v>
      </c>
      <c r="AX18"/>
      <c r="AZ18" s="5">
        <f t="shared" si="21"/>
        <v>3872.906325</v>
      </c>
      <c r="BA18" s="5">
        <f t="shared" si="22"/>
        <v>3872.906325</v>
      </c>
      <c r="BB18" s="35">
        <f t="shared" si="23"/>
        <v>2194.5097665</v>
      </c>
      <c r="BC18" s="35">
        <f t="shared" si="98"/>
        <v>22.8020535</v>
      </c>
      <c r="BD18"/>
      <c r="BF18" s="5">
        <f t="shared" si="24"/>
        <v>0.73796</v>
      </c>
      <c r="BG18" s="5">
        <f t="shared" si="25"/>
        <v>0.73796</v>
      </c>
      <c r="BH18" s="35">
        <f t="shared" si="26"/>
        <v>0.4181512</v>
      </c>
      <c r="BI18" s="35">
        <f t="shared" si="100"/>
        <v>0.0043448</v>
      </c>
      <c r="BJ18"/>
      <c r="BL18" s="5">
        <f t="shared" si="27"/>
        <v>2395.8793849999997</v>
      </c>
      <c r="BM18" s="35">
        <f t="shared" si="28"/>
        <v>2395.8793849999997</v>
      </c>
      <c r="BN18" s="35">
        <f t="shared" si="29"/>
        <v>1357.5801397</v>
      </c>
      <c r="BO18" s="35">
        <f t="shared" si="102"/>
        <v>14.1059363</v>
      </c>
      <c r="BP18"/>
      <c r="BR18" s="5">
        <f t="shared" si="30"/>
        <v>4410.141205</v>
      </c>
      <c r="BS18" s="5">
        <f t="shared" si="31"/>
        <v>4410.141205</v>
      </c>
      <c r="BT18" s="35">
        <f t="shared" si="32"/>
        <v>2498.9238401000002</v>
      </c>
      <c r="BU18" s="35">
        <f t="shared" si="104"/>
        <v>25.9650679</v>
      </c>
      <c r="BV18"/>
      <c r="BX18" s="5">
        <f t="shared" si="33"/>
        <v>11479.33678</v>
      </c>
      <c r="BY18" s="5">
        <f t="shared" si="34"/>
        <v>11479.33678</v>
      </c>
      <c r="BZ18" s="35">
        <f t="shared" si="35"/>
        <v>6504.5509916</v>
      </c>
      <c r="CA18" s="35">
        <f t="shared" si="106"/>
        <v>67.5855364</v>
      </c>
      <c r="CB18"/>
      <c r="CD18" s="5">
        <f t="shared" si="36"/>
        <v>1167.729455</v>
      </c>
      <c r="CE18" s="5">
        <f t="shared" si="37"/>
        <v>1167.729455</v>
      </c>
      <c r="CF18" s="35">
        <f t="shared" si="38"/>
        <v>661.6720051</v>
      </c>
      <c r="CG18" s="35">
        <f t="shared" si="108"/>
        <v>6.8751029</v>
      </c>
      <c r="CH18"/>
      <c r="CJ18" s="5">
        <f t="shared" si="39"/>
        <v>145.93159</v>
      </c>
      <c r="CK18" s="5">
        <f t="shared" si="40"/>
        <v>145.93159</v>
      </c>
      <c r="CL18" s="35">
        <f t="shared" si="41"/>
        <v>82.6893998</v>
      </c>
      <c r="CM18" s="35">
        <f t="shared" si="110"/>
        <v>0.8591842</v>
      </c>
      <c r="CN18"/>
      <c r="CP18" s="5">
        <f t="shared" si="42"/>
        <v>131.818105</v>
      </c>
      <c r="CQ18" s="5">
        <f t="shared" si="43"/>
        <v>131.818105</v>
      </c>
      <c r="CR18" s="35">
        <f t="shared" si="44"/>
        <v>74.6922581</v>
      </c>
      <c r="CS18" s="35">
        <f t="shared" si="112"/>
        <v>0.7760899</v>
      </c>
      <c r="CT18"/>
      <c r="CV18" s="5">
        <f t="shared" si="45"/>
        <v>3277.557095</v>
      </c>
      <c r="CW18" s="5">
        <f t="shared" si="46"/>
        <v>3277.557095</v>
      </c>
      <c r="CX18" s="35">
        <f t="shared" si="47"/>
        <v>1857.1662859</v>
      </c>
      <c r="CY18" s="35">
        <f t="shared" si="114"/>
        <v>19.296886100000002</v>
      </c>
      <c r="CZ18"/>
      <c r="DB18" s="5">
        <f t="shared" si="48"/>
        <v>254.41170999999997</v>
      </c>
      <c r="DC18" s="5">
        <f t="shared" si="49"/>
        <v>254.41170999999997</v>
      </c>
      <c r="DD18" s="35">
        <f t="shared" si="50"/>
        <v>144.15762619999998</v>
      </c>
      <c r="DE18" s="35">
        <f t="shared" si="116"/>
        <v>1.4978698</v>
      </c>
      <c r="DF18"/>
      <c r="DH18" s="5">
        <f t="shared" si="51"/>
        <v>2012.3246749999998</v>
      </c>
      <c r="DI18" s="35">
        <f t="shared" si="52"/>
        <v>2012.3246749999998</v>
      </c>
      <c r="DJ18" s="35">
        <f t="shared" si="53"/>
        <v>1140.2460535</v>
      </c>
      <c r="DK18" s="35">
        <f t="shared" si="118"/>
        <v>11.847726499999998</v>
      </c>
      <c r="DN18" s="5">
        <f t="shared" si="54"/>
        <v>10390.569045</v>
      </c>
      <c r="DO18" s="5">
        <f t="shared" si="55"/>
        <v>10390.569045</v>
      </c>
      <c r="DP18" s="35">
        <f t="shared" si="56"/>
        <v>5887.621164900001</v>
      </c>
      <c r="DQ18" s="35">
        <f t="shared" si="120"/>
        <v>61.175327100000004</v>
      </c>
      <c r="DT18" s="5">
        <f t="shared" si="57"/>
        <v>824.393565</v>
      </c>
      <c r="DU18" s="5">
        <f t="shared" si="58"/>
        <v>824.393565</v>
      </c>
      <c r="DV18" s="35">
        <f t="shared" si="59"/>
        <v>467.1271593</v>
      </c>
      <c r="DW18" s="35">
        <f t="shared" si="122"/>
        <v>4.8536847</v>
      </c>
      <c r="DZ18" s="5">
        <f t="shared" si="60"/>
        <v>2238.23268</v>
      </c>
      <c r="EA18" s="5">
        <f t="shared" si="61"/>
        <v>2238.23268</v>
      </c>
      <c r="EB18" s="35">
        <f t="shared" si="62"/>
        <v>1268.2525896</v>
      </c>
      <c r="EC18" s="35">
        <f t="shared" si="124"/>
        <v>13.1777784</v>
      </c>
      <c r="EF18" s="5">
        <f t="shared" si="63"/>
        <v>2509.8019600000002</v>
      </c>
      <c r="EG18" s="35">
        <f t="shared" si="64"/>
        <v>2509.8019600000002</v>
      </c>
      <c r="EH18" s="35">
        <f t="shared" si="65"/>
        <v>1422.1322312000002</v>
      </c>
      <c r="EI18" s="35">
        <f t="shared" si="126"/>
        <v>14.7766648</v>
      </c>
      <c r="EL18" s="5">
        <f t="shared" si="66"/>
        <v>6323.8559749999995</v>
      </c>
      <c r="EM18" s="35">
        <f t="shared" si="67"/>
        <v>6323.8559749999995</v>
      </c>
      <c r="EN18" s="35">
        <f t="shared" si="68"/>
        <v>3583.2944395</v>
      </c>
      <c r="EO18" s="35">
        <f t="shared" si="128"/>
        <v>37.2322205</v>
      </c>
      <c r="ER18" s="5">
        <f t="shared" si="69"/>
        <v>9715.889115</v>
      </c>
      <c r="ES18" s="35">
        <f t="shared" si="70"/>
        <v>9715.889115</v>
      </c>
      <c r="ET18" s="35">
        <f t="shared" si="71"/>
        <v>5505.3264303000005</v>
      </c>
      <c r="EU18" s="35">
        <f t="shared" si="130"/>
        <v>57.203093700000004</v>
      </c>
      <c r="EX18" s="5">
        <f t="shared" si="72"/>
        <v>46057.836255</v>
      </c>
      <c r="EY18" s="5">
        <f t="shared" si="73"/>
        <v>46057.836255</v>
      </c>
      <c r="EZ18" s="35">
        <f t="shared" si="74"/>
        <v>26097.8095011</v>
      </c>
      <c r="FA18" s="35">
        <f t="shared" si="132"/>
        <v>271.1692869</v>
      </c>
      <c r="FD18" s="5">
        <f t="shared" si="75"/>
        <v>38959.306769999996</v>
      </c>
      <c r="FE18" s="5">
        <f t="shared" si="76"/>
        <v>38959.306769999996</v>
      </c>
      <c r="FF18" s="35">
        <f t="shared" si="77"/>
        <v>22075.560839399997</v>
      </c>
      <c r="FG18" s="35">
        <f t="shared" si="134"/>
        <v>229.37611259999997</v>
      </c>
      <c r="FJ18" s="5">
        <f t="shared" si="78"/>
        <v>244.44924999999998</v>
      </c>
      <c r="FK18" s="5">
        <f t="shared" si="79"/>
        <v>244.44924999999998</v>
      </c>
      <c r="FL18" s="35">
        <f t="shared" si="80"/>
        <v>138.512585</v>
      </c>
      <c r="FM18" s="35">
        <f t="shared" si="136"/>
        <v>1.439215</v>
      </c>
      <c r="FP18" s="5">
        <f t="shared" si="81"/>
        <v>688.424435</v>
      </c>
      <c r="FQ18" s="5">
        <f t="shared" si="82"/>
        <v>688.424435</v>
      </c>
      <c r="FR18" s="35">
        <f t="shared" si="83"/>
        <v>390.0828007</v>
      </c>
      <c r="FS18" s="35">
        <f t="shared" si="138"/>
        <v>4.0531553</v>
      </c>
    </row>
    <row r="19" spans="1:175" ht="12.75">
      <c r="A19" s="36">
        <v>45748</v>
      </c>
      <c r="C19" s="77">
        <f>'2019C'!C19</f>
        <v>5660000</v>
      </c>
      <c r="D19" s="77">
        <f>'2019C'!D19</f>
        <v>922450</v>
      </c>
      <c r="E19" s="34">
        <f t="shared" si="84"/>
        <v>6582450</v>
      </c>
      <c r="F19" s="77">
        <f>'2019C'!F19</f>
        <v>522689</v>
      </c>
      <c r="G19" s="77">
        <f>'2019C'!G19</f>
        <v>5431</v>
      </c>
      <c r="I19" s="46">
        <f>O19+U19+AG19+AM19+AS19+AA19+AY19+BE19+BK19+BQ19+BW19+CC19+CI19+CO19+CU19+DA19+DG19+DM19+DS19+DY19+EE19+EK19+EQ19+EW19+FC19+FI19+FO19</f>
        <v>1263487.46</v>
      </c>
      <c r="J19" s="35">
        <f t="shared" si="0"/>
        <v>205919.43594999998</v>
      </c>
      <c r="K19" s="35">
        <f t="shared" si="1"/>
        <v>1469406.89595</v>
      </c>
      <c r="L19" s="35">
        <f t="shared" si="2"/>
        <v>116680.38815900001</v>
      </c>
      <c r="M19" s="35">
        <f t="shared" si="2"/>
        <v>1212.3675610000003</v>
      </c>
      <c r="N19"/>
      <c r="O19" s="5">
        <f t="shared" si="85"/>
        <v>264897.62200000003</v>
      </c>
      <c r="P19" s="5">
        <f t="shared" si="3"/>
        <v>43172.228165</v>
      </c>
      <c r="Q19" s="5">
        <f t="shared" si="4"/>
        <v>308069.850165</v>
      </c>
      <c r="R19" s="35">
        <f t="shared" si="5"/>
        <v>24462.7337713</v>
      </c>
      <c r="S19" s="35">
        <f t="shared" si="86"/>
        <v>254.1800327</v>
      </c>
      <c r="T19"/>
      <c r="U19" s="5">
        <f t="shared" si="87"/>
        <v>36867.542</v>
      </c>
      <c r="V19" s="5">
        <f t="shared" si="6"/>
        <v>6008.562565</v>
      </c>
      <c r="W19" s="35">
        <f t="shared" si="7"/>
        <v>42876.104565</v>
      </c>
      <c r="X19" s="35">
        <f t="shared" si="8"/>
        <v>3404.6393393</v>
      </c>
      <c r="Y19" s="35">
        <f t="shared" si="88"/>
        <v>35.3759047</v>
      </c>
      <c r="Z19" s="35"/>
      <c r="AA19" s="5">
        <f t="shared" si="89"/>
        <v>5297.76</v>
      </c>
      <c r="AB19" s="5">
        <f t="shared" si="9"/>
        <v>863.4132</v>
      </c>
      <c r="AC19" s="5">
        <f t="shared" si="10"/>
        <v>6161.1732</v>
      </c>
      <c r="AD19" s="35">
        <f t="shared" si="11"/>
        <v>489.236904</v>
      </c>
      <c r="AE19" s="35">
        <f t="shared" si="90"/>
        <v>5.083416</v>
      </c>
      <c r="AF19"/>
      <c r="AG19" s="5">
        <f t="shared" si="91"/>
        <v>31175.846</v>
      </c>
      <c r="AH19" s="5">
        <f t="shared" si="12"/>
        <v>5080.946845</v>
      </c>
      <c r="AI19" s="5">
        <f t="shared" si="13"/>
        <v>36256.792845</v>
      </c>
      <c r="AJ19" s="35">
        <f t="shared" si="14"/>
        <v>2879.0232809</v>
      </c>
      <c r="AK19" s="35">
        <f t="shared" si="92"/>
        <v>29.9144911</v>
      </c>
      <c r="AL19"/>
      <c r="AM19" s="5">
        <f t="shared" si="93"/>
        <v>13851.717999999999</v>
      </c>
      <c r="AN19" s="5">
        <f t="shared" si="15"/>
        <v>2257.511885</v>
      </c>
      <c r="AO19" s="5">
        <f t="shared" si="16"/>
        <v>16109.229884999999</v>
      </c>
      <c r="AP19" s="35">
        <f t="shared" si="17"/>
        <v>1279.1767897</v>
      </c>
      <c r="AQ19" s="35">
        <f t="shared" si="94"/>
        <v>13.2912863</v>
      </c>
      <c r="AR19"/>
      <c r="AS19" s="5">
        <f t="shared" si="95"/>
        <v>8806.394</v>
      </c>
      <c r="AT19" s="5">
        <f t="shared" si="18"/>
        <v>1435.239955</v>
      </c>
      <c r="AU19" s="5">
        <f t="shared" si="19"/>
        <v>10241.633955000001</v>
      </c>
      <c r="AV19" s="35">
        <f t="shared" si="20"/>
        <v>813.2518151</v>
      </c>
      <c r="AW19" s="35">
        <f t="shared" si="96"/>
        <v>8.4500929</v>
      </c>
      <c r="AX19"/>
      <c r="AY19" s="5">
        <f t="shared" si="97"/>
        <v>23763.51</v>
      </c>
      <c r="AZ19" s="5">
        <f t="shared" si="21"/>
        <v>3872.906325</v>
      </c>
      <c r="BA19" s="5">
        <f t="shared" si="22"/>
        <v>27636.416325</v>
      </c>
      <c r="BB19" s="35">
        <f t="shared" si="23"/>
        <v>2194.5097665</v>
      </c>
      <c r="BC19" s="35">
        <f t="shared" si="98"/>
        <v>22.8020535</v>
      </c>
      <c r="BD19"/>
      <c r="BE19" s="5">
        <f t="shared" si="99"/>
        <v>4.528</v>
      </c>
      <c r="BF19" s="5">
        <f t="shared" si="24"/>
        <v>0.73796</v>
      </c>
      <c r="BG19" s="5">
        <f t="shared" si="25"/>
        <v>5.26596</v>
      </c>
      <c r="BH19" s="35">
        <f t="shared" si="26"/>
        <v>0.4181512</v>
      </c>
      <c r="BI19" s="35">
        <f t="shared" si="100"/>
        <v>0.0043448</v>
      </c>
      <c r="BJ19"/>
      <c r="BK19" s="5">
        <f t="shared" si="101"/>
        <v>14700.717999999999</v>
      </c>
      <c r="BL19" s="5">
        <f t="shared" si="27"/>
        <v>2395.8793849999997</v>
      </c>
      <c r="BM19" s="35">
        <f t="shared" si="28"/>
        <v>17096.597384999997</v>
      </c>
      <c r="BN19" s="35">
        <f t="shared" si="29"/>
        <v>1357.5801397</v>
      </c>
      <c r="BO19" s="35">
        <f t="shared" si="102"/>
        <v>14.1059363</v>
      </c>
      <c r="BP19"/>
      <c r="BQ19" s="5">
        <f t="shared" si="103"/>
        <v>27059.894</v>
      </c>
      <c r="BR19" s="5">
        <f t="shared" si="30"/>
        <v>4410.141205</v>
      </c>
      <c r="BS19" s="5">
        <f t="shared" si="31"/>
        <v>31470.035205</v>
      </c>
      <c r="BT19" s="35">
        <f t="shared" si="32"/>
        <v>2498.9238401000002</v>
      </c>
      <c r="BU19" s="35">
        <f t="shared" si="104"/>
        <v>25.9650679</v>
      </c>
      <c r="BV19"/>
      <c r="BW19" s="5">
        <f t="shared" si="105"/>
        <v>70435.304</v>
      </c>
      <c r="BX19" s="5">
        <f t="shared" si="33"/>
        <v>11479.33678</v>
      </c>
      <c r="BY19" s="5">
        <f t="shared" si="34"/>
        <v>81914.64078</v>
      </c>
      <c r="BZ19" s="35">
        <f t="shared" si="35"/>
        <v>6504.5509916</v>
      </c>
      <c r="CA19" s="35">
        <f t="shared" si="106"/>
        <v>67.5855364</v>
      </c>
      <c r="CB19"/>
      <c r="CC19" s="5">
        <f t="shared" si="107"/>
        <v>7164.994</v>
      </c>
      <c r="CD19" s="5">
        <f t="shared" si="36"/>
        <v>1167.729455</v>
      </c>
      <c r="CE19" s="5">
        <f t="shared" si="37"/>
        <v>8332.723455</v>
      </c>
      <c r="CF19" s="35">
        <f t="shared" si="38"/>
        <v>661.6720051</v>
      </c>
      <c r="CG19" s="35">
        <f t="shared" si="108"/>
        <v>6.8751029</v>
      </c>
      <c r="CH19"/>
      <c r="CI19" s="5">
        <f t="shared" si="109"/>
        <v>895.412</v>
      </c>
      <c r="CJ19" s="5">
        <f t="shared" si="39"/>
        <v>145.93159</v>
      </c>
      <c r="CK19" s="5">
        <f t="shared" si="40"/>
        <v>1041.34359</v>
      </c>
      <c r="CL19" s="35">
        <f t="shared" si="41"/>
        <v>82.6893998</v>
      </c>
      <c r="CM19" s="35">
        <f t="shared" si="110"/>
        <v>0.8591842</v>
      </c>
      <c r="CN19"/>
      <c r="CO19" s="5">
        <f t="shared" si="111"/>
        <v>808.8140000000001</v>
      </c>
      <c r="CP19" s="5">
        <f t="shared" si="42"/>
        <v>131.818105</v>
      </c>
      <c r="CQ19" s="5">
        <f t="shared" si="43"/>
        <v>940.6321050000001</v>
      </c>
      <c r="CR19" s="35">
        <f t="shared" si="44"/>
        <v>74.6922581</v>
      </c>
      <c r="CS19" s="35">
        <f t="shared" si="112"/>
        <v>0.7760899</v>
      </c>
      <c r="CT19"/>
      <c r="CU19" s="5">
        <f t="shared" si="113"/>
        <v>20110.546</v>
      </c>
      <c r="CV19" s="5">
        <f t="shared" si="45"/>
        <v>3277.557095</v>
      </c>
      <c r="CW19" s="5">
        <f t="shared" si="46"/>
        <v>23388.103095</v>
      </c>
      <c r="CX19" s="35">
        <f t="shared" si="47"/>
        <v>1857.1662859</v>
      </c>
      <c r="CY19" s="35">
        <f t="shared" si="114"/>
        <v>19.296886100000002</v>
      </c>
      <c r="CZ19"/>
      <c r="DA19" s="5">
        <f t="shared" si="115"/>
        <v>1561.0279999999998</v>
      </c>
      <c r="DB19" s="5">
        <f t="shared" si="48"/>
        <v>254.41170999999997</v>
      </c>
      <c r="DC19" s="5">
        <f t="shared" si="49"/>
        <v>1815.4397099999996</v>
      </c>
      <c r="DD19" s="35">
        <f t="shared" si="50"/>
        <v>144.15762619999998</v>
      </c>
      <c r="DE19" s="35">
        <f t="shared" si="116"/>
        <v>1.4978698</v>
      </c>
      <c r="DF19"/>
      <c r="DG19" s="5">
        <f t="shared" si="117"/>
        <v>12347.289999999999</v>
      </c>
      <c r="DH19" s="5">
        <f t="shared" si="51"/>
        <v>2012.3246749999998</v>
      </c>
      <c r="DI19" s="35">
        <f t="shared" si="52"/>
        <v>14359.614674999999</v>
      </c>
      <c r="DJ19" s="35">
        <f t="shared" si="53"/>
        <v>1140.2460535</v>
      </c>
      <c r="DK19" s="35">
        <f t="shared" si="118"/>
        <v>11.847726499999998</v>
      </c>
      <c r="DM19" s="5">
        <f t="shared" si="119"/>
        <v>63754.806000000004</v>
      </c>
      <c r="DN19" s="5">
        <f t="shared" si="54"/>
        <v>10390.569045</v>
      </c>
      <c r="DO19" s="5">
        <f t="shared" si="55"/>
        <v>74145.37504500001</v>
      </c>
      <c r="DP19" s="35">
        <f t="shared" si="56"/>
        <v>5887.621164900001</v>
      </c>
      <c r="DQ19" s="35">
        <f t="shared" si="120"/>
        <v>61.175327100000004</v>
      </c>
      <c r="DS19" s="5">
        <f t="shared" si="121"/>
        <v>5058.342</v>
      </c>
      <c r="DT19" s="5">
        <f t="shared" si="57"/>
        <v>824.393565</v>
      </c>
      <c r="DU19" s="5">
        <f t="shared" si="58"/>
        <v>5882.735565</v>
      </c>
      <c r="DV19" s="35">
        <f t="shared" si="59"/>
        <v>467.1271593</v>
      </c>
      <c r="DW19" s="35">
        <f t="shared" si="122"/>
        <v>4.8536847</v>
      </c>
      <c r="DY19" s="5">
        <f t="shared" si="123"/>
        <v>13733.424</v>
      </c>
      <c r="DZ19" s="5">
        <f t="shared" si="60"/>
        <v>2238.23268</v>
      </c>
      <c r="EA19" s="5">
        <f t="shared" si="61"/>
        <v>15971.65668</v>
      </c>
      <c r="EB19" s="35">
        <f t="shared" si="62"/>
        <v>1268.2525896</v>
      </c>
      <c r="EC19" s="35">
        <f t="shared" si="124"/>
        <v>13.1777784</v>
      </c>
      <c r="EE19" s="5">
        <f t="shared" si="125"/>
        <v>15399.728000000001</v>
      </c>
      <c r="EF19" s="5">
        <f t="shared" si="63"/>
        <v>2509.8019600000002</v>
      </c>
      <c r="EG19" s="35">
        <f t="shared" si="64"/>
        <v>17909.52996</v>
      </c>
      <c r="EH19" s="35">
        <f t="shared" si="65"/>
        <v>1422.1322312000002</v>
      </c>
      <c r="EI19" s="35">
        <f t="shared" si="126"/>
        <v>14.7766648</v>
      </c>
      <c r="EK19" s="5">
        <f t="shared" si="127"/>
        <v>38802.13</v>
      </c>
      <c r="EL19" s="5">
        <f t="shared" si="66"/>
        <v>6323.8559749999995</v>
      </c>
      <c r="EM19" s="35">
        <f t="shared" si="67"/>
        <v>45125.985974999996</v>
      </c>
      <c r="EN19" s="35">
        <f t="shared" si="68"/>
        <v>3583.2944395</v>
      </c>
      <c r="EO19" s="35">
        <f t="shared" si="128"/>
        <v>37.2322205</v>
      </c>
      <c r="EQ19" s="5">
        <f t="shared" si="129"/>
        <v>59615.082</v>
      </c>
      <c r="ER19" s="5">
        <f t="shared" si="69"/>
        <v>9715.889115</v>
      </c>
      <c r="ES19" s="35">
        <f t="shared" si="70"/>
        <v>69330.97111500001</v>
      </c>
      <c r="ET19" s="35">
        <f t="shared" si="71"/>
        <v>5505.3264303000005</v>
      </c>
      <c r="EU19" s="35">
        <f t="shared" si="130"/>
        <v>57.203093700000004</v>
      </c>
      <c r="EW19" s="5">
        <f t="shared" si="131"/>
        <v>282603.234</v>
      </c>
      <c r="EX19" s="5">
        <f t="shared" si="72"/>
        <v>46057.836255</v>
      </c>
      <c r="EY19" s="5">
        <f t="shared" si="73"/>
        <v>328661.070255</v>
      </c>
      <c r="EZ19" s="35">
        <f t="shared" si="74"/>
        <v>26097.8095011</v>
      </c>
      <c r="FA19" s="35">
        <f t="shared" si="132"/>
        <v>271.1692869</v>
      </c>
      <c r="FC19" s="5">
        <f t="shared" si="133"/>
        <v>239047.83599999998</v>
      </c>
      <c r="FD19" s="5">
        <f t="shared" si="75"/>
        <v>38959.306769999996</v>
      </c>
      <c r="FE19" s="5">
        <f t="shared" si="76"/>
        <v>278007.14277</v>
      </c>
      <c r="FF19" s="35">
        <f t="shared" si="77"/>
        <v>22075.560839399997</v>
      </c>
      <c r="FG19" s="35">
        <f t="shared" si="134"/>
        <v>229.37611259999997</v>
      </c>
      <c r="FI19" s="5">
        <f t="shared" si="135"/>
        <v>1499.8999999999999</v>
      </c>
      <c r="FJ19" s="5">
        <f t="shared" si="78"/>
        <v>244.44924999999998</v>
      </c>
      <c r="FK19" s="5">
        <f t="shared" si="79"/>
        <v>1744.3492499999998</v>
      </c>
      <c r="FL19" s="35">
        <f t="shared" si="80"/>
        <v>138.512585</v>
      </c>
      <c r="FM19" s="35">
        <f t="shared" si="136"/>
        <v>1.439215</v>
      </c>
      <c r="FO19" s="5">
        <f t="shared" si="137"/>
        <v>4224.058</v>
      </c>
      <c r="FP19" s="5">
        <f t="shared" si="81"/>
        <v>688.424435</v>
      </c>
      <c r="FQ19" s="5">
        <f t="shared" si="82"/>
        <v>4912.482435</v>
      </c>
      <c r="FR19" s="35">
        <f t="shared" si="83"/>
        <v>390.0828007</v>
      </c>
      <c r="FS19" s="35">
        <f t="shared" si="138"/>
        <v>4.0531553</v>
      </c>
    </row>
    <row r="20" spans="1:175" ht="12.75">
      <c r="A20" s="36">
        <v>45931</v>
      </c>
      <c r="C20" s="77">
        <f>'2019C'!C20</f>
        <v>0</v>
      </c>
      <c r="D20" s="77">
        <f>'2019C'!D20</f>
        <v>809250</v>
      </c>
      <c r="E20" s="34">
        <f t="shared" si="84"/>
        <v>809250</v>
      </c>
      <c r="F20" s="77">
        <f>'2019C'!F20</f>
        <v>522689</v>
      </c>
      <c r="G20" s="77">
        <f>'2019C'!G20</f>
        <v>5431</v>
      </c>
      <c r="I20" s="46"/>
      <c r="J20" s="35">
        <f t="shared" si="0"/>
        <v>180649.68675</v>
      </c>
      <c r="K20" s="35">
        <f t="shared" si="1"/>
        <v>180649.68675</v>
      </c>
      <c r="L20" s="35">
        <f t="shared" si="2"/>
        <v>116680.38815900001</v>
      </c>
      <c r="M20" s="35">
        <f t="shared" si="2"/>
        <v>1212.3675610000003</v>
      </c>
      <c r="N20"/>
      <c r="P20" s="5">
        <f t="shared" si="3"/>
        <v>37874.275725</v>
      </c>
      <c r="Q20" s="5">
        <f t="shared" si="4"/>
        <v>37874.275725</v>
      </c>
      <c r="R20" s="35">
        <f t="shared" si="5"/>
        <v>24462.7337713</v>
      </c>
      <c r="S20" s="35">
        <f t="shared" si="86"/>
        <v>254.1800327</v>
      </c>
      <c r="T20"/>
      <c r="V20" s="5">
        <f t="shared" si="6"/>
        <v>5271.211725</v>
      </c>
      <c r="W20" s="35">
        <f t="shared" si="7"/>
        <v>5271.211725</v>
      </c>
      <c r="X20" s="35">
        <f t="shared" si="8"/>
        <v>3404.6393393</v>
      </c>
      <c r="Y20" s="35">
        <f t="shared" si="88"/>
        <v>35.3759047</v>
      </c>
      <c r="Z20" s="35"/>
      <c r="AB20" s="5">
        <f t="shared" si="9"/>
        <v>757.458</v>
      </c>
      <c r="AC20" s="5">
        <f t="shared" si="10"/>
        <v>757.458</v>
      </c>
      <c r="AD20" s="35">
        <f t="shared" si="11"/>
        <v>489.236904</v>
      </c>
      <c r="AE20" s="35">
        <f t="shared" si="90"/>
        <v>5.083416</v>
      </c>
      <c r="AF20"/>
      <c r="AH20" s="5">
        <f t="shared" si="12"/>
        <v>4457.429925</v>
      </c>
      <c r="AI20" s="5">
        <f t="shared" si="13"/>
        <v>4457.429925</v>
      </c>
      <c r="AJ20" s="35">
        <f t="shared" si="14"/>
        <v>2879.0232809</v>
      </c>
      <c r="AK20" s="35">
        <f t="shared" si="92"/>
        <v>29.9144911</v>
      </c>
      <c r="AL20"/>
      <c r="AN20" s="5">
        <f t="shared" si="15"/>
        <v>1980.477525</v>
      </c>
      <c r="AO20" s="5">
        <f t="shared" si="16"/>
        <v>1980.477525</v>
      </c>
      <c r="AP20" s="35">
        <f t="shared" si="17"/>
        <v>1279.1767897</v>
      </c>
      <c r="AQ20" s="35">
        <f t="shared" si="94"/>
        <v>13.2912863</v>
      </c>
      <c r="AR20"/>
      <c r="AT20" s="5">
        <f t="shared" si="18"/>
        <v>1259.112075</v>
      </c>
      <c r="AU20" s="5">
        <f t="shared" si="19"/>
        <v>1259.112075</v>
      </c>
      <c r="AV20" s="35">
        <f t="shared" si="20"/>
        <v>813.2518151</v>
      </c>
      <c r="AW20" s="35">
        <f t="shared" si="96"/>
        <v>8.4500929</v>
      </c>
      <c r="AX20"/>
      <c r="AZ20" s="5">
        <f t="shared" si="21"/>
        <v>3397.636125</v>
      </c>
      <c r="BA20" s="5">
        <f t="shared" si="22"/>
        <v>3397.636125</v>
      </c>
      <c r="BB20" s="35">
        <f t="shared" si="23"/>
        <v>2194.5097665</v>
      </c>
      <c r="BC20" s="35">
        <f t="shared" si="98"/>
        <v>22.8020535</v>
      </c>
      <c r="BD20"/>
      <c r="BF20" s="5">
        <f t="shared" si="24"/>
        <v>0.6474</v>
      </c>
      <c r="BG20" s="5">
        <f t="shared" si="25"/>
        <v>0.6474</v>
      </c>
      <c r="BH20" s="35">
        <f t="shared" si="26"/>
        <v>0.4181512</v>
      </c>
      <c r="BI20" s="35">
        <f t="shared" si="100"/>
        <v>0.0043448</v>
      </c>
      <c r="BJ20"/>
      <c r="BL20" s="5">
        <f t="shared" si="27"/>
        <v>2101.865025</v>
      </c>
      <c r="BM20" s="35">
        <f t="shared" si="28"/>
        <v>2101.865025</v>
      </c>
      <c r="BN20" s="35">
        <f t="shared" si="29"/>
        <v>1357.5801397</v>
      </c>
      <c r="BO20" s="35">
        <f t="shared" si="102"/>
        <v>14.1059363</v>
      </c>
      <c r="BP20"/>
      <c r="BR20" s="5">
        <f t="shared" si="30"/>
        <v>3868.943325</v>
      </c>
      <c r="BS20" s="5">
        <f t="shared" si="31"/>
        <v>3868.943325</v>
      </c>
      <c r="BT20" s="35">
        <f t="shared" si="32"/>
        <v>2498.9238401000002</v>
      </c>
      <c r="BU20" s="35">
        <f t="shared" si="104"/>
        <v>25.9650679</v>
      </c>
      <c r="BV20"/>
      <c r="BX20" s="5">
        <f t="shared" si="33"/>
        <v>10070.6307</v>
      </c>
      <c r="BY20" s="5">
        <f t="shared" si="34"/>
        <v>10070.6307</v>
      </c>
      <c r="BZ20" s="35">
        <f t="shared" si="35"/>
        <v>6504.5509916</v>
      </c>
      <c r="CA20" s="35">
        <f t="shared" si="106"/>
        <v>67.5855364</v>
      </c>
      <c r="CB20"/>
      <c r="CD20" s="5">
        <f t="shared" si="36"/>
        <v>1024.4295749999999</v>
      </c>
      <c r="CE20" s="5">
        <f t="shared" si="37"/>
        <v>1024.4295749999999</v>
      </c>
      <c r="CF20" s="35">
        <f t="shared" si="38"/>
        <v>661.6720051</v>
      </c>
      <c r="CG20" s="35">
        <f t="shared" si="108"/>
        <v>6.8751029</v>
      </c>
      <c r="CH20"/>
      <c r="CJ20" s="5">
        <f t="shared" si="39"/>
        <v>128.02335</v>
      </c>
      <c r="CK20" s="5">
        <f t="shared" si="40"/>
        <v>128.02335</v>
      </c>
      <c r="CL20" s="35">
        <f t="shared" si="41"/>
        <v>82.6893998</v>
      </c>
      <c r="CM20" s="35">
        <f t="shared" si="110"/>
        <v>0.8591842</v>
      </c>
      <c r="CN20"/>
      <c r="CP20" s="5">
        <f t="shared" si="42"/>
        <v>115.641825</v>
      </c>
      <c r="CQ20" s="5">
        <f t="shared" si="43"/>
        <v>115.641825</v>
      </c>
      <c r="CR20" s="35">
        <f t="shared" si="44"/>
        <v>74.6922581</v>
      </c>
      <c r="CS20" s="35">
        <f t="shared" si="112"/>
        <v>0.7760899</v>
      </c>
      <c r="CT20"/>
      <c r="CV20" s="5">
        <f t="shared" si="45"/>
        <v>2875.346175</v>
      </c>
      <c r="CW20" s="5">
        <f t="shared" si="46"/>
        <v>2875.346175</v>
      </c>
      <c r="CX20" s="35">
        <f t="shared" si="47"/>
        <v>1857.1662859</v>
      </c>
      <c r="CY20" s="35">
        <f t="shared" si="114"/>
        <v>19.296886100000002</v>
      </c>
      <c r="CZ20"/>
      <c r="DB20" s="5">
        <f t="shared" si="48"/>
        <v>223.19115</v>
      </c>
      <c r="DC20" s="5">
        <f t="shared" si="49"/>
        <v>223.19115</v>
      </c>
      <c r="DD20" s="35">
        <f t="shared" si="50"/>
        <v>144.15762619999998</v>
      </c>
      <c r="DE20" s="35">
        <f t="shared" si="116"/>
        <v>1.4978698</v>
      </c>
      <c r="DF20"/>
      <c r="DH20" s="5">
        <f t="shared" si="51"/>
        <v>1765.3788749999999</v>
      </c>
      <c r="DI20" s="35">
        <f t="shared" si="52"/>
        <v>1765.3788749999999</v>
      </c>
      <c r="DJ20" s="35">
        <f t="shared" si="53"/>
        <v>1140.2460535</v>
      </c>
      <c r="DK20" s="35">
        <f t="shared" si="118"/>
        <v>11.847726499999998</v>
      </c>
      <c r="DN20" s="5">
        <f t="shared" si="54"/>
        <v>9115.472925</v>
      </c>
      <c r="DO20" s="5">
        <f t="shared" si="55"/>
        <v>9115.472925</v>
      </c>
      <c r="DP20" s="35">
        <f t="shared" si="56"/>
        <v>5887.621164900001</v>
      </c>
      <c r="DQ20" s="35">
        <f t="shared" si="120"/>
        <v>61.175327100000004</v>
      </c>
      <c r="DT20" s="5">
        <f t="shared" si="57"/>
        <v>723.226725</v>
      </c>
      <c r="DU20" s="5">
        <f t="shared" si="58"/>
        <v>723.226725</v>
      </c>
      <c r="DV20" s="35">
        <f t="shared" si="59"/>
        <v>467.1271593</v>
      </c>
      <c r="DW20" s="35">
        <f t="shared" si="122"/>
        <v>4.8536847</v>
      </c>
      <c r="DZ20" s="5">
        <f t="shared" si="60"/>
        <v>1963.5642</v>
      </c>
      <c r="EA20" s="5">
        <f t="shared" si="61"/>
        <v>1963.5642</v>
      </c>
      <c r="EB20" s="35">
        <f t="shared" si="62"/>
        <v>1268.2525896</v>
      </c>
      <c r="EC20" s="35">
        <f t="shared" si="124"/>
        <v>13.1777784</v>
      </c>
      <c r="EF20" s="5">
        <f t="shared" si="63"/>
        <v>2201.8074</v>
      </c>
      <c r="EG20" s="35">
        <f t="shared" si="64"/>
        <v>2201.8074</v>
      </c>
      <c r="EH20" s="35">
        <f t="shared" si="65"/>
        <v>1422.1322312000002</v>
      </c>
      <c r="EI20" s="35">
        <f t="shared" si="126"/>
        <v>14.7766648</v>
      </c>
      <c r="EL20" s="5">
        <f t="shared" si="66"/>
        <v>5547.813375</v>
      </c>
      <c r="EM20" s="35">
        <f t="shared" si="67"/>
        <v>5547.813375</v>
      </c>
      <c r="EN20" s="35">
        <f t="shared" si="68"/>
        <v>3583.2944395</v>
      </c>
      <c r="EO20" s="35">
        <f t="shared" si="128"/>
        <v>37.2322205</v>
      </c>
      <c r="ER20" s="5">
        <f t="shared" si="69"/>
        <v>8523.587475</v>
      </c>
      <c r="ES20" s="35">
        <f t="shared" si="70"/>
        <v>8523.587475</v>
      </c>
      <c r="ET20" s="35">
        <f t="shared" si="71"/>
        <v>5505.3264303000005</v>
      </c>
      <c r="EU20" s="35">
        <f t="shared" si="130"/>
        <v>57.203093700000004</v>
      </c>
      <c r="EX20" s="5">
        <f t="shared" si="72"/>
        <v>40405.771575</v>
      </c>
      <c r="EY20" s="5">
        <f t="shared" si="73"/>
        <v>40405.771575</v>
      </c>
      <c r="EZ20" s="35">
        <f t="shared" si="74"/>
        <v>26097.8095011</v>
      </c>
      <c r="FA20" s="35">
        <f t="shared" si="132"/>
        <v>271.1692869</v>
      </c>
      <c r="FD20" s="5">
        <f t="shared" si="75"/>
        <v>34178.35005</v>
      </c>
      <c r="FE20" s="5">
        <f t="shared" si="76"/>
        <v>34178.35005</v>
      </c>
      <c r="FF20" s="35">
        <f t="shared" si="77"/>
        <v>22075.560839399997</v>
      </c>
      <c r="FG20" s="35">
        <f t="shared" si="134"/>
        <v>229.37611259999997</v>
      </c>
      <c r="FJ20" s="5">
        <f t="shared" si="78"/>
        <v>214.45125</v>
      </c>
      <c r="FK20" s="5">
        <f t="shared" si="79"/>
        <v>214.45125</v>
      </c>
      <c r="FL20" s="35">
        <f t="shared" si="80"/>
        <v>138.512585</v>
      </c>
      <c r="FM20" s="35">
        <f t="shared" si="136"/>
        <v>1.439215</v>
      </c>
      <c r="FP20" s="5">
        <f t="shared" si="81"/>
        <v>603.943275</v>
      </c>
      <c r="FQ20" s="5">
        <f t="shared" si="82"/>
        <v>603.943275</v>
      </c>
      <c r="FR20" s="35">
        <f t="shared" si="83"/>
        <v>390.0828007</v>
      </c>
      <c r="FS20" s="35">
        <f t="shared" si="138"/>
        <v>4.0531553</v>
      </c>
    </row>
    <row r="21" spans="1:175" ht="12.75">
      <c r="A21" s="36">
        <v>46113</v>
      </c>
      <c r="C21" s="77">
        <f>'2019C'!C21</f>
        <v>5875000</v>
      </c>
      <c r="D21" s="77">
        <f>'2019C'!D21</f>
        <v>809250</v>
      </c>
      <c r="E21" s="34">
        <f t="shared" si="84"/>
        <v>6684250</v>
      </c>
      <c r="F21" s="77">
        <f>'2019C'!F21</f>
        <v>522689</v>
      </c>
      <c r="G21" s="77">
        <f>'2019C'!G21</f>
        <v>5431</v>
      </c>
      <c r="I21" s="46">
        <f>O21+U21+AG21+AM21+AS21+AA21+AY21+BE21+BK21+BQ21+BW21+CC21+CI21+CO21+CU21+DA21+DG21+DM21+DS21+DY21+EE21+EK21+EQ21+EW21+FC21+FI21+FO21</f>
        <v>1311482.1249999998</v>
      </c>
      <c r="J21" s="35">
        <f t="shared" si="0"/>
        <v>180649.68675</v>
      </c>
      <c r="K21" s="35">
        <f t="shared" si="1"/>
        <v>1492131.8117499999</v>
      </c>
      <c r="L21" s="35">
        <f t="shared" si="2"/>
        <v>116680.38815900001</v>
      </c>
      <c r="M21" s="35">
        <f t="shared" si="2"/>
        <v>1212.3675610000003</v>
      </c>
      <c r="N21"/>
      <c r="O21" s="5">
        <f t="shared" si="85"/>
        <v>274959.9875</v>
      </c>
      <c r="P21" s="5">
        <f t="shared" si="3"/>
        <v>37874.275725</v>
      </c>
      <c r="Q21" s="5">
        <f t="shared" si="4"/>
        <v>312834.263225</v>
      </c>
      <c r="R21" s="35">
        <f t="shared" si="5"/>
        <v>24462.7337713</v>
      </c>
      <c r="S21" s="35">
        <f t="shared" si="86"/>
        <v>254.1800327</v>
      </c>
      <c r="T21"/>
      <c r="U21" s="5">
        <f t="shared" si="87"/>
        <v>38267.987499999996</v>
      </c>
      <c r="V21" s="5">
        <f t="shared" si="6"/>
        <v>5271.211725</v>
      </c>
      <c r="W21" s="35">
        <f t="shared" si="7"/>
        <v>43539.199225</v>
      </c>
      <c r="X21" s="35">
        <f t="shared" si="8"/>
        <v>3404.6393393</v>
      </c>
      <c r="Y21" s="35">
        <f t="shared" si="88"/>
        <v>35.3759047</v>
      </c>
      <c r="Z21" s="35"/>
      <c r="AA21" s="5">
        <f t="shared" si="89"/>
        <v>5499</v>
      </c>
      <c r="AB21" s="5">
        <f t="shared" si="9"/>
        <v>757.458</v>
      </c>
      <c r="AC21" s="5">
        <f t="shared" si="10"/>
        <v>6256.458</v>
      </c>
      <c r="AD21" s="35">
        <f t="shared" si="11"/>
        <v>489.236904</v>
      </c>
      <c r="AE21" s="35">
        <f t="shared" si="90"/>
        <v>5.083416</v>
      </c>
      <c r="AF21"/>
      <c r="AG21" s="5">
        <f t="shared" si="91"/>
        <v>32360.0875</v>
      </c>
      <c r="AH21" s="5">
        <f t="shared" si="12"/>
        <v>4457.429925</v>
      </c>
      <c r="AI21" s="5">
        <f t="shared" si="13"/>
        <v>36817.517425</v>
      </c>
      <c r="AJ21" s="35">
        <f t="shared" si="14"/>
        <v>2879.0232809</v>
      </c>
      <c r="AK21" s="35">
        <f t="shared" si="92"/>
        <v>29.9144911</v>
      </c>
      <c r="AL21"/>
      <c r="AM21" s="5">
        <f t="shared" si="93"/>
        <v>14377.887499999999</v>
      </c>
      <c r="AN21" s="5">
        <f t="shared" si="15"/>
        <v>1980.477525</v>
      </c>
      <c r="AO21" s="5">
        <f t="shared" si="16"/>
        <v>16358.365025</v>
      </c>
      <c r="AP21" s="35">
        <f t="shared" si="17"/>
        <v>1279.1767897</v>
      </c>
      <c r="AQ21" s="35">
        <f t="shared" si="94"/>
        <v>13.2912863</v>
      </c>
      <c r="AR21"/>
      <c r="AS21" s="5">
        <f t="shared" si="95"/>
        <v>9140.9125</v>
      </c>
      <c r="AT21" s="5">
        <f t="shared" si="18"/>
        <v>1259.112075</v>
      </c>
      <c r="AU21" s="5">
        <f t="shared" si="19"/>
        <v>10400.024575</v>
      </c>
      <c r="AV21" s="35">
        <f t="shared" si="20"/>
        <v>813.2518151</v>
      </c>
      <c r="AW21" s="35">
        <f t="shared" si="96"/>
        <v>8.4500929</v>
      </c>
      <c r="AX21"/>
      <c r="AY21" s="5">
        <f t="shared" si="97"/>
        <v>24666.1875</v>
      </c>
      <c r="AZ21" s="5">
        <f t="shared" si="21"/>
        <v>3397.636125</v>
      </c>
      <c r="BA21" s="5">
        <f t="shared" si="22"/>
        <v>28063.823625</v>
      </c>
      <c r="BB21" s="35">
        <f t="shared" si="23"/>
        <v>2194.5097665</v>
      </c>
      <c r="BC21" s="35">
        <f t="shared" si="98"/>
        <v>22.8020535</v>
      </c>
      <c r="BD21"/>
      <c r="BE21" s="5">
        <f t="shared" si="99"/>
        <v>4.7</v>
      </c>
      <c r="BF21" s="5">
        <f t="shared" si="24"/>
        <v>0.6474</v>
      </c>
      <c r="BG21" s="5">
        <f t="shared" si="25"/>
        <v>5.3474</v>
      </c>
      <c r="BH21" s="35">
        <f t="shared" si="26"/>
        <v>0.4181512</v>
      </c>
      <c r="BI21" s="35">
        <f t="shared" si="100"/>
        <v>0.0043448</v>
      </c>
      <c r="BJ21"/>
      <c r="BK21" s="5">
        <f t="shared" si="101"/>
        <v>15259.137499999999</v>
      </c>
      <c r="BL21" s="5">
        <f t="shared" si="27"/>
        <v>2101.865025</v>
      </c>
      <c r="BM21" s="35">
        <f t="shared" si="28"/>
        <v>17361.002525</v>
      </c>
      <c r="BN21" s="35">
        <f t="shared" si="29"/>
        <v>1357.5801397</v>
      </c>
      <c r="BO21" s="35">
        <f t="shared" si="102"/>
        <v>14.1059363</v>
      </c>
      <c r="BP21"/>
      <c r="BQ21" s="5">
        <f t="shared" si="103"/>
        <v>28087.787500000002</v>
      </c>
      <c r="BR21" s="5">
        <f t="shared" si="30"/>
        <v>3868.943325</v>
      </c>
      <c r="BS21" s="5">
        <f t="shared" si="31"/>
        <v>31956.730825000002</v>
      </c>
      <c r="BT21" s="35">
        <f t="shared" si="32"/>
        <v>2498.9238401000002</v>
      </c>
      <c r="BU21" s="35">
        <f t="shared" si="104"/>
        <v>25.9650679</v>
      </c>
      <c r="BV21"/>
      <c r="BW21" s="5">
        <f t="shared" si="105"/>
        <v>73110.84999999999</v>
      </c>
      <c r="BX21" s="5">
        <f t="shared" si="33"/>
        <v>10070.6307</v>
      </c>
      <c r="BY21" s="5">
        <f t="shared" si="34"/>
        <v>83181.48069999999</v>
      </c>
      <c r="BZ21" s="35">
        <f t="shared" si="35"/>
        <v>6504.5509916</v>
      </c>
      <c r="CA21" s="35">
        <f t="shared" si="106"/>
        <v>67.5855364</v>
      </c>
      <c r="CB21"/>
      <c r="CC21" s="5">
        <f t="shared" si="107"/>
        <v>7437.162499999999</v>
      </c>
      <c r="CD21" s="5">
        <f t="shared" si="36"/>
        <v>1024.4295749999999</v>
      </c>
      <c r="CE21" s="5">
        <f t="shared" si="37"/>
        <v>8461.592074999999</v>
      </c>
      <c r="CF21" s="35">
        <f t="shared" si="38"/>
        <v>661.6720051</v>
      </c>
      <c r="CG21" s="35">
        <f t="shared" si="108"/>
        <v>6.8751029</v>
      </c>
      <c r="CH21"/>
      <c r="CI21" s="5">
        <f t="shared" si="109"/>
        <v>929.425</v>
      </c>
      <c r="CJ21" s="5">
        <f t="shared" si="39"/>
        <v>128.02335</v>
      </c>
      <c r="CK21" s="5">
        <f t="shared" si="40"/>
        <v>1057.44835</v>
      </c>
      <c r="CL21" s="35">
        <f t="shared" si="41"/>
        <v>82.6893998</v>
      </c>
      <c r="CM21" s="35">
        <f t="shared" si="110"/>
        <v>0.8591842</v>
      </c>
      <c r="CN21"/>
      <c r="CO21" s="5">
        <f t="shared" si="111"/>
        <v>839.5375</v>
      </c>
      <c r="CP21" s="5">
        <f t="shared" si="42"/>
        <v>115.641825</v>
      </c>
      <c r="CQ21" s="5">
        <f t="shared" si="43"/>
        <v>955.1793250000001</v>
      </c>
      <c r="CR21" s="35">
        <f t="shared" si="44"/>
        <v>74.6922581</v>
      </c>
      <c r="CS21" s="35">
        <f t="shared" si="112"/>
        <v>0.7760899</v>
      </c>
      <c r="CT21"/>
      <c r="CU21" s="5">
        <f t="shared" si="113"/>
        <v>20874.4625</v>
      </c>
      <c r="CV21" s="5">
        <f t="shared" si="45"/>
        <v>2875.346175</v>
      </c>
      <c r="CW21" s="5">
        <f t="shared" si="46"/>
        <v>23749.808675</v>
      </c>
      <c r="CX21" s="35">
        <f t="shared" si="47"/>
        <v>1857.1662859</v>
      </c>
      <c r="CY21" s="35">
        <f t="shared" si="114"/>
        <v>19.296886100000002</v>
      </c>
      <c r="CZ21"/>
      <c r="DA21" s="5">
        <f t="shared" si="115"/>
        <v>1620.3249999999998</v>
      </c>
      <c r="DB21" s="5">
        <f t="shared" si="48"/>
        <v>223.19115</v>
      </c>
      <c r="DC21" s="5">
        <f t="shared" si="49"/>
        <v>1843.51615</v>
      </c>
      <c r="DD21" s="35">
        <f t="shared" si="50"/>
        <v>144.15762619999998</v>
      </c>
      <c r="DE21" s="35">
        <f t="shared" si="116"/>
        <v>1.4978698</v>
      </c>
      <c r="DF21"/>
      <c r="DG21" s="5">
        <f t="shared" si="117"/>
        <v>12816.3125</v>
      </c>
      <c r="DH21" s="5">
        <f t="shared" si="51"/>
        <v>1765.3788749999999</v>
      </c>
      <c r="DI21" s="35">
        <f t="shared" si="52"/>
        <v>14581.691375</v>
      </c>
      <c r="DJ21" s="35">
        <f t="shared" si="53"/>
        <v>1140.2460535</v>
      </c>
      <c r="DK21" s="35">
        <f t="shared" si="118"/>
        <v>11.847726499999998</v>
      </c>
      <c r="DM21" s="5">
        <f t="shared" si="119"/>
        <v>66176.58750000001</v>
      </c>
      <c r="DN21" s="5">
        <f t="shared" si="54"/>
        <v>9115.472925</v>
      </c>
      <c r="DO21" s="5">
        <f t="shared" si="55"/>
        <v>75292.060425</v>
      </c>
      <c r="DP21" s="35">
        <f t="shared" si="56"/>
        <v>5887.621164900001</v>
      </c>
      <c r="DQ21" s="35">
        <f t="shared" si="120"/>
        <v>61.175327100000004</v>
      </c>
      <c r="DS21" s="5">
        <f t="shared" si="121"/>
        <v>5250.4875</v>
      </c>
      <c r="DT21" s="5">
        <f t="shared" si="57"/>
        <v>723.226725</v>
      </c>
      <c r="DU21" s="5">
        <f t="shared" si="58"/>
        <v>5973.714225</v>
      </c>
      <c r="DV21" s="35">
        <f t="shared" si="59"/>
        <v>467.1271593</v>
      </c>
      <c r="DW21" s="35">
        <f t="shared" si="122"/>
        <v>4.8536847</v>
      </c>
      <c r="DY21" s="5">
        <f t="shared" si="123"/>
        <v>14255.1</v>
      </c>
      <c r="DZ21" s="5">
        <f t="shared" si="60"/>
        <v>1963.5642</v>
      </c>
      <c r="EA21" s="5">
        <f t="shared" si="61"/>
        <v>16218.664200000001</v>
      </c>
      <c r="EB21" s="35">
        <f t="shared" si="62"/>
        <v>1268.2525896</v>
      </c>
      <c r="EC21" s="35">
        <f t="shared" si="124"/>
        <v>13.1777784</v>
      </c>
      <c r="EE21" s="5">
        <f t="shared" si="125"/>
        <v>15984.7</v>
      </c>
      <c r="EF21" s="5">
        <f t="shared" si="63"/>
        <v>2201.8074</v>
      </c>
      <c r="EG21" s="35">
        <f t="shared" si="64"/>
        <v>18186.507400000002</v>
      </c>
      <c r="EH21" s="35">
        <f t="shared" si="65"/>
        <v>1422.1322312000002</v>
      </c>
      <c r="EI21" s="35">
        <f t="shared" si="126"/>
        <v>14.7766648</v>
      </c>
      <c r="EK21" s="5">
        <f t="shared" si="127"/>
        <v>40276.0625</v>
      </c>
      <c r="EL21" s="5">
        <f t="shared" si="66"/>
        <v>5547.813375</v>
      </c>
      <c r="EM21" s="35">
        <f t="shared" si="67"/>
        <v>45823.875875</v>
      </c>
      <c r="EN21" s="35">
        <f t="shared" si="68"/>
        <v>3583.2944395</v>
      </c>
      <c r="EO21" s="35">
        <f t="shared" si="128"/>
        <v>37.2322205</v>
      </c>
      <c r="EQ21" s="5">
        <f t="shared" si="129"/>
        <v>61879.6125</v>
      </c>
      <c r="ER21" s="5">
        <f t="shared" si="69"/>
        <v>8523.587475</v>
      </c>
      <c r="ES21" s="35">
        <f t="shared" si="70"/>
        <v>70403.199975</v>
      </c>
      <c r="ET21" s="35">
        <f t="shared" si="71"/>
        <v>5505.3264303000005</v>
      </c>
      <c r="EU21" s="35">
        <f t="shared" si="130"/>
        <v>57.203093700000004</v>
      </c>
      <c r="EW21" s="5">
        <f t="shared" si="131"/>
        <v>293338.1625</v>
      </c>
      <c r="EX21" s="5">
        <f t="shared" si="72"/>
        <v>40405.771575</v>
      </c>
      <c r="EY21" s="5">
        <f t="shared" si="73"/>
        <v>333743.934075</v>
      </c>
      <c r="EZ21" s="35">
        <f t="shared" si="74"/>
        <v>26097.8095011</v>
      </c>
      <c r="FA21" s="35">
        <f t="shared" si="132"/>
        <v>271.1692869</v>
      </c>
      <c r="FC21" s="5">
        <f t="shared" si="133"/>
        <v>248128.275</v>
      </c>
      <c r="FD21" s="5">
        <f t="shared" si="75"/>
        <v>34178.35005</v>
      </c>
      <c r="FE21" s="5">
        <f t="shared" si="76"/>
        <v>282306.62505</v>
      </c>
      <c r="FF21" s="35">
        <f t="shared" si="77"/>
        <v>22075.560839399997</v>
      </c>
      <c r="FG21" s="35">
        <f t="shared" si="134"/>
        <v>229.37611259999997</v>
      </c>
      <c r="FI21" s="5">
        <f t="shared" si="135"/>
        <v>1556.875</v>
      </c>
      <c r="FJ21" s="5">
        <f t="shared" si="78"/>
        <v>214.45125</v>
      </c>
      <c r="FK21" s="5">
        <f t="shared" si="79"/>
        <v>1771.32625</v>
      </c>
      <c r="FL21" s="35">
        <f t="shared" si="80"/>
        <v>138.512585</v>
      </c>
      <c r="FM21" s="35">
        <f t="shared" si="136"/>
        <v>1.439215</v>
      </c>
      <c r="FO21" s="5">
        <f t="shared" si="137"/>
        <v>4384.5125</v>
      </c>
      <c r="FP21" s="5">
        <f t="shared" si="81"/>
        <v>603.943275</v>
      </c>
      <c r="FQ21" s="5">
        <f t="shared" si="82"/>
        <v>4988.455774999999</v>
      </c>
      <c r="FR21" s="35">
        <f t="shared" si="83"/>
        <v>390.0828007</v>
      </c>
      <c r="FS21" s="35">
        <f t="shared" si="138"/>
        <v>4.0531553</v>
      </c>
    </row>
    <row r="22" spans="1:175" ht="12.75">
      <c r="A22" s="36">
        <v>46296</v>
      </c>
      <c r="C22" s="77">
        <f>'2019C'!C22</f>
        <v>0</v>
      </c>
      <c r="D22" s="77">
        <f>'2019C'!D22</f>
        <v>662375</v>
      </c>
      <c r="E22" s="34">
        <f t="shared" si="84"/>
        <v>662375</v>
      </c>
      <c r="F22" s="77">
        <f>'2019C'!F22</f>
        <v>522689</v>
      </c>
      <c r="G22" s="77">
        <f>'2019C'!G22</f>
        <v>5431</v>
      </c>
      <c r="I22" s="46"/>
      <c r="J22" s="35">
        <f t="shared" si="0"/>
        <v>147862.633625</v>
      </c>
      <c r="K22" s="35">
        <f t="shared" si="1"/>
        <v>147862.633625</v>
      </c>
      <c r="L22" s="35">
        <f t="shared" si="2"/>
        <v>116680.38815900001</v>
      </c>
      <c r="M22" s="35">
        <f t="shared" si="2"/>
        <v>1212.3675610000003</v>
      </c>
      <c r="N22"/>
      <c r="P22" s="5">
        <f t="shared" si="3"/>
        <v>31000.2760375</v>
      </c>
      <c r="Q22" s="5">
        <f t="shared" si="4"/>
        <v>31000.2760375</v>
      </c>
      <c r="R22" s="35">
        <f t="shared" si="5"/>
        <v>24462.7337713</v>
      </c>
      <c r="S22" s="35">
        <f t="shared" si="86"/>
        <v>254.1800327</v>
      </c>
      <c r="T22"/>
      <c r="V22" s="5">
        <f t="shared" si="6"/>
        <v>4314.5120375</v>
      </c>
      <c r="W22" s="35">
        <f t="shared" si="7"/>
        <v>4314.5120375</v>
      </c>
      <c r="X22" s="35">
        <f t="shared" si="8"/>
        <v>3404.6393393</v>
      </c>
      <c r="Y22" s="35">
        <f t="shared" si="88"/>
        <v>35.3759047</v>
      </c>
      <c r="Z22" s="35"/>
      <c r="AB22" s="5">
        <f t="shared" si="9"/>
        <v>619.983</v>
      </c>
      <c r="AC22" s="5">
        <f t="shared" si="10"/>
        <v>619.983</v>
      </c>
      <c r="AD22" s="35">
        <f t="shared" si="11"/>
        <v>489.236904</v>
      </c>
      <c r="AE22" s="35">
        <f t="shared" si="90"/>
        <v>5.083416</v>
      </c>
      <c r="AF22"/>
      <c r="AH22" s="5">
        <f t="shared" si="12"/>
        <v>3648.4277375</v>
      </c>
      <c r="AI22" s="5">
        <f t="shared" si="13"/>
        <v>3648.4277375</v>
      </c>
      <c r="AJ22" s="35">
        <f t="shared" si="14"/>
        <v>2879.0232809</v>
      </c>
      <c r="AK22" s="35">
        <f t="shared" si="92"/>
        <v>29.9144911</v>
      </c>
      <c r="AL22"/>
      <c r="AN22" s="5">
        <f t="shared" si="15"/>
        <v>1621.0303374999999</v>
      </c>
      <c r="AO22" s="5">
        <f t="shared" si="16"/>
        <v>1621.0303374999999</v>
      </c>
      <c r="AP22" s="35">
        <f t="shared" si="17"/>
        <v>1279.1767897</v>
      </c>
      <c r="AQ22" s="35">
        <f t="shared" si="94"/>
        <v>13.2912863</v>
      </c>
      <c r="AR22"/>
      <c r="AT22" s="5">
        <f t="shared" si="18"/>
        <v>1030.5892625000001</v>
      </c>
      <c r="AU22" s="5">
        <f t="shared" si="19"/>
        <v>1030.5892625000001</v>
      </c>
      <c r="AV22" s="35">
        <f t="shared" si="20"/>
        <v>813.2518151</v>
      </c>
      <c r="AW22" s="35">
        <f t="shared" si="96"/>
        <v>8.4500929</v>
      </c>
      <c r="AX22"/>
      <c r="AZ22" s="5">
        <f t="shared" si="21"/>
        <v>2780.9814375</v>
      </c>
      <c r="BA22" s="5">
        <f t="shared" si="22"/>
        <v>2780.9814375</v>
      </c>
      <c r="BB22" s="35">
        <f t="shared" si="23"/>
        <v>2194.5097665</v>
      </c>
      <c r="BC22" s="35">
        <f t="shared" si="98"/>
        <v>22.8020535</v>
      </c>
      <c r="BD22"/>
      <c r="BF22" s="5">
        <f t="shared" si="24"/>
        <v>0.5298999999999999</v>
      </c>
      <c r="BG22" s="5">
        <f t="shared" si="25"/>
        <v>0.5298999999999999</v>
      </c>
      <c r="BH22" s="35">
        <f t="shared" si="26"/>
        <v>0.4181512</v>
      </c>
      <c r="BI22" s="35">
        <f t="shared" si="100"/>
        <v>0.0043448</v>
      </c>
      <c r="BJ22"/>
      <c r="BL22" s="5">
        <f t="shared" si="27"/>
        <v>1720.3865875</v>
      </c>
      <c r="BM22" s="35">
        <f t="shared" si="28"/>
        <v>1720.3865875</v>
      </c>
      <c r="BN22" s="35">
        <f t="shared" si="29"/>
        <v>1357.5801397</v>
      </c>
      <c r="BO22" s="35">
        <f t="shared" si="102"/>
        <v>14.1059363</v>
      </c>
      <c r="BP22"/>
      <c r="BR22" s="5">
        <f t="shared" si="30"/>
        <v>3166.7486375000003</v>
      </c>
      <c r="BS22" s="5">
        <f t="shared" si="31"/>
        <v>3166.7486375000003</v>
      </c>
      <c r="BT22" s="35">
        <f t="shared" si="32"/>
        <v>2498.9238401000002</v>
      </c>
      <c r="BU22" s="35">
        <f t="shared" si="104"/>
        <v>25.9650679</v>
      </c>
      <c r="BV22"/>
      <c r="BX22" s="5">
        <f t="shared" si="33"/>
        <v>8242.85945</v>
      </c>
      <c r="BY22" s="5">
        <f t="shared" si="34"/>
        <v>8242.85945</v>
      </c>
      <c r="BZ22" s="35">
        <f t="shared" si="35"/>
        <v>6504.5509916</v>
      </c>
      <c r="CA22" s="35">
        <f t="shared" si="106"/>
        <v>67.5855364</v>
      </c>
      <c r="CB22"/>
      <c r="CD22" s="5">
        <f t="shared" si="36"/>
        <v>838.5005124999999</v>
      </c>
      <c r="CE22" s="5">
        <f t="shared" si="37"/>
        <v>838.5005124999999</v>
      </c>
      <c r="CF22" s="35">
        <f t="shared" si="38"/>
        <v>661.6720051</v>
      </c>
      <c r="CG22" s="35">
        <f t="shared" si="108"/>
        <v>6.8751029</v>
      </c>
      <c r="CH22"/>
      <c r="CJ22" s="5">
        <f t="shared" si="39"/>
        <v>104.787725</v>
      </c>
      <c r="CK22" s="5">
        <f t="shared" si="40"/>
        <v>104.787725</v>
      </c>
      <c r="CL22" s="35">
        <f t="shared" si="41"/>
        <v>82.6893998</v>
      </c>
      <c r="CM22" s="35">
        <f t="shared" si="110"/>
        <v>0.8591842</v>
      </c>
      <c r="CN22"/>
      <c r="CP22" s="5">
        <f t="shared" si="42"/>
        <v>94.65338750000001</v>
      </c>
      <c r="CQ22" s="5">
        <f t="shared" si="43"/>
        <v>94.65338750000001</v>
      </c>
      <c r="CR22" s="35">
        <f t="shared" si="44"/>
        <v>74.6922581</v>
      </c>
      <c r="CS22" s="35">
        <f t="shared" si="112"/>
        <v>0.7760899</v>
      </c>
      <c r="CT22"/>
      <c r="CV22" s="5">
        <f t="shared" si="45"/>
        <v>2353.4846125</v>
      </c>
      <c r="CW22" s="5">
        <f t="shared" si="46"/>
        <v>2353.4846125</v>
      </c>
      <c r="CX22" s="35">
        <f t="shared" si="47"/>
        <v>1857.1662859</v>
      </c>
      <c r="CY22" s="35">
        <f t="shared" si="114"/>
        <v>19.296886100000002</v>
      </c>
      <c r="CZ22"/>
      <c r="DB22" s="5">
        <f t="shared" si="48"/>
        <v>182.683025</v>
      </c>
      <c r="DC22" s="5">
        <f t="shared" si="49"/>
        <v>182.683025</v>
      </c>
      <c r="DD22" s="35">
        <f t="shared" si="50"/>
        <v>144.15762619999998</v>
      </c>
      <c r="DE22" s="35">
        <f t="shared" si="116"/>
        <v>1.4978698</v>
      </c>
      <c r="DF22"/>
      <c r="DH22" s="5">
        <f t="shared" si="51"/>
        <v>1444.9710624999998</v>
      </c>
      <c r="DI22" s="35">
        <f t="shared" si="52"/>
        <v>1444.9710624999998</v>
      </c>
      <c r="DJ22" s="35">
        <f t="shared" si="53"/>
        <v>1140.2460535</v>
      </c>
      <c r="DK22" s="35">
        <f t="shared" si="118"/>
        <v>11.847726499999998</v>
      </c>
      <c r="DN22" s="5">
        <f t="shared" si="54"/>
        <v>7461.0582375</v>
      </c>
      <c r="DO22" s="5">
        <f t="shared" si="55"/>
        <v>7461.0582375</v>
      </c>
      <c r="DP22" s="35">
        <f t="shared" si="56"/>
        <v>5887.621164900001</v>
      </c>
      <c r="DQ22" s="35">
        <f t="shared" si="120"/>
        <v>61.175327100000004</v>
      </c>
      <c r="DT22" s="5">
        <f t="shared" si="57"/>
        <v>591.9645375</v>
      </c>
      <c r="DU22" s="5">
        <f t="shared" si="58"/>
        <v>591.9645375</v>
      </c>
      <c r="DV22" s="35">
        <f t="shared" si="59"/>
        <v>467.1271593</v>
      </c>
      <c r="DW22" s="35">
        <f t="shared" si="122"/>
        <v>4.8536847</v>
      </c>
      <c r="DZ22" s="5">
        <f t="shared" si="60"/>
        <v>1607.1867</v>
      </c>
      <c r="EA22" s="5">
        <f t="shared" si="61"/>
        <v>1607.1867</v>
      </c>
      <c r="EB22" s="35">
        <f t="shared" si="62"/>
        <v>1268.2525896</v>
      </c>
      <c r="EC22" s="35">
        <f t="shared" si="124"/>
        <v>13.1777784</v>
      </c>
      <c r="EF22" s="5">
        <f t="shared" si="63"/>
        <v>1802.1899</v>
      </c>
      <c r="EG22" s="35">
        <f t="shared" si="64"/>
        <v>1802.1899</v>
      </c>
      <c r="EH22" s="35">
        <f t="shared" si="65"/>
        <v>1422.1322312000002</v>
      </c>
      <c r="EI22" s="35">
        <f t="shared" si="126"/>
        <v>14.7766648</v>
      </c>
      <c r="EL22" s="5">
        <f t="shared" si="66"/>
        <v>4540.9118124999995</v>
      </c>
      <c r="EM22" s="35">
        <f t="shared" si="67"/>
        <v>4540.9118124999995</v>
      </c>
      <c r="EN22" s="35">
        <f t="shared" si="68"/>
        <v>3583.2944395</v>
      </c>
      <c r="EO22" s="35">
        <f t="shared" si="128"/>
        <v>37.2322205</v>
      </c>
      <c r="ER22" s="5">
        <f t="shared" si="69"/>
        <v>6976.5971625</v>
      </c>
      <c r="ES22" s="35">
        <f t="shared" si="70"/>
        <v>6976.5971625</v>
      </c>
      <c r="ET22" s="35">
        <f t="shared" si="71"/>
        <v>5505.3264303000005</v>
      </c>
      <c r="EU22" s="35">
        <f t="shared" si="130"/>
        <v>57.203093700000004</v>
      </c>
      <c r="EX22" s="5">
        <f t="shared" si="72"/>
        <v>33072.3175125</v>
      </c>
      <c r="EY22" s="5">
        <f t="shared" si="73"/>
        <v>33072.3175125</v>
      </c>
      <c r="EZ22" s="35">
        <f t="shared" si="74"/>
        <v>26097.8095011</v>
      </c>
      <c r="FA22" s="35">
        <f t="shared" si="132"/>
        <v>271.1692869</v>
      </c>
      <c r="FD22" s="5">
        <f t="shared" si="75"/>
        <v>27975.143174999997</v>
      </c>
      <c r="FE22" s="5">
        <f t="shared" si="76"/>
        <v>27975.143174999997</v>
      </c>
      <c r="FF22" s="35">
        <f t="shared" si="77"/>
        <v>22075.560839399997</v>
      </c>
      <c r="FG22" s="35">
        <f t="shared" si="134"/>
        <v>229.37611259999997</v>
      </c>
      <c r="FJ22" s="5">
        <f t="shared" si="78"/>
        <v>175.529375</v>
      </c>
      <c r="FK22" s="5">
        <f t="shared" si="79"/>
        <v>175.529375</v>
      </c>
      <c r="FL22" s="35">
        <f t="shared" si="80"/>
        <v>138.512585</v>
      </c>
      <c r="FM22" s="35">
        <f t="shared" si="136"/>
        <v>1.439215</v>
      </c>
      <c r="FP22" s="5">
        <f t="shared" si="81"/>
        <v>494.3304625</v>
      </c>
      <c r="FQ22" s="5">
        <f t="shared" si="82"/>
        <v>494.3304625</v>
      </c>
      <c r="FR22" s="35">
        <f t="shared" si="83"/>
        <v>390.0828007</v>
      </c>
      <c r="FS22" s="35">
        <f t="shared" si="138"/>
        <v>4.0531553</v>
      </c>
    </row>
    <row r="23" spans="1:175" ht="12.75">
      <c r="A23" s="36">
        <v>46478</v>
      </c>
      <c r="C23" s="77">
        <f>'2019C'!C23</f>
        <v>6160000</v>
      </c>
      <c r="D23" s="77">
        <f>'2019C'!D23</f>
        <v>662375</v>
      </c>
      <c r="E23" s="34">
        <f t="shared" si="84"/>
        <v>6822375</v>
      </c>
      <c r="F23" s="77">
        <f>'2019C'!F23</f>
        <v>522689</v>
      </c>
      <c r="G23" s="77">
        <f>'2019C'!G23</f>
        <v>5431</v>
      </c>
      <c r="I23" s="46">
        <f>O23+U23+AG23+AM23+AS23+AA23+AY23+BE23+BK23+BQ23+BW23+CC23+CI23+CO23+CU23+DA23+DG23+DM23+DS23+DY23+EE23+EK23+EQ23+EW23+FC23+FI23+FO23</f>
        <v>1375102.96</v>
      </c>
      <c r="J23" s="35">
        <f t="shared" si="0"/>
        <v>147862.633625</v>
      </c>
      <c r="K23" s="35">
        <f t="shared" si="1"/>
        <v>1522965.593625</v>
      </c>
      <c r="L23" s="35">
        <f t="shared" si="2"/>
        <v>116680.38815900001</v>
      </c>
      <c r="M23" s="35">
        <f t="shared" si="2"/>
        <v>1212.3675610000003</v>
      </c>
      <c r="N23"/>
      <c r="O23" s="5">
        <f t="shared" si="85"/>
        <v>288298.472</v>
      </c>
      <c r="P23" s="5">
        <f t="shared" si="3"/>
        <v>31000.2760375</v>
      </c>
      <c r="Q23" s="5">
        <f t="shared" si="4"/>
        <v>319298.7480375</v>
      </c>
      <c r="R23" s="35">
        <f t="shared" si="5"/>
        <v>24462.7337713</v>
      </c>
      <c r="S23" s="35">
        <f t="shared" si="86"/>
        <v>254.1800327</v>
      </c>
      <c r="T23"/>
      <c r="U23" s="5">
        <f t="shared" si="87"/>
        <v>40124.392</v>
      </c>
      <c r="V23" s="5">
        <f t="shared" si="6"/>
        <v>4314.5120375</v>
      </c>
      <c r="W23" s="35">
        <f t="shared" si="7"/>
        <v>44438.9040375</v>
      </c>
      <c r="X23" s="35">
        <f t="shared" si="8"/>
        <v>3404.6393393</v>
      </c>
      <c r="Y23" s="35">
        <f t="shared" si="88"/>
        <v>35.3759047</v>
      </c>
      <c r="Z23" s="35"/>
      <c r="AA23" s="5">
        <f t="shared" si="89"/>
        <v>5765.76</v>
      </c>
      <c r="AB23" s="5">
        <f t="shared" si="9"/>
        <v>619.983</v>
      </c>
      <c r="AC23" s="5">
        <f t="shared" si="10"/>
        <v>6385.743</v>
      </c>
      <c r="AD23" s="35">
        <f t="shared" si="11"/>
        <v>489.236904</v>
      </c>
      <c r="AE23" s="35">
        <f t="shared" si="90"/>
        <v>5.083416</v>
      </c>
      <c r="AF23"/>
      <c r="AG23" s="5">
        <f t="shared" si="91"/>
        <v>33929.896</v>
      </c>
      <c r="AH23" s="5">
        <f t="shared" si="12"/>
        <v>3648.4277375</v>
      </c>
      <c r="AI23" s="5">
        <f t="shared" si="13"/>
        <v>37578.3237375</v>
      </c>
      <c r="AJ23" s="35">
        <f t="shared" si="14"/>
        <v>2879.0232809</v>
      </c>
      <c r="AK23" s="35">
        <f t="shared" si="92"/>
        <v>29.9144911</v>
      </c>
      <c r="AL23"/>
      <c r="AM23" s="5">
        <f t="shared" si="93"/>
        <v>15075.367999999999</v>
      </c>
      <c r="AN23" s="5">
        <f t="shared" si="15"/>
        <v>1621.0303374999999</v>
      </c>
      <c r="AO23" s="5">
        <f t="shared" si="16"/>
        <v>16696.3983375</v>
      </c>
      <c r="AP23" s="35">
        <f t="shared" si="17"/>
        <v>1279.1767897</v>
      </c>
      <c r="AQ23" s="35">
        <f t="shared" si="94"/>
        <v>13.2912863</v>
      </c>
      <c r="AR23"/>
      <c r="AS23" s="5">
        <f t="shared" si="95"/>
        <v>9584.344000000001</v>
      </c>
      <c r="AT23" s="5">
        <f t="shared" si="18"/>
        <v>1030.5892625000001</v>
      </c>
      <c r="AU23" s="5">
        <f t="shared" si="19"/>
        <v>10614.9332625</v>
      </c>
      <c r="AV23" s="35">
        <f t="shared" si="20"/>
        <v>813.2518151</v>
      </c>
      <c r="AW23" s="35">
        <f t="shared" si="96"/>
        <v>8.4500929</v>
      </c>
      <c r="AX23"/>
      <c r="AY23" s="5">
        <f t="shared" si="97"/>
        <v>25862.76</v>
      </c>
      <c r="AZ23" s="5">
        <f t="shared" si="21"/>
        <v>2780.9814375</v>
      </c>
      <c r="BA23" s="5">
        <f t="shared" si="22"/>
        <v>28643.741437499997</v>
      </c>
      <c r="BB23" s="35">
        <f t="shared" si="23"/>
        <v>2194.5097665</v>
      </c>
      <c r="BC23" s="35">
        <f t="shared" si="98"/>
        <v>22.8020535</v>
      </c>
      <c r="BD23"/>
      <c r="BE23" s="5">
        <f t="shared" si="99"/>
        <v>4.928</v>
      </c>
      <c r="BF23" s="5">
        <f t="shared" si="24"/>
        <v>0.5298999999999999</v>
      </c>
      <c r="BG23" s="5">
        <f t="shared" si="25"/>
        <v>5.4578999999999995</v>
      </c>
      <c r="BH23" s="35">
        <f t="shared" si="26"/>
        <v>0.4181512</v>
      </c>
      <c r="BI23" s="35">
        <f t="shared" si="100"/>
        <v>0.0043448</v>
      </c>
      <c r="BJ23"/>
      <c r="BK23" s="5">
        <f t="shared" si="101"/>
        <v>15999.367999999999</v>
      </c>
      <c r="BL23" s="5">
        <f t="shared" si="27"/>
        <v>1720.3865875</v>
      </c>
      <c r="BM23" s="35">
        <f t="shared" si="28"/>
        <v>17719.7545875</v>
      </c>
      <c r="BN23" s="35">
        <f t="shared" si="29"/>
        <v>1357.5801397</v>
      </c>
      <c r="BO23" s="35">
        <f t="shared" si="102"/>
        <v>14.1059363</v>
      </c>
      <c r="BP23"/>
      <c r="BQ23" s="5">
        <f t="shared" si="103"/>
        <v>29450.344</v>
      </c>
      <c r="BR23" s="5">
        <f t="shared" si="30"/>
        <v>3166.7486375000003</v>
      </c>
      <c r="BS23" s="5">
        <f t="shared" si="31"/>
        <v>32617.0926375</v>
      </c>
      <c r="BT23" s="35">
        <f t="shared" si="32"/>
        <v>2498.9238401000002</v>
      </c>
      <c r="BU23" s="35">
        <f t="shared" si="104"/>
        <v>25.9650679</v>
      </c>
      <c r="BV23"/>
      <c r="BW23" s="5">
        <f t="shared" si="105"/>
        <v>76657.504</v>
      </c>
      <c r="BX23" s="5">
        <f t="shared" si="33"/>
        <v>8242.85945</v>
      </c>
      <c r="BY23" s="5">
        <f t="shared" si="34"/>
        <v>84900.36345</v>
      </c>
      <c r="BZ23" s="35">
        <f t="shared" si="35"/>
        <v>6504.5509916</v>
      </c>
      <c r="CA23" s="35">
        <f t="shared" si="106"/>
        <v>67.5855364</v>
      </c>
      <c r="CB23"/>
      <c r="CC23" s="5">
        <f t="shared" si="107"/>
        <v>7797.9439999999995</v>
      </c>
      <c r="CD23" s="5">
        <f t="shared" si="36"/>
        <v>838.5005124999999</v>
      </c>
      <c r="CE23" s="5">
        <f t="shared" si="37"/>
        <v>8636.4445125</v>
      </c>
      <c r="CF23" s="35">
        <f t="shared" si="38"/>
        <v>661.6720051</v>
      </c>
      <c r="CG23" s="35">
        <f t="shared" si="108"/>
        <v>6.8751029</v>
      </c>
      <c r="CH23"/>
      <c r="CI23" s="5">
        <f t="shared" si="109"/>
        <v>974.512</v>
      </c>
      <c r="CJ23" s="5">
        <f t="shared" si="39"/>
        <v>104.787725</v>
      </c>
      <c r="CK23" s="5">
        <f t="shared" si="40"/>
        <v>1079.2997249999999</v>
      </c>
      <c r="CL23" s="35">
        <f t="shared" si="41"/>
        <v>82.6893998</v>
      </c>
      <c r="CM23" s="35">
        <f t="shared" si="110"/>
        <v>0.8591842</v>
      </c>
      <c r="CN23"/>
      <c r="CO23" s="5">
        <f t="shared" si="111"/>
        <v>880.264</v>
      </c>
      <c r="CP23" s="5">
        <f t="shared" si="42"/>
        <v>94.65338750000001</v>
      </c>
      <c r="CQ23" s="5">
        <f t="shared" si="43"/>
        <v>974.9173875</v>
      </c>
      <c r="CR23" s="35">
        <f t="shared" si="44"/>
        <v>74.6922581</v>
      </c>
      <c r="CS23" s="35">
        <f t="shared" si="112"/>
        <v>0.7760899</v>
      </c>
      <c r="CT23"/>
      <c r="CU23" s="5">
        <f t="shared" si="113"/>
        <v>21887.096</v>
      </c>
      <c r="CV23" s="5">
        <f t="shared" si="45"/>
        <v>2353.4846125</v>
      </c>
      <c r="CW23" s="5">
        <f t="shared" si="46"/>
        <v>24240.5806125</v>
      </c>
      <c r="CX23" s="35">
        <f t="shared" si="47"/>
        <v>1857.1662859</v>
      </c>
      <c r="CY23" s="35">
        <f t="shared" si="114"/>
        <v>19.296886100000002</v>
      </c>
      <c r="CZ23"/>
      <c r="DA23" s="5">
        <f t="shared" si="115"/>
        <v>1698.9279999999999</v>
      </c>
      <c r="DB23" s="5">
        <f t="shared" si="48"/>
        <v>182.683025</v>
      </c>
      <c r="DC23" s="5">
        <f t="shared" si="49"/>
        <v>1881.611025</v>
      </c>
      <c r="DD23" s="35">
        <f t="shared" si="50"/>
        <v>144.15762619999998</v>
      </c>
      <c r="DE23" s="35">
        <f t="shared" si="116"/>
        <v>1.4978698</v>
      </c>
      <c r="DF23"/>
      <c r="DG23" s="5">
        <f t="shared" si="117"/>
        <v>13438.039999999999</v>
      </c>
      <c r="DH23" s="5">
        <f t="shared" si="51"/>
        <v>1444.9710624999998</v>
      </c>
      <c r="DI23" s="35">
        <f t="shared" si="52"/>
        <v>14883.011062499998</v>
      </c>
      <c r="DJ23" s="35">
        <f t="shared" si="53"/>
        <v>1140.2460535</v>
      </c>
      <c r="DK23" s="35">
        <f t="shared" si="118"/>
        <v>11.847726499999998</v>
      </c>
      <c r="DM23" s="5">
        <f t="shared" si="119"/>
        <v>69386.856</v>
      </c>
      <c r="DN23" s="5">
        <f t="shared" si="54"/>
        <v>7461.0582375</v>
      </c>
      <c r="DO23" s="5">
        <f t="shared" si="55"/>
        <v>76847.9142375</v>
      </c>
      <c r="DP23" s="35">
        <f t="shared" si="56"/>
        <v>5887.621164900001</v>
      </c>
      <c r="DQ23" s="35">
        <f t="shared" si="120"/>
        <v>61.175327100000004</v>
      </c>
      <c r="DS23" s="5">
        <f t="shared" si="121"/>
        <v>5505.192</v>
      </c>
      <c r="DT23" s="5">
        <f t="shared" si="57"/>
        <v>591.9645375</v>
      </c>
      <c r="DU23" s="5">
        <f t="shared" si="58"/>
        <v>6097.1565375</v>
      </c>
      <c r="DV23" s="35">
        <f t="shared" si="59"/>
        <v>467.1271593</v>
      </c>
      <c r="DW23" s="35">
        <f t="shared" si="122"/>
        <v>4.8536847</v>
      </c>
      <c r="DY23" s="5">
        <f t="shared" si="123"/>
        <v>14946.624</v>
      </c>
      <c r="DZ23" s="5">
        <f t="shared" si="60"/>
        <v>1607.1867</v>
      </c>
      <c r="EA23" s="5">
        <f t="shared" si="61"/>
        <v>16553.810699999998</v>
      </c>
      <c r="EB23" s="35">
        <f t="shared" si="62"/>
        <v>1268.2525896</v>
      </c>
      <c r="EC23" s="35">
        <f t="shared" si="124"/>
        <v>13.1777784</v>
      </c>
      <c r="EE23" s="5">
        <f t="shared" si="125"/>
        <v>16760.128</v>
      </c>
      <c r="EF23" s="5">
        <f t="shared" si="63"/>
        <v>1802.1899</v>
      </c>
      <c r="EG23" s="35">
        <f t="shared" si="64"/>
        <v>18562.317900000002</v>
      </c>
      <c r="EH23" s="35">
        <f t="shared" si="65"/>
        <v>1422.1322312000002</v>
      </c>
      <c r="EI23" s="35">
        <f t="shared" si="126"/>
        <v>14.7766648</v>
      </c>
      <c r="EK23" s="5">
        <f t="shared" si="127"/>
        <v>42229.88</v>
      </c>
      <c r="EL23" s="5">
        <f t="shared" si="66"/>
        <v>4540.9118124999995</v>
      </c>
      <c r="EM23" s="35">
        <f t="shared" si="67"/>
        <v>46770.7918125</v>
      </c>
      <c r="EN23" s="35">
        <f t="shared" si="68"/>
        <v>3583.2944395</v>
      </c>
      <c r="EO23" s="35">
        <f t="shared" si="128"/>
        <v>37.2322205</v>
      </c>
      <c r="EQ23" s="5">
        <f t="shared" si="129"/>
        <v>64881.43200000001</v>
      </c>
      <c r="ER23" s="5">
        <f t="shared" si="69"/>
        <v>6976.5971625</v>
      </c>
      <c r="ES23" s="35">
        <f t="shared" si="70"/>
        <v>71858.02916250001</v>
      </c>
      <c r="ET23" s="35">
        <f t="shared" si="71"/>
        <v>5505.3264303000005</v>
      </c>
      <c r="EU23" s="35">
        <f t="shared" si="130"/>
        <v>57.203093700000004</v>
      </c>
      <c r="EW23" s="5">
        <f t="shared" si="131"/>
        <v>307568.184</v>
      </c>
      <c r="EX23" s="5">
        <f t="shared" si="72"/>
        <v>33072.3175125</v>
      </c>
      <c r="EY23" s="5">
        <f t="shared" si="73"/>
        <v>340640.5015125</v>
      </c>
      <c r="EZ23" s="35">
        <f t="shared" si="74"/>
        <v>26097.8095011</v>
      </c>
      <c r="FA23" s="35">
        <f t="shared" si="132"/>
        <v>271.1692869</v>
      </c>
      <c r="FC23" s="5">
        <f t="shared" si="133"/>
        <v>260165.13599999997</v>
      </c>
      <c r="FD23" s="5">
        <f t="shared" si="75"/>
        <v>27975.143174999997</v>
      </c>
      <c r="FE23" s="5">
        <f t="shared" si="76"/>
        <v>288140.279175</v>
      </c>
      <c r="FF23" s="35">
        <f t="shared" si="77"/>
        <v>22075.560839399997</v>
      </c>
      <c r="FG23" s="35">
        <f t="shared" si="134"/>
        <v>229.37611259999997</v>
      </c>
      <c r="FI23" s="5">
        <f t="shared" si="135"/>
        <v>1632.3999999999999</v>
      </c>
      <c r="FJ23" s="5">
        <f t="shared" si="78"/>
        <v>175.529375</v>
      </c>
      <c r="FK23" s="5">
        <f t="shared" si="79"/>
        <v>1807.929375</v>
      </c>
      <c r="FL23" s="35">
        <f t="shared" si="80"/>
        <v>138.512585</v>
      </c>
      <c r="FM23" s="35">
        <f t="shared" si="136"/>
        <v>1.439215</v>
      </c>
      <c r="FO23" s="5">
        <f t="shared" si="137"/>
        <v>4597.208</v>
      </c>
      <c r="FP23" s="5">
        <f t="shared" si="81"/>
        <v>494.3304625</v>
      </c>
      <c r="FQ23" s="5">
        <f t="shared" si="82"/>
        <v>5091.5384625</v>
      </c>
      <c r="FR23" s="35">
        <f t="shared" si="83"/>
        <v>390.0828007</v>
      </c>
      <c r="FS23" s="35">
        <f t="shared" si="138"/>
        <v>4.0531553</v>
      </c>
    </row>
    <row r="24" spans="1:175" ht="12.75">
      <c r="A24" s="36">
        <v>46661</v>
      </c>
      <c r="C24" s="77">
        <f>'2019C'!C24</f>
        <v>0</v>
      </c>
      <c r="D24" s="77">
        <f>'2019C'!D24</f>
        <v>508375</v>
      </c>
      <c r="E24" s="34">
        <f t="shared" si="84"/>
        <v>508375</v>
      </c>
      <c r="F24" s="77">
        <f>'2019C'!F24</f>
        <v>522689</v>
      </c>
      <c r="G24" s="77">
        <f>'2019C'!G24</f>
        <v>5431</v>
      </c>
      <c r="I24" s="46"/>
      <c r="J24" s="35">
        <f t="shared" si="0"/>
        <v>113485.05962500001</v>
      </c>
      <c r="K24" s="35">
        <f t="shared" si="1"/>
        <v>113485.05962500001</v>
      </c>
      <c r="L24" s="35">
        <f t="shared" si="2"/>
        <v>116680.38815900001</v>
      </c>
      <c r="M24" s="35">
        <f t="shared" si="2"/>
        <v>1212.3675610000003</v>
      </c>
      <c r="N24"/>
      <c r="P24" s="5">
        <f t="shared" si="3"/>
        <v>23792.814237500002</v>
      </c>
      <c r="Q24" s="5">
        <f t="shared" si="4"/>
        <v>23792.814237500002</v>
      </c>
      <c r="R24" s="35">
        <f t="shared" si="5"/>
        <v>24462.7337713</v>
      </c>
      <c r="S24" s="35">
        <f t="shared" si="86"/>
        <v>254.1800327</v>
      </c>
      <c r="T24"/>
      <c r="V24" s="5">
        <f t="shared" si="6"/>
        <v>3311.4022375</v>
      </c>
      <c r="W24" s="35">
        <f t="shared" si="7"/>
        <v>3311.4022375</v>
      </c>
      <c r="X24" s="35">
        <f t="shared" si="8"/>
        <v>3404.6393393</v>
      </c>
      <c r="Y24" s="35">
        <f t="shared" si="88"/>
        <v>35.3759047</v>
      </c>
      <c r="Z24" s="35"/>
      <c r="AB24" s="5">
        <f t="shared" si="9"/>
        <v>475.839</v>
      </c>
      <c r="AC24" s="5">
        <f t="shared" si="10"/>
        <v>475.839</v>
      </c>
      <c r="AD24" s="35">
        <f t="shared" si="11"/>
        <v>489.236904</v>
      </c>
      <c r="AE24" s="35">
        <f t="shared" si="90"/>
        <v>5.083416</v>
      </c>
      <c r="AF24"/>
      <c r="AH24" s="5">
        <f t="shared" si="12"/>
        <v>2800.1803375</v>
      </c>
      <c r="AI24" s="5">
        <f t="shared" si="13"/>
        <v>2800.1803375</v>
      </c>
      <c r="AJ24" s="35">
        <f t="shared" si="14"/>
        <v>2879.0232809</v>
      </c>
      <c r="AK24" s="35">
        <f t="shared" si="92"/>
        <v>29.9144911</v>
      </c>
      <c r="AL24"/>
      <c r="AN24" s="5">
        <f t="shared" si="15"/>
        <v>1244.1461375</v>
      </c>
      <c r="AO24" s="5">
        <f t="shared" si="16"/>
        <v>1244.1461375</v>
      </c>
      <c r="AP24" s="35">
        <f t="shared" si="17"/>
        <v>1279.1767897</v>
      </c>
      <c r="AQ24" s="35">
        <f t="shared" si="94"/>
        <v>13.2912863</v>
      </c>
      <c r="AR24"/>
      <c r="AT24" s="5">
        <f t="shared" si="18"/>
        <v>790.9806625</v>
      </c>
      <c r="AU24" s="5">
        <f t="shared" si="19"/>
        <v>790.9806625</v>
      </c>
      <c r="AV24" s="35">
        <f t="shared" si="20"/>
        <v>813.2518151</v>
      </c>
      <c r="AW24" s="35">
        <f t="shared" si="96"/>
        <v>8.4500929</v>
      </c>
      <c r="AX24"/>
      <c r="AZ24" s="5">
        <f t="shared" si="21"/>
        <v>2134.4124375</v>
      </c>
      <c r="BA24" s="5">
        <f t="shared" si="22"/>
        <v>2134.4124375</v>
      </c>
      <c r="BB24" s="35">
        <f t="shared" si="23"/>
        <v>2194.5097665</v>
      </c>
      <c r="BC24" s="35">
        <f t="shared" si="98"/>
        <v>22.8020535</v>
      </c>
      <c r="BD24"/>
      <c r="BF24" s="5">
        <f t="shared" si="24"/>
        <v>0.4067</v>
      </c>
      <c r="BG24" s="5">
        <f t="shared" si="25"/>
        <v>0.4067</v>
      </c>
      <c r="BH24" s="35">
        <f t="shared" si="26"/>
        <v>0.4181512</v>
      </c>
      <c r="BI24" s="35">
        <f t="shared" si="100"/>
        <v>0.0043448</v>
      </c>
      <c r="BJ24"/>
      <c r="BL24" s="5">
        <f t="shared" si="27"/>
        <v>1320.4023875</v>
      </c>
      <c r="BM24" s="35">
        <f t="shared" si="28"/>
        <v>1320.4023875</v>
      </c>
      <c r="BN24" s="35">
        <f t="shared" si="29"/>
        <v>1357.5801397</v>
      </c>
      <c r="BO24" s="35">
        <f t="shared" si="102"/>
        <v>14.1059363</v>
      </c>
      <c r="BP24"/>
      <c r="BR24" s="5">
        <f t="shared" si="30"/>
        <v>2430.4900375</v>
      </c>
      <c r="BS24" s="5">
        <f t="shared" si="31"/>
        <v>2430.4900375</v>
      </c>
      <c r="BT24" s="35">
        <f t="shared" si="32"/>
        <v>2498.9238401000002</v>
      </c>
      <c r="BU24" s="35">
        <f t="shared" si="104"/>
        <v>25.9650679</v>
      </c>
      <c r="BV24"/>
      <c r="BX24" s="5">
        <f t="shared" si="33"/>
        <v>6326.42185</v>
      </c>
      <c r="BY24" s="5">
        <f t="shared" si="34"/>
        <v>6326.42185</v>
      </c>
      <c r="BZ24" s="35">
        <f t="shared" si="35"/>
        <v>6504.5509916</v>
      </c>
      <c r="CA24" s="35">
        <f t="shared" si="106"/>
        <v>67.5855364</v>
      </c>
      <c r="CB24"/>
      <c r="CD24" s="5">
        <f t="shared" si="36"/>
        <v>643.5519125</v>
      </c>
      <c r="CE24" s="5">
        <f t="shared" si="37"/>
        <v>643.5519125</v>
      </c>
      <c r="CF24" s="35">
        <f t="shared" si="38"/>
        <v>661.6720051</v>
      </c>
      <c r="CG24" s="35">
        <f t="shared" si="108"/>
        <v>6.8751029</v>
      </c>
      <c r="CH24"/>
      <c r="CJ24" s="5">
        <f t="shared" si="39"/>
        <v>80.424925</v>
      </c>
      <c r="CK24" s="5">
        <f t="shared" si="40"/>
        <v>80.424925</v>
      </c>
      <c r="CL24" s="35">
        <f t="shared" si="41"/>
        <v>82.6893998</v>
      </c>
      <c r="CM24" s="35">
        <f t="shared" si="110"/>
        <v>0.8591842</v>
      </c>
      <c r="CN24"/>
      <c r="CP24" s="5">
        <f t="shared" si="42"/>
        <v>72.6467875</v>
      </c>
      <c r="CQ24" s="5">
        <f t="shared" si="43"/>
        <v>72.6467875</v>
      </c>
      <c r="CR24" s="35">
        <f t="shared" si="44"/>
        <v>74.6922581</v>
      </c>
      <c r="CS24" s="35">
        <f t="shared" si="112"/>
        <v>0.7760899</v>
      </c>
      <c r="CT24"/>
      <c r="CV24" s="5">
        <f t="shared" si="45"/>
        <v>1806.3072125</v>
      </c>
      <c r="CW24" s="5">
        <f t="shared" si="46"/>
        <v>1806.3072125</v>
      </c>
      <c r="CX24" s="35">
        <f t="shared" si="47"/>
        <v>1857.1662859</v>
      </c>
      <c r="CY24" s="35">
        <f t="shared" si="114"/>
        <v>19.296886100000002</v>
      </c>
      <c r="CZ24"/>
      <c r="DB24" s="5">
        <f t="shared" si="48"/>
        <v>140.209825</v>
      </c>
      <c r="DC24" s="5">
        <f t="shared" si="49"/>
        <v>140.209825</v>
      </c>
      <c r="DD24" s="35">
        <f t="shared" si="50"/>
        <v>144.15762619999998</v>
      </c>
      <c r="DE24" s="35">
        <f t="shared" si="116"/>
        <v>1.4978698</v>
      </c>
      <c r="DF24"/>
      <c r="DH24" s="5">
        <f t="shared" si="51"/>
        <v>1109.0200625</v>
      </c>
      <c r="DI24" s="35">
        <f t="shared" si="52"/>
        <v>1109.0200625</v>
      </c>
      <c r="DJ24" s="35">
        <f t="shared" si="53"/>
        <v>1140.2460535</v>
      </c>
      <c r="DK24" s="35">
        <f t="shared" si="118"/>
        <v>11.847726499999998</v>
      </c>
      <c r="DN24" s="5">
        <f t="shared" si="54"/>
        <v>5726.3868375</v>
      </c>
      <c r="DO24" s="5">
        <f t="shared" si="55"/>
        <v>5726.3868375</v>
      </c>
      <c r="DP24" s="35">
        <f t="shared" si="56"/>
        <v>5887.621164900001</v>
      </c>
      <c r="DQ24" s="35">
        <f t="shared" si="120"/>
        <v>61.175327100000004</v>
      </c>
      <c r="DT24" s="5">
        <f t="shared" si="57"/>
        <v>454.3347375</v>
      </c>
      <c r="DU24" s="5">
        <f t="shared" si="58"/>
        <v>454.3347375</v>
      </c>
      <c r="DV24" s="35">
        <f t="shared" si="59"/>
        <v>467.1271593</v>
      </c>
      <c r="DW24" s="35">
        <f t="shared" si="122"/>
        <v>4.8536847</v>
      </c>
      <c r="DZ24" s="5">
        <f t="shared" si="60"/>
        <v>1233.5211</v>
      </c>
      <c r="EA24" s="5">
        <f t="shared" si="61"/>
        <v>1233.5211</v>
      </c>
      <c r="EB24" s="35">
        <f t="shared" si="62"/>
        <v>1268.2525896</v>
      </c>
      <c r="EC24" s="35">
        <f t="shared" si="124"/>
        <v>13.1777784</v>
      </c>
      <c r="EF24" s="5">
        <f t="shared" si="63"/>
        <v>1383.1867000000002</v>
      </c>
      <c r="EG24" s="35">
        <f t="shared" si="64"/>
        <v>1383.1867000000002</v>
      </c>
      <c r="EH24" s="35">
        <f t="shared" si="65"/>
        <v>1422.1322312000002</v>
      </c>
      <c r="EI24" s="35">
        <f t="shared" si="126"/>
        <v>14.7766648</v>
      </c>
      <c r="EL24" s="5">
        <f t="shared" si="66"/>
        <v>3485.1648124999997</v>
      </c>
      <c r="EM24" s="35">
        <f t="shared" si="67"/>
        <v>3485.1648124999997</v>
      </c>
      <c r="EN24" s="35">
        <f t="shared" si="68"/>
        <v>3583.2944395</v>
      </c>
      <c r="EO24" s="35">
        <f t="shared" si="128"/>
        <v>37.2322205</v>
      </c>
      <c r="ER24" s="5">
        <f t="shared" si="69"/>
        <v>5354.5613625000005</v>
      </c>
      <c r="ES24" s="35">
        <f t="shared" si="70"/>
        <v>5354.5613625000005</v>
      </c>
      <c r="ET24" s="35">
        <f t="shared" si="71"/>
        <v>5505.3264303000005</v>
      </c>
      <c r="EU24" s="35">
        <f t="shared" si="130"/>
        <v>57.203093700000004</v>
      </c>
      <c r="EX24" s="5">
        <f t="shared" si="72"/>
        <v>25383.1129125</v>
      </c>
      <c r="EY24" s="5">
        <f t="shared" si="73"/>
        <v>25383.1129125</v>
      </c>
      <c r="EZ24" s="35">
        <f t="shared" si="74"/>
        <v>26097.8095011</v>
      </c>
      <c r="FA24" s="35">
        <f t="shared" si="132"/>
        <v>271.1692869</v>
      </c>
      <c r="FD24" s="5">
        <f t="shared" si="75"/>
        <v>21471.014775</v>
      </c>
      <c r="FE24" s="5">
        <f t="shared" si="76"/>
        <v>21471.014775</v>
      </c>
      <c r="FF24" s="35">
        <f t="shared" si="77"/>
        <v>22075.560839399997</v>
      </c>
      <c r="FG24" s="35">
        <f t="shared" si="134"/>
        <v>229.37611259999997</v>
      </c>
      <c r="FJ24" s="5">
        <f t="shared" si="78"/>
        <v>134.71937499999999</v>
      </c>
      <c r="FK24" s="5">
        <f t="shared" si="79"/>
        <v>134.71937499999999</v>
      </c>
      <c r="FL24" s="35">
        <f t="shared" si="80"/>
        <v>138.512585</v>
      </c>
      <c r="FM24" s="35">
        <f t="shared" si="136"/>
        <v>1.439215</v>
      </c>
      <c r="FP24" s="5">
        <f t="shared" si="81"/>
        <v>379.4002625</v>
      </c>
      <c r="FQ24" s="5">
        <f t="shared" si="82"/>
        <v>379.4002625</v>
      </c>
      <c r="FR24" s="35">
        <f t="shared" si="83"/>
        <v>390.0828007</v>
      </c>
      <c r="FS24" s="35">
        <f t="shared" si="138"/>
        <v>4.0531553</v>
      </c>
    </row>
    <row r="25" spans="1:175" ht="12.75">
      <c r="A25" s="36">
        <v>46844</v>
      </c>
      <c r="C25" s="77">
        <f>'2019C'!C25</f>
        <v>6460000</v>
      </c>
      <c r="D25" s="77">
        <f>'2019C'!D25</f>
        <v>508375</v>
      </c>
      <c r="E25" s="34">
        <f t="shared" si="84"/>
        <v>6968375</v>
      </c>
      <c r="F25" s="77">
        <f>'2019C'!F25</f>
        <v>522689</v>
      </c>
      <c r="G25" s="77">
        <f>'2019C'!G25</f>
        <v>5431</v>
      </c>
      <c r="I25" s="46">
        <f>O25+U25+AG25+AM25+AS25+AA25+AY25+BE25+BK25+BQ25+BW25+CC25+CI25+CO25+CU25+DA25+DG25+DM25+DS25+DY25+EE25+EK25+EQ25+EW25+FC25+FI25+FO25</f>
        <v>1442072.2599999998</v>
      </c>
      <c r="J25" s="35">
        <f t="shared" si="0"/>
        <v>113485.05962500001</v>
      </c>
      <c r="K25" s="35">
        <f t="shared" si="1"/>
        <v>1555557.3196249998</v>
      </c>
      <c r="L25" s="35">
        <f t="shared" si="2"/>
        <v>116680.38815900001</v>
      </c>
      <c r="M25" s="35">
        <f t="shared" si="2"/>
        <v>1212.3675610000003</v>
      </c>
      <c r="N25"/>
      <c r="O25" s="5">
        <f t="shared" si="85"/>
        <v>302338.982</v>
      </c>
      <c r="P25" s="5">
        <f t="shared" si="3"/>
        <v>23792.814237500002</v>
      </c>
      <c r="Q25" s="5">
        <f t="shared" si="4"/>
        <v>326131.79623750004</v>
      </c>
      <c r="R25" s="35">
        <f t="shared" si="5"/>
        <v>24462.7337713</v>
      </c>
      <c r="S25" s="35">
        <f t="shared" si="86"/>
        <v>254.1800327</v>
      </c>
      <c r="T25"/>
      <c r="U25" s="5">
        <f t="shared" si="87"/>
        <v>42078.502</v>
      </c>
      <c r="V25" s="5">
        <f t="shared" si="6"/>
        <v>3311.4022375</v>
      </c>
      <c r="W25" s="35">
        <f t="shared" si="7"/>
        <v>45389.9042375</v>
      </c>
      <c r="X25" s="35">
        <f t="shared" si="8"/>
        <v>3404.6393393</v>
      </c>
      <c r="Y25" s="35">
        <f t="shared" si="88"/>
        <v>35.3759047</v>
      </c>
      <c r="Z25" s="35"/>
      <c r="AA25" s="5">
        <f t="shared" si="89"/>
        <v>6046.5599999999995</v>
      </c>
      <c r="AB25" s="5">
        <f t="shared" si="9"/>
        <v>475.839</v>
      </c>
      <c r="AC25" s="5">
        <f t="shared" si="10"/>
        <v>6522.398999999999</v>
      </c>
      <c r="AD25" s="35">
        <f t="shared" si="11"/>
        <v>489.236904</v>
      </c>
      <c r="AE25" s="35">
        <f t="shared" si="90"/>
        <v>5.083416</v>
      </c>
      <c r="AF25"/>
      <c r="AG25" s="5">
        <f t="shared" si="91"/>
        <v>35582.326</v>
      </c>
      <c r="AH25" s="5">
        <f t="shared" si="12"/>
        <v>2800.1803375</v>
      </c>
      <c r="AI25" s="5">
        <f t="shared" si="13"/>
        <v>38382.5063375</v>
      </c>
      <c r="AJ25" s="35">
        <f t="shared" si="14"/>
        <v>2879.0232809</v>
      </c>
      <c r="AK25" s="35">
        <f t="shared" si="92"/>
        <v>29.9144911</v>
      </c>
      <c r="AL25"/>
      <c r="AM25" s="5">
        <f t="shared" si="93"/>
        <v>15809.557999999999</v>
      </c>
      <c r="AN25" s="5">
        <f t="shared" si="15"/>
        <v>1244.1461375</v>
      </c>
      <c r="AO25" s="5">
        <f t="shared" si="16"/>
        <v>17053.704137499997</v>
      </c>
      <c r="AP25" s="35">
        <f t="shared" si="17"/>
        <v>1279.1767897</v>
      </c>
      <c r="AQ25" s="35">
        <f t="shared" si="94"/>
        <v>13.2912863</v>
      </c>
      <c r="AR25"/>
      <c r="AS25" s="5">
        <f t="shared" si="95"/>
        <v>10051.114</v>
      </c>
      <c r="AT25" s="5">
        <f t="shared" si="18"/>
        <v>790.9806625</v>
      </c>
      <c r="AU25" s="5">
        <f t="shared" si="19"/>
        <v>10842.0946625</v>
      </c>
      <c r="AV25" s="35">
        <f t="shared" si="20"/>
        <v>813.2518151</v>
      </c>
      <c r="AW25" s="35">
        <f t="shared" si="96"/>
        <v>8.4500929</v>
      </c>
      <c r="AX25"/>
      <c r="AY25" s="5">
        <f t="shared" si="97"/>
        <v>27122.31</v>
      </c>
      <c r="AZ25" s="5">
        <f t="shared" si="21"/>
        <v>2134.4124375</v>
      </c>
      <c r="BA25" s="5">
        <f t="shared" si="22"/>
        <v>29256.7224375</v>
      </c>
      <c r="BB25" s="35">
        <f t="shared" si="23"/>
        <v>2194.5097665</v>
      </c>
      <c r="BC25" s="35">
        <f t="shared" si="98"/>
        <v>22.8020535</v>
      </c>
      <c r="BD25"/>
      <c r="BE25" s="5">
        <f t="shared" si="99"/>
        <v>5.168</v>
      </c>
      <c r="BF25" s="5">
        <f t="shared" si="24"/>
        <v>0.4067</v>
      </c>
      <c r="BG25" s="5">
        <f t="shared" si="25"/>
        <v>5.5747</v>
      </c>
      <c r="BH25" s="35">
        <f t="shared" si="26"/>
        <v>0.4181512</v>
      </c>
      <c r="BI25" s="35">
        <f t="shared" si="100"/>
        <v>0.0043448</v>
      </c>
      <c r="BJ25"/>
      <c r="BK25" s="5">
        <f t="shared" si="101"/>
        <v>16778.558</v>
      </c>
      <c r="BL25" s="5">
        <f t="shared" si="27"/>
        <v>1320.4023875</v>
      </c>
      <c r="BM25" s="35">
        <f t="shared" si="28"/>
        <v>18098.9603875</v>
      </c>
      <c r="BN25" s="35">
        <f t="shared" si="29"/>
        <v>1357.5801397</v>
      </c>
      <c r="BO25" s="35">
        <f t="shared" si="102"/>
        <v>14.1059363</v>
      </c>
      <c r="BP25"/>
      <c r="BQ25" s="5">
        <f t="shared" si="103"/>
        <v>30884.614</v>
      </c>
      <c r="BR25" s="5">
        <f t="shared" si="30"/>
        <v>2430.4900375</v>
      </c>
      <c r="BS25" s="5">
        <f t="shared" si="31"/>
        <v>33315.1040375</v>
      </c>
      <c r="BT25" s="35">
        <f t="shared" si="32"/>
        <v>2498.9238401000002</v>
      </c>
      <c r="BU25" s="35">
        <f t="shared" si="104"/>
        <v>25.9650679</v>
      </c>
      <c r="BV25"/>
      <c r="BW25" s="5">
        <f t="shared" si="105"/>
        <v>80390.824</v>
      </c>
      <c r="BX25" s="5">
        <f t="shared" si="33"/>
        <v>6326.42185</v>
      </c>
      <c r="BY25" s="5">
        <f t="shared" si="34"/>
        <v>86717.24584999999</v>
      </c>
      <c r="BZ25" s="35">
        <f t="shared" si="35"/>
        <v>6504.5509916</v>
      </c>
      <c r="CA25" s="35">
        <f t="shared" si="106"/>
        <v>67.5855364</v>
      </c>
      <c r="CB25"/>
      <c r="CC25" s="5">
        <f t="shared" si="107"/>
        <v>8177.714</v>
      </c>
      <c r="CD25" s="5">
        <f t="shared" si="36"/>
        <v>643.5519125</v>
      </c>
      <c r="CE25" s="5">
        <f t="shared" si="37"/>
        <v>8821.2659125</v>
      </c>
      <c r="CF25" s="35">
        <f t="shared" si="38"/>
        <v>661.6720051</v>
      </c>
      <c r="CG25" s="35">
        <f t="shared" si="108"/>
        <v>6.8751029</v>
      </c>
      <c r="CH25"/>
      <c r="CI25" s="5">
        <f t="shared" si="109"/>
        <v>1021.972</v>
      </c>
      <c r="CJ25" s="5">
        <f t="shared" si="39"/>
        <v>80.424925</v>
      </c>
      <c r="CK25" s="5">
        <f t="shared" si="40"/>
        <v>1102.396925</v>
      </c>
      <c r="CL25" s="35">
        <f t="shared" si="41"/>
        <v>82.6893998</v>
      </c>
      <c r="CM25" s="35">
        <f t="shared" si="110"/>
        <v>0.8591842</v>
      </c>
      <c r="CN25"/>
      <c r="CO25" s="5">
        <f t="shared" si="111"/>
        <v>923.134</v>
      </c>
      <c r="CP25" s="5">
        <f t="shared" si="42"/>
        <v>72.6467875</v>
      </c>
      <c r="CQ25" s="5">
        <f t="shared" si="43"/>
        <v>995.7807875</v>
      </c>
      <c r="CR25" s="35">
        <f t="shared" si="44"/>
        <v>74.6922581</v>
      </c>
      <c r="CS25" s="35">
        <f t="shared" si="112"/>
        <v>0.7760899</v>
      </c>
      <c r="CT25"/>
      <c r="CU25" s="5">
        <f t="shared" si="113"/>
        <v>22953.026</v>
      </c>
      <c r="CV25" s="5">
        <f t="shared" si="45"/>
        <v>1806.3072125</v>
      </c>
      <c r="CW25" s="5">
        <f t="shared" si="46"/>
        <v>24759.3332125</v>
      </c>
      <c r="CX25" s="35">
        <f t="shared" si="47"/>
        <v>1857.1662859</v>
      </c>
      <c r="CY25" s="35">
        <f t="shared" si="114"/>
        <v>19.296886100000002</v>
      </c>
      <c r="CZ25"/>
      <c r="DA25" s="5">
        <f t="shared" si="115"/>
        <v>1781.668</v>
      </c>
      <c r="DB25" s="5">
        <f t="shared" si="48"/>
        <v>140.209825</v>
      </c>
      <c r="DC25" s="5">
        <f t="shared" si="49"/>
        <v>1921.8778249999998</v>
      </c>
      <c r="DD25" s="35">
        <f t="shared" si="50"/>
        <v>144.15762619999998</v>
      </c>
      <c r="DE25" s="35">
        <f t="shared" si="116"/>
        <v>1.4978698</v>
      </c>
      <c r="DF25"/>
      <c r="DG25" s="5">
        <f t="shared" si="117"/>
        <v>14092.49</v>
      </c>
      <c r="DH25" s="5">
        <f t="shared" si="51"/>
        <v>1109.0200625</v>
      </c>
      <c r="DI25" s="35">
        <f t="shared" si="52"/>
        <v>15201.5100625</v>
      </c>
      <c r="DJ25" s="35">
        <f t="shared" si="53"/>
        <v>1140.2460535</v>
      </c>
      <c r="DK25" s="35">
        <f t="shared" si="118"/>
        <v>11.847726499999998</v>
      </c>
      <c r="DM25" s="5">
        <f t="shared" si="119"/>
        <v>72766.08600000001</v>
      </c>
      <c r="DN25" s="5">
        <f t="shared" si="54"/>
        <v>5726.3868375</v>
      </c>
      <c r="DO25" s="5">
        <f t="shared" si="55"/>
        <v>78492.47283750001</v>
      </c>
      <c r="DP25" s="35">
        <f t="shared" si="56"/>
        <v>5887.621164900001</v>
      </c>
      <c r="DQ25" s="35">
        <f t="shared" si="120"/>
        <v>61.175327100000004</v>
      </c>
      <c r="DS25" s="5">
        <f t="shared" si="121"/>
        <v>5773.302</v>
      </c>
      <c r="DT25" s="5">
        <f t="shared" si="57"/>
        <v>454.3347375</v>
      </c>
      <c r="DU25" s="5">
        <f t="shared" si="58"/>
        <v>6227.6367375</v>
      </c>
      <c r="DV25" s="35">
        <f t="shared" si="59"/>
        <v>467.1271593</v>
      </c>
      <c r="DW25" s="35">
        <f t="shared" si="122"/>
        <v>4.8536847</v>
      </c>
      <c r="DY25" s="5">
        <f t="shared" si="123"/>
        <v>15674.544</v>
      </c>
      <c r="DZ25" s="5">
        <f t="shared" si="60"/>
        <v>1233.5211</v>
      </c>
      <c r="EA25" s="5">
        <f t="shared" si="61"/>
        <v>16908.0651</v>
      </c>
      <c r="EB25" s="35">
        <f t="shared" si="62"/>
        <v>1268.2525896</v>
      </c>
      <c r="EC25" s="35">
        <f t="shared" si="124"/>
        <v>13.1777784</v>
      </c>
      <c r="EE25" s="5">
        <f t="shared" si="125"/>
        <v>17576.368000000002</v>
      </c>
      <c r="EF25" s="5">
        <f t="shared" si="63"/>
        <v>1383.1867000000002</v>
      </c>
      <c r="EG25" s="35">
        <f t="shared" si="64"/>
        <v>18959.5547</v>
      </c>
      <c r="EH25" s="35">
        <f t="shared" si="65"/>
        <v>1422.1322312000002</v>
      </c>
      <c r="EI25" s="35">
        <f t="shared" si="126"/>
        <v>14.7766648</v>
      </c>
      <c r="EK25" s="5">
        <f t="shared" si="127"/>
        <v>44286.53</v>
      </c>
      <c r="EL25" s="5">
        <f t="shared" si="66"/>
        <v>3485.1648124999997</v>
      </c>
      <c r="EM25" s="35">
        <f t="shared" si="67"/>
        <v>47771.6948125</v>
      </c>
      <c r="EN25" s="35">
        <f t="shared" si="68"/>
        <v>3583.2944395</v>
      </c>
      <c r="EO25" s="35">
        <f t="shared" si="128"/>
        <v>37.2322205</v>
      </c>
      <c r="EQ25" s="5">
        <f t="shared" si="129"/>
        <v>68041.242</v>
      </c>
      <c r="ER25" s="5">
        <f t="shared" si="69"/>
        <v>5354.5613625000005</v>
      </c>
      <c r="ES25" s="35">
        <f t="shared" si="70"/>
        <v>73395.8033625</v>
      </c>
      <c r="ET25" s="35">
        <f t="shared" si="71"/>
        <v>5505.3264303000005</v>
      </c>
      <c r="EU25" s="35">
        <f t="shared" si="130"/>
        <v>57.203093700000004</v>
      </c>
      <c r="EW25" s="5">
        <f t="shared" si="131"/>
        <v>322547.154</v>
      </c>
      <c r="EX25" s="5">
        <f t="shared" si="72"/>
        <v>25383.1129125</v>
      </c>
      <c r="EY25" s="5">
        <f t="shared" si="73"/>
        <v>347930.26691249997</v>
      </c>
      <c r="EZ25" s="35">
        <f t="shared" si="74"/>
        <v>26097.8095011</v>
      </c>
      <c r="FA25" s="35">
        <f t="shared" si="132"/>
        <v>271.1692869</v>
      </c>
      <c r="FC25" s="5">
        <f t="shared" si="133"/>
        <v>272835.516</v>
      </c>
      <c r="FD25" s="5">
        <f t="shared" si="75"/>
        <v>21471.014775</v>
      </c>
      <c r="FE25" s="5">
        <f t="shared" si="76"/>
        <v>294306.530775</v>
      </c>
      <c r="FF25" s="35">
        <f t="shared" si="77"/>
        <v>22075.560839399997</v>
      </c>
      <c r="FG25" s="35">
        <f t="shared" si="134"/>
        <v>229.37611259999997</v>
      </c>
      <c r="FI25" s="5">
        <f t="shared" si="135"/>
        <v>1711.8999999999999</v>
      </c>
      <c r="FJ25" s="5">
        <f t="shared" si="78"/>
        <v>134.71937499999999</v>
      </c>
      <c r="FK25" s="5">
        <f t="shared" si="79"/>
        <v>1846.6193749999998</v>
      </c>
      <c r="FL25" s="35">
        <f t="shared" si="80"/>
        <v>138.512585</v>
      </c>
      <c r="FM25" s="35">
        <f t="shared" si="136"/>
        <v>1.439215</v>
      </c>
      <c r="FO25" s="5">
        <f t="shared" si="137"/>
        <v>4821.098</v>
      </c>
      <c r="FP25" s="5">
        <f t="shared" si="81"/>
        <v>379.4002625</v>
      </c>
      <c r="FQ25" s="5">
        <f t="shared" si="82"/>
        <v>5200.4982625</v>
      </c>
      <c r="FR25" s="35">
        <f t="shared" si="83"/>
        <v>390.0828007</v>
      </c>
      <c r="FS25" s="35">
        <f t="shared" si="138"/>
        <v>4.0531553</v>
      </c>
    </row>
    <row r="26" spans="1:175" ht="12.75">
      <c r="A26" s="36">
        <v>47027</v>
      </c>
      <c r="C26" s="77">
        <f>'2019C'!C26</f>
        <v>0</v>
      </c>
      <c r="D26" s="77">
        <f>'2019C'!D26</f>
        <v>346875</v>
      </c>
      <c r="E26" s="34">
        <f t="shared" si="84"/>
        <v>346875</v>
      </c>
      <c r="F26" s="77">
        <f>'2019C'!F26</f>
        <v>522689</v>
      </c>
      <c r="G26" s="77">
        <f>'2019C'!G26</f>
        <v>5431</v>
      </c>
      <c r="I26" s="46"/>
      <c r="J26" s="35">
        <f t="shared" si="0"/>
        <v>77433.253125</v>
      </c>
      <c r="K26" s="35">
        <f t="shared" si="1"/>
        <v>77433.253125</v>
      </c>
      <c r="L26" s="35">
        <f t="shared" si="2"/>
        <v>116680.38815900001</v>
      </c>
      <c r="M26" s="35">
        <f t="shared" si="2"/>
        <v>1212.3675610000003</v>
      </c>
      <c r="N26"/>
      <c r="P26" s="5">
        <f t="shared" si="3"/>
        <v>16234.3396875</v>
      </c>
      <c r="Q26" s="5">
        <f t="shared" si="4"/>
        <v>16234.3396875</v>
      </c>
      <c r="R26" s="35">
        <f t="shared" si="5"/>
        <v>24462.7337713</v>
      </c>
      <c r="S26" s="35">
        <f t="shared" si="86"/>
        <v>254.1800327</v>
      </c>
      <c r="T26"/>
      <c r="V26" s="5">
        <f t="shared" si="6"/>
        <v>2259.4396874999998</v>
      </c>
      <c r="W26" s="35">
        <f t="shared" si="7"/>
        <v>2259.4396874999998</v>
      </c>
      <c r="X26" s="35">
        <f t="shared" si="8"/>
        <v>3404.6393393</v>
      </c>
      <c r="Y26" s="35">
        <f t="shared" si="88"/>
        <v>35.3759047</v>
      </c>
      <c r="Z26" s="35"/>
      <c r="AB26" s="5">
        <f t="shared" si="9"/>
        <v>324.675</v>
      </c>
      <c r="AC26" s="5">
        <f t="shared" si="10"/>
        <v>324.675</v>
      </c>
      <c r="AD26" s="35">
        <f t="shared" si="11"/>
        <v>489.236904</v>
      </c>
      <c r="AE26" s="35">
        <f t="shared" si="90"/>
        <v>5.083416</v>
      </c>
      <c r="AF26"/>
      <c r="AH26" s="5">
        <f t="shared" si="12"/>
        <v>1910.6221875</v>
      </c>
      <c r="AI26" s="5">
        <f t="shared" si="13"/>
        <v>1910.6221875</v>
      </c>
      <c r="AJ26" s="35">
        <f t="shared" si="14"/>
        <v>2879.0232809</v>
      </c>
      <c r="AK26" s="35">
        <f t="shared" si="92"/>
        <v>29.9144911</v>
      </c>
      <c r="AL26"/>
      <c r="AN26" s="5">
        <f t="shared" si="15"/>
        <v>848.9071875</v>
      </c>
      <c r="AO26" s="5">
        <f t="shared" si="16"/>
        <v>848.9071875</v>
      </c>
      <c r="AP26" s="35">
        <f t="shared" si="17"/>
        <v>1279.1767897</v>
      </c>
      <c r="AQ26" s="35">
        <f t="shared" si="94"/>
        <v>13.2912863</v>
      </c>
      <c r="AR26"/>
      <c r="AT26" s="5">
        <f t="shared" si="18"/>
        <v>539.7028125</v>
      </c>
      <c r="AU26" s="5">
        <f t="shared" si="19"/>
        <v>539.7028125</v>
      </c>
      <c r="AV26" s="35">
        <f t="shared" si="20"/>
        <v>813.2518151</v>
      </c>
      <c r="AW26" s="35">
        <f t="shared" si="96"/>
        <v>8.4500929</v>
      </c>
      <c r="AX26"/>
      <c r="AZ26" s="5">
        <f t="shared" si="21"/>
        <v>1456.3546875</v>
      </c>
      <c r="BA26" s="5">
        <f t="shared" si="22"/>
        <v>1456.3546875</v>
      </c>
      <c r="BB26" s="35">
        <f t="shared" si="23"/>
        <v>2194.5097665</v>
      </c>
      <c r="BC26" s="35">
        <f t="shared" si="98"/>
        <v>22.8020535</v>
      </c>
      <c r="BD26"/>
      <c r="BF26" s="5">
        <f t="shared" si="24"/>
        <v>0.27749999999999997</v>
      </c>
      <c r="BG26" s="5">
        <f t="shared" si="25"/>
        <v>0.27749999999999997</v>
      </c>
      <c r="BH26" s="35">
        <f t="shared" si="26"/>
        <v>0.4181512</v>
      </c>
      <c r="BI26" s="35">
        <f t="shared" si="100"/>
        <v>0.0043448</v>
      </c>
      <c r="BJ26"/>
      <c r="BL26" s="5">
        <f t="shared" si="27"/>
        <v>900.9384375</v>
      </c>
      <c r="BM26" s="35">
        <f t="shared" si="28"/>
        <v>900.9384375</v>
      </c>
      <c r="BN26" s="35">
        <f t="shared" si="29"/>
        <v>1357.5801397</v>
      </c>
      <c r="BO26" s="35">
        <f t="shared" si="102"/>
        <v>14.1059363</v>
      </c>
      <c r="BP26"/>
      <c r="BR26" s="5">
        <f t="shared" si="30"/>
        <v>1658.3746875000002</v>
      </c>
      <c r="BS26" s="5">
        <f t="shared" si="31"/>
        <v>1658.3746875000002</v>
      </c>
      <c r="BT26" s="35">
        <f t="shared" si="32"/>
        <v>2498.9238401000002</v>
      </c>
      <c r="BU26" s="35">
        <f t="shared" si="104"/>
        <v>25.9650679</v>
      </c>
      <c r="BV26"/>
      <c r="BX26" s="5">
        <f t="shared" si="33"/>
        <v>4316.65125</v>
      </c>
      <c r="BY26" s="5">
        <f t="shared" si="34"/>
        <v>4316.65125</v>
      </c>
      <c r="BZ26" s="35">
        <f t="shared" si="35"/>
        <v>6504.5509916</v>
      </c>
      <c r="CA26" s="35">
        <f t="shared" si="106"/>
        <v>67.5855364</v>
      </c>
      <c r="CB26"/>
      <c r="CD26" s="5">
        <f t="shared" si="36"/>
        <v>439.1090625</v>
      </c>
      <c r="CE26" s="5">
        <f t="shared" si="37"/>
        <v>439.1090625</v>
      </c>
      <c r="CF26" s="35">
        <f t="shared" si="38"/>
        <v>661.6720051</v>
      </c>
      <c r="CG26" s="35">
        <f t="shared" si="108"/>
        <v>6.8751029</v>
      </c>
      <c r="CH26"/>
      <c r="CJ26" s="5">
        <f t="shared" si="39"/>
        <v>54.875625</v>
      </c>
      <c r="CK26" s="5">
        <f t="shared" si="40"/>
        <v>54.875625</v>
      </c>
      <c r="CL26" s="35">
        <f t="shared" si="41"/>
        <v>82.6893998</v>
      </c>
      <c r="CM26" s="35">
        <f t="shared" si="110"/>
        <v>0.8591842</v>
      </c>
      <c r="CN26"/>
      <c r="CP26" s="5">
        <f t="shared" si="42"/>
        <v>49.5684375</v>
      </c>
      <c r="CQ26" s="5">
        <f t="shared" si="43"/>
        <v>49.5684375</v>
      </c>
      <c r="CR26" s="35">
        <f t="shared" si="44"/>
        <v>74.6922581</v>
      </c>
      <c r="CS26" s="35">
        <f t="shared" si="112"/>
        <v>0.7760899</v>
      </c>
      <c r="CT26"/>
      <c r="CV26" s="5">
        <f t="shared" si="45"/>
        <v>1232.4815625</v>
      </c>
      <c r="CW26" s="5">
        <f t="shared" si="46"/>
        <v>1232.4815625</v>
      </c>
      <c r="CX26" s="35">
        <f t="shared" si="47"/>
        <v>1857.1662859</v>
      </c>
      <c r="CY26" s="35">
        <f t="shared" si="114"/>
        <v>19.296886100000002</v>
      </c>
      <c r="CZ26"/>
      <c r="DB26" s="5">
        <f t="shared" si="48"/>
        <v>95.66812499999999</v>
      </c>
      <c r="DC26" s="5">
        <f t="shared" si="49"/>
        <v>95.66812499999999</v>
      </c>
      <c r="DD26" s="35">
        <f t="shared" si="50"/>
        <v>144.15762619999998</v>
      </c>
      <c r="DE26" s="35">
        <f t="shared" si="116"/>
        <v>1.4978698</v>
      </c>
      <c r="DF26"/>
      <c r="DH26" s="5">
        <f t="shared" si="51"/>
        <v>756.7078124999999</v>
      </c>
      <c r="DI26" s="35">
        <f t="shared" si="52"/>
        <v>756.7078124999999</v>
      </c>
      <c r="DJ26" s="35">
        <f t="shared" si="53"/>
        <v>1140.2460535</v>
      </c>
      <c r="DK26" s="35">
        <f t="shared" si="118"/>
        <v>11.847726499999998</v>
      </c>
      <c r="DN26" s="5">
        <f t="shared" si="54"/>
        <v>3907.2346875000003</v>
      </c>
      <c r="DO26" s="5">
        <f t="shared" si="55"/>
        <v>3907.2346875000003</v>
      </c>
      <c r="DP26" s="35">
        <f t="shared" si="56"/>
        <v>5887.621164900001</v>
      </c>
      <c r="DQ26" s="35">
        <f t="shared" si="120"/>
        <v>61.175327100000004</v>
      </c>
      <c r="DT26" s="5">
        <f t="shared" si="57"/>
        <v>310.0021875</v>
      </c>
      <c r="DU26" s="5">
        <f t="shared" si="58"/>
        <v>310.0021875</v>
      </c>
      <c r="DV26" s="35">
        <f t="shared" si="59"/>
        <v>467.1271593</v>
      </c>
      <c r="DW26" s="35">
        <f t="shared" si="122"/>
        <v>4.8536847</v>
      </c>
      <c r="DZ26" s="5">
        <f t="shared" si="60"/>
        <v>841.6575</v>
      </c>
      <c r="EA26" s="5">
        <f t="shared" si="61"/>
        <v>841.6575</v>
      </c>
      <c r="EB26" s="35">
        <f t="shared" si="62"/>
        <v>1268.2525896</v>
      </c>
      <c r="EC26" s="35">
        <f t="shared" si="124"/>
        <v>13.1777784</v>
      </c>
      <c r="EF26" s="5">
        <f t="shared" si="63"/>
        <v>943.7775</v>
      </c>
      <c r="EG26" s="35">
        <f t="shared" si="64"/>
        <v>943.7775</v>
      </c>
      <c r="EH26" s="35">
        <f t="shared" si="65"/>
        <v>1422.1322312000002</v>
      </c>
      <c r="EI26" s="35">
        <f t="shared" si="126"/>
        <v>14.7766648</v>
      </c>
      <c r="EL26" s="5">
        <f t="shared" si="66"/>
        <v>2378.0015625</v>
      </c>
      <c r="EM26" s="35">
        <f t="shared" si="67"/>
        <v>2378.0015625</v>
      </c>
      <c r="EN26" s="35">
        <f t="shared" si="68"/>
        <v>3583.2944395</v>
      </c>
      <c r="EO26" s="35">
        <f t="shared" si="128"/>
        <v>37.2322205</v>
      </c>
      <c r="ER26" s="5">
        <f t="shared" si="69"/>
        <v>3653.5303125</v>
      </c>
      <c r="ES26" s="35">
        <f t="shared" si="70"/>
        <v>3653.5303125</v>
      </c>
      <c r="ET26" s="35">
        <f t="shared" si="71"/>
        <v>5505.3264303000005</v>
      </c>
      <c r="EU26" s="35">
        <f t="shared" si="130"/>
        <v>57.203093700000004</v>
      </c>
      <c r="EX26" s="5">
        <f t="shared" si="72"/>
        <v>17319.4340625</v>
      </c>
      <c r="EY26" s="5">
        <f t="shared" si="73"/>
        <v>17319.4340625</v>
      </c>
      <c r="EZ26" s="35">
        <f t="shared" si="74"/>
        <v>26097.8095011</v>
      </c>
      <c r="FA26" s="35">
        <f t="shared" si="132"/>
        <v>271.1692869</v>
      </c>
      <c r="FD26" s="5">
        <f t="shared" si="75"/>
        <v>14650.126874999998</v>
      </c>
      <c r="FE26" s="5">
        <f t="shared" si="76"/>
        <v>14650.126874999998</v>
      </c>
      <c r="FF26" s="35">
        <f t="shared" si="77"/>
        <v>22075.560839399997</v>
      </c>
      <c r="FG26" s="35">
        <f t="shared" si="134"/>
        <v>229.37611259999997</v>
      </c>
      <c r="FJ26" s="5">
        <f t="shared" si="78"/>
        <v>91.921875</v>
      </c>
      <c r="FK26" s="5">
        <f t="shared" si="79"/>
        <v>91.921875</v>
      </c>
      <c r="FL26" s="35">
        <f t="shared" si="80"/>
        <v>138.512585</v>
      </c>
      <c r="FM26" s="35">
        <f t="shared" si="136"/>
        <v>1.439215</v>
      </c>
      <c r="FP26" s="5">
        <f t="shared" si="81"/>
        <v>258.8728125</v>
      </c>
      <c r="FQ26" s="5">
        <f t="shared" si="82"/>
        <v>258.8728125</v>
      </c>
      <c r="FR26" s="35">
        <f t="shared" si="83"/>
        <v>390.0828007</v>
      </c>
      <c r="FS26" s="35">
        <f t="shared" si="138"/>
        <v>4.0531553</v>
      </c>
    </row>
    <row r="27" spans="1:175" ht="12.75">
      <c r="A27" s="36">
        <v>47209</v>
      </c>
      <c r="C27" s="77">
        <f>'2019C'!C27</f>
        <v>6775000</v>
      </c>
      <c r="D27" s="77">
        <f>'2019C'!D27</f>
        <v>346875</v>
      </c>
      <c r="E27" s="34">
        <f t="shared" si="84"/>
        <v>7121875</v>
      </c>
      <c r="F27" s="77">
        <f>'2019C'!F27</f>
        <v>522689</v>
      </c>
      <c r="G27" s="77">
        <f>'2019C'!G27</f>
        <v>5431</v>
      </c>
      <c r="I27" s="46">
        <f>O27+U27+AG27+AM27+AS27+AA27+AY27+BE27+BK27+BQ27+BW27+CC27+CI27+CO27+CU27+DA27+DG27+DM27+DS27+DY27+EE27+EK27+EQ27+EW27+FC27+FI27+FO27</f>
        <v>1512390.0250000001</v>
      </c>
      <c r="J27" s="35">
        <f t="shared" si="0"/>
        <v>77433.253125</v>
      </c>
      <c r="K27" s="35">
        <f t="shared" si="1"/>
        <v>1589823.2781250002</v>
      </c>
      <c r="L27" s="35">
        <f t="shared" si="2"/>
        <v>116680.38815900001</v>
      </c>
      <c r="M27" s="35">
        <f t="shared" si="2"/>
        <v>1212.3675610000003</v>
      </c>
      <c r="N27"/>
      <c r="O27" s="5">
        <f t="shared" si="85"/>
        <v>317081.5175</v>
      </c>
      <c r="P27" s="5">
        <f t="shared" si="3"/>
        <v>16234.3396875</v>
      </c>
      <c r="Q27" s="5">
        <f t="shared" si="4"/>
        <v>333315.8571875</v>
      </c>
      <c r="R27" s="35">
        <f t="shared" si="5"/>
        <v>24462.7337713</v>
      </c>
      <c r="S27" s="35">
        <f t="shared" si="86"/>
        <v>254.1800327</v>
      </c>
      <c r="T27"/>
      <c r="U27" s="5">
        <f t="shared" si="87"/>
        <v>44130.3175</v>
      </c>
      <c r="V27" s="5">
        <f t="shared" si="6"/>
        <v>2259.4396874999998</v>
      </c>
      <c r="W27" s="35">
        <f t="shared" si="7"/>
        <v>46389.7571875</v>
      </c>
      <c r="X27" s="35">
        <f t="shared" si="8"/>
        <v>3404.6393393</v>
      </c>
      <c r="Y27" s="35">
        <f t="shared" si="88"/>
        <v>35.3759047</v>
      </c>
      <c r="Z27" s="35"/>
      <c r="AA27" s="5">
        <f t="shared" si="89"/>
        <v>6341.4</v>
      </c>
      <c r="AB27" s="5">
        <f t="shared" si="9"/>
        <v>324.675</v>
      </c>
      <c r="AC27" s="5">
        <f t="shared" si="10"/>
        <v>6666.075</v>
      </c>
      <c r="AD27" s="35">
        <f t="shared" si="11"/>
        <v>489.236904</v>
      </c>
      <c r="AE27" s="35">
        <f t="shared" si="90"/>
        <v>5.083416</v>
      </c>
      <c r="AF27"/>
      <c r="AG27" s="5">
        <f t="shared" si="91"/>
        <v>37317.3775</v>
      </c>
      <c r="AH27" s="5">
        <f t="shared" si="12"/>
        <v>1910.6221875</v>
      </c>
      <c r="AI27" s="5">
        <f t="shared" si="13"/>
        <v>39227.9996875</v>
      </c>
      <c r="AJ27" s="35">
        <f t="shared" si="14"/>
        <v>2879.0232809</v>
      </c>
      <c r="AK27" s="35">
        <f t="shared" si="92"/>
        <v>29.9144911</v>
      </c>
      <c r="AL27"/>
      <c r="AM27" s="5">
        <f t="shared" si="93"/>
        <v>16580.4575</v>
      </c>
      <c r="AN27" s="5">
        <f t="shared" si="15"/>
        <v>848.9071875</v>
      </c>
      <c r="AO27" s="5">
        <f t="shared" si="16"/>
        <v>17429.3646875</v>
      </c>
      <c r="AP27" s="35">
        <f t="shared" si="17"/>
        <v>1279.1767897</v>
      </c>
      <c r="AQ27" s="35">
        <f t="shared" si="94"/>
        <v>13.2912863</v>
      </c>
      <c r="AR27"/>
      <c r="AS27" s="5">
        <f t="shared" si="95"/>
        <v>10541.2225</v>
      </c>
      <c r="AT27" s="5">
        <f t="shared" si="18"/>
        <v>539.7028125</v>
      </c>
      <c r="AU27" s="5">
        <f t="shared" si="19"/>
        <v>11080.9253125</v>
      </c>
      <c r="AV27" s="35">
        <f t="shared" si="20"/>
        <v>813.2518151</v>
      </c>
      <c r="AW27" s="35">
        <f t="shared" si="96"/>
        <v>8.4500929</v>
      </c>
      <c r="AX27"/>
      <c r="AY27" s="5">
        <f t="shared" si="97"/>
        <v>28444.8375</v>
      </c>
      <c r="AZ27" s="5">
        <f t="shared" si="21"/>
        <v>1456.3546875</v>
      </c>
      <c r="BA27" s="5">
        <f t="shared" si="22"/>
        <v>29901.1921875</v>
      </c>
      <c r="BB27" s="35">
        <f t="shared" si="23"/>
        <v>2194.5097665</v>
      </c>
      <c r="BC27" s="35">
        <f t="shared" si="98"/>
        <v>22.8020535</v>
      </c>
      <c r="BD27"/>
      <c r="BE27" s="5">
        <f t="shared" si="99"/>
        <v>5.42</v>
      </c>
      <c r="BF27" s="5">
        <f t="shared" si="24"/>
        <v>0.27749999999999997</v>
      </c>
      <c r="BG27" s="5">
        <f t="shared" si="25"/>
        <v>5.6975</v>
      </c>
      <c r="BH27" s="35">
        <f t="shared" si="26"/>
        <v>0.4181512</v>
      </c>
      <c r="BI27" s="35">
        <f t="shared" si="100"/>
        <v>0.0043448</v>
      </c>
      <c r="BJ27"/>
      <c r="BK27" s="5">
        <f t="shared" si="101"/>
        <v>17596.7075</v>
      </c>
      <c r="BL27" s="5">
        <f t="shared" si="27"/>
        <v>900.9384375</v>
      </c>
      <c r="BM27" s="35">
        <f t="shared" si="28"/>
        <v>18497.6459375</v>
      </c>
      <c r="BN27" s="35">
        <f t="shared" si="29"/>
        <v>1357.5801397</v>
      </c>
      <c r="BO27" s="35">
        <f t="shared" si="102"/>
        <v>14.1059363</v>
      </c>
      <c r="BP27"/>
      <c r="BQ27" s="5">
        <f t="shared" si="103"/>
        <v>32390.597500000003</v>
      </c>
      <c r="BR27" s="5">
        <f t="shared" si="30"/>
        <v>1658.3746875000002</v>
      </c>
      <c r="BS27" s="5">
        <f t="shared" si="31"/>
        <v>34048.9721875</v>
      </c>
      <c r="BT27" s="35">
        <f t="shared" si="32"/>
        <v>2498.9238401000002</v>
      </c>
      <c r="BU27" s="35">
        <f t="shared" si="104"/>
        <v>25.9650679</v>
      </c>
      <c r="BV27"/>
      <c r="BW27" s="5">
        <f t="shared" si="105"/>
        <v>84310.81</v>
      </c>
      <c r="BX27" s="5">
        <f t="shared" si="33"/>
        <v>4316.65125</v>
      </c>
      <c r="BY27" s="5">
        <f t="shared" si="34"/>
        <v>88627.46125</v>
      </c>
      <c r="BZ27" s="35">
        <f t="shared" si="35"/>
        <v>6504.5509916</v>
      </c>
      <c r="CA27" s="35">
        <f t="shared" si="106"/>
        <v>67.5855364</v>
      </c>
      <c r="CB27"/>
      <c r="CC27" s="5">
        <f t="shared" si="107"/>
        <v>8576.4725</v>
      </c>
      <c r="CD27" s="5">
        <f t="shared" si="36"/>
        <v>439.1090625</v>
      </c>
      <c r="CE27" s="5">
        <f t="shared" si="37"/>
        <v>9015.5815625</v>
      </c>
      <c r="CF27" s="35">
        <f t="shared" si="38"/>
        <v>661.6720051</v>
      </c>
      <c r="CG27" s="35">
        <f t="shared" si="108"/>
        <v>6.8751029</v>
      </c>
      <c r="CH27"/>
      <c r="CI27" s="5">
        <f t="shared" si="109"/>
        <v>1071.805</v>
      </c>
      <c r="CJ27" s="5">
        <f t="shared" si="39"/>
        <v>54.875625</v>
      </c>
      <c r="CK27" s="5">
        <f t="shared" si="40"/>
        <v>1126.680625</v>
      </c>
      <c r="CL27" s="35">
        <f t="shared" si="41"/>
        <v>82.6893998</v>
      </c>
      <c r="CM27" s="35">
        <f t="shared" si="110"/>
        <v>0.8591842</v>
      </c>
      <c r="CN27"/>
      <c r="CO27" s="5">
        <f t="shared" si="111"/>
        <v>968.1475</v>
      </c>
      <c r="CP27" s="5">
        <f t="shared" si="42"/>
        <v>49.5684375</v>
      </c>
      <c r="CQ27" s="5">
        <f t="shared" si="43"/>
        <v>1017.7159375</v>
      </c>
      <c r="CR27" s="35">
        <f t="shared" si="44"/>
        <v>74.6922581</v>
      </c>
      <c r="CS27" s="35">
        <f t="shared" si="112"/>
        <v>0.7760899</v>
      </c>
      <c r="CT27"/>
      <c r="CU27" s="5">
        <f t="shared" si="113"/>
        <v>24072.2525</v>
      </c>
      <c r="CV27" s="5">
        <f t="shared" si="45"/>
        <v>1232.4815625</v>
      </c>
      <c r="CW27" s="5">
        <f t="shared" si="46"/>
        <v>25304.7340625</v>
      </c>
      <c r="CX27" s="35">
        <f t="shared" si="47"/>
        <v>1857.1662859</v>
      </c>
      <c r="CY27" s="35">
        <f t="shared" si="114"/>
        <v>19.296886100000002</v>
      </c>
      <c r="CZ27"/>
      <c r="DA27" s="5">
        <f t="shared" si="115"/>
        <v>1868.5449999999998</v>
      </c>
      <c r="DB27" s="5">
        <f t="shared" si="48"/>
        <v>95.66812499999999</v>
      </c>
      <c r="DC27" s="5">
        <f t="shared" si="49"/>
        <v>1964.2131249999998</v>
      </c>
      <c r="DD27" s="35">
        <f t="shared" si="50"/>
        <v>144.15762619999998</v>
      </c>
      <c r="DE27" s="35">
        <f t="shared" si="116"/>
        <v>1.4978698</v>
      </c>
      <c r="DF27"/>
      <c r="DG27" s="5">
        <f t="shared" si="117"/>
        <v>14779.662499999999</v>
      </c>
      <c r="DH27" s="5">
        <f t="shared" si="51"/>
        <v>756.7078124999999</v>
      </c>
      <c r="DI27" s="35">
        <f t="shared" si="52"/>
        <v>15536.3703125</v>
      </c>
      <c r="DJ27" s="35">
        <f t="shared" si="53"/>
        <v>1140.2460535</v>
      </c>
      <c r="DK27" s="35">
        <f t="shared" si="118"/>
        <v>11.847726499999998</v>
      </c>
      <c r="DM27" s="5">
        <f t="shared" si="119"/>
        <v>76314.27750000001</v>
      </c>
      <c r="DN27" s="5">
        <f t="shared" si="54"/>
        <v>3907.2346875000003</v>
      </c>
      <c r="DO27" s="5">
        <f t="shared" si="55"/>
        <v>80221.51218750002</v>
      </c>
      <c r="DP27" s="35">
        <f t="shared" si="56"/>
        <v>5887.621164900001</v>
      </c>
      <c r="DQ27" s="35">
        <f t="shared" si="120"/>
        <v>61.175327100000004</v>
      </c>
      <c r="DS27" s="5">
        <f t="shared" si="121"/>
        <v>6054.8175</v>
      </c>
      <c r="DT27" s="5">
        <f t="shared" si="57"/>
        <v>310.0021875</v>
      </c>
      <c r="DU27" s="5">
        <f t="shared" si="58"/>
        <v>6364.8196875</v>
      </c>
      <c r="DV27" s="35">
        <f t="shared" si="59"/>
        <v>467.1271593</v>
      </c>
      <c r="DW27" s="35">
        <f t="shared" si="122"/>
        <v>4.8536847</v>
      </c>
      <c r="DY27" s="5">
        <f t="shared" si="123"/>
        <v>16438.86</v>
      </c>
      <c r="DZ27" s="5">
        <f t="shared" si="60"/>
        <v>841.6575</v>
      </c>
      <c r="EA27" s="5">
        <f t="shared" si="61"/>
        <v>17280.5175</v>
      </c>
      <c r="EB27" s="35">
        <f t="shared" si="62"/>
        <v>1268.2525896</v>
      </c>
      <c r="EC27" s="35">
        <f t="shared" si="124"/>
        <v>13.1777784</v>
      </c>
      <c r="EE27" s="5">
        <f t="shared" si="125"/>
        <v>18433.420000000002</v>
      </c>
      <c r="EF27" s="5">
        <f t="shared" si="63"/>
        <v>943.7775</v>
      </c>
      <c r="EG27" s="35">
        <f t="shared" si="64"/>
        <v>19377.197500000002</v>
      </c>
      <c r="EH27" s="35">
        <f t="shared" si="65"/>
        <v>1422.1322312000002</v>
      </c>
      <c r="EI27" s="35">
        <f t="shared" si="126"/>
        <v>14.7766648</v>
      </c>
      <c r="EK27" s="5">
        <f t="shared" si="127"/>
        <v>46446.0125</v>
      </c>
      <c r="EL27" s="5">
        <f t="shared" si="66"/>
        <v>2378.0015625</v>
      </c>
      <c r="EM27" s="35">
        <f t="shared" si="67"/>
        <v>48824.0140625</v>
      </c>
      <c r="EN27" s="35">
        <f t="shared" si="68"/>
        <v>3583.2944395</v>
      </c>
      <c r="EO27" s="35">
        <f t="shared" si="128"/>
        <v>37.2322205</v>
      </c>
      <c r="EQ27" s="5">
        <f t="shared" si="129"/>
        <v>71359.04250000001</v>
      </c>
      <c r="ER27" s="5">
        <f t="shared" si="69"/>
        <v>3653.5303125</v>
      </c>
      <c r="ES27" s="35">
        <f t="shared" si="70"/>
        <v>75012.57281250002</v>
      </c>
      <c r="ET27" s="35">
        <f t="shared" si="71"/>
        <v>5505.3264303000005</v>
      </c>
      <c r="EU27" s="35">
        <f t="shared" si="130"/>
        <v>57.203093700000004</v>
      </c>
      <c r="EW27" s="5">
        <f t="shared" si="131"/>
        <v>338275.0725</v>
      </c>
      <c r="EX27" s="5">
        <f t="shared" si="72"/>
        <v>17319.4340625</v>
      </c>
      <c r="EY27" s="5">
        <f t="shared" si="73"/>
        <v>355594.5065625</v>
      </c>
      <c r="EZ27" s="35">
        <f t="shared" si="74"/>
        <v>26097.8095011</v>
      </c>
      <c r="FA27" s="35">
        <f t="shared" si="132"/>
        <v>271.1692869</v>
      </c>
      <c r="FC27" s="5">
        <f t="shared" si="133"/>
        <v>286139.415</v>
      </c>
      <c r="FD27" s="5">
        <f t="shared" si="75"/>
        <v>14650.126874999998</v>
      </c>
      <c r="FE27" s="5">
        <f t="shared" si="76"/>
        <v>300789.541875</v>
      </c>
      <c r="FF27" s="35">
        <f t="shared" si="77"/>
        <v>22075.560839399997</v>
      </c>
      <c r="FG27" s="35">
        <f t="shared" si="134"/>
        <v>229.37611259999997</v>
      </c>
      <c r="FI27" s="5">
        <f t="shared" si="135"/>
        <v>1795.375</v>
      </c>
      <c r="FJ27" s="5">
        <f t="shared" si="78"/>
        <v>91.921875</v>
      </c>
      <c r="FK27" s="5">
        <f t="shared" si="79"/>
        <v>1887.296875</v>
      </c>
      <c r="FL27" s="35">
        <f t="shared" si="80"/>
        <v>138.512585</v>
      </c>
      <c r="FM27" s="35">
        <f t="shared" si="136"/>
        <v>1.439215</v>
      </c>
      <c r="FO27" s="5">
        <f t="shared" si="137"/>
        <v>5056.1825</v>
      </c>
      <c r="FP27" s="5">
        <f t="shared" si="81"/>
        <v>258.8728125</v>
      </c>
      <c r="FQ27" s="5">
        <f t="shared" si="82"/>
        <v>5315.0553125</v>
      </c>
      <c r="FR27" s="35">
        <f t="shared" si="83"/>
        <v>390.0828007</v>
      </c>
      <c r="FS27" s="35">
        <f t="shared" si="138"/>
        <v>4.0531553</v>
      </c>
    </row>
    <row r="28" spans="1:175" ht="12.75">
      <c r="A28" s="36">
        <v>47392</v>
      </c>
      <c r="C28" s="77">
        <f>'2019C'!C28</f>
        <v>0</v>
      </c>
      <c r="D28" s="77">
        <f>'2019C'!D28</f>
        <v>177500</v>
      </c>
      <c r="E28" s="34">
        <f t="shared" si="84"/>
        <v>177500</v>
      </c>
      <c r="F28" s="77">
        <f>'2019C'!F28</f>
        <v>522689</v>
      </c>
      <c r="G28" s="77">
        <f>'2019C'!G28</f>
        <v>5431</v>
      </c>
      <c r="I28" s="46"/>
      <c r="J28" s="35">
        <f t="shared" si="0"/>
        <v>39623.502499999995</v>
      </c>
      <c r="K28" s="35">
        <f t="shared" si="1"/>
        <v>39623.502499999995</v>
      </c>
      <c r="L28" s="35">
        <f t="shared" si="2"/>
        <v>116680.38815900001</v>
      </c>
      <c r="M28" s="35">
        <f t="shared" si="2"/>
        <v>1212.3675610000003</v>
      </c>
      <c r="N28"/>
      <c r="P28" s="5">
        <f t="shared" si="3"/>
        <v>8307.30175</v>
      </c>
      <c r="Q28" s="5">
        <f t="shared" si="4"/>
        <v>8307.30175</v>
      </c>
      <c r="R28" s="35">
        <f t="shared" si="5"/>
        <v>24462.7337713</v>
      </c>
      <c r="S28" s="35">
        <f t="shared" si="86"/>
        <v>254.1800327</v>
      </c>
      <c r="T28"/>
      <c r="V28" s="5">
        <f t="shared" si="6"/>
        <v>1156.18175</v>
      </c>
      <c r="W28" s="35">
        <f t="shared" si="7"/>
        <v>1156.18175</v>
      </c>
      <c r="X28" s="35">
        <f t="shared" si="8"/>
        <v>3404.6393393</v>
      </c>
      <c r="Y28" s="35">
        <f t="shared" si="88"/>
        <v>35.3759047</v>
      </c>
      <c r="Z28" s="35"/>
      <c r="AB28" s="5">
        <f t="shared" si="9"/>
        <v>166.14</v>
      </c>
      <c r="AC28" s="5">
        <f t="shared" si="10"/>
        <v>166.14</v>
      </c>
      <c r="AD28" s="35">
        <f t="shared" si="11"/>
        <v>489.236904</v>
      </c>
      <c r="AE28" s="35">
        <f t="shared" si="90"/>
        <v>5.083416</v>
      </c>
      <c r="AF28"/>
      <c r="AH28" s="5">
        <f t="shared" si="12"/>
        <v>977.68775</v>
      </c>
      <c r="AI28" s="5">
        <f t="shared" si="13"/>
        <v>977.68775</v>
      </c>
      <c r="AJ28" s="35">
        <f t="shared" si="14"/>
        <v>2879.0232809</v>
      </c>
      <c r="AK28" s="35">
        <f t="shared" si="92"/>
        <v>29.9144911</v>
      </c>
      <c r="AL28"/>
      <c r="AN28" s="5">
        <f t="shared" si="15"/>
        <v>434.39574999999996</v>
      </c>
      <c r="AO28" s="5">
        <f t="shared" si="16"/>
        <v>434.39574999999996</v>
      </c>
      <c r="AP28" s="35">
        <f t="shared" si="17"/>
        <v>1279.1767897</v>
      </c>
      <c r="AQ28" s="35">
        <f t="shared" si="94"/>
        <v>13.2912863</v>
      </c>
      <c r="AR28"/>
      <c r="AT28" s="5">
        <f t="shared" si="18"/>
        <v>276.17225</v>
      </c>
      <c r="AU28" s="5">
        <f t="shared" si="19"/>
        <v>276.17225</v>
      </c>
      <c r="AV28" s="35">
        <f t="shared" si="20"/>
        <v>813.2518151</v>
      </c>
      <c r="AW28" s="35">
        <f t="shared" si="96"/>
        <v>8.4500929</v>
      </c>
      <c r="AX28"/>
      <c r="AZ28" s="5">
        <f t="shared" si="21"/>
        <v>745.23375</v>
      </c>
      <c r="BA28" s="5">
        <f t="shared" si="22"/>
        <v>745.23375</v>
      </c>
      <c r="BB28" s="35">
        <f t="shared" si="23"/>
        <v>2194.5097665</v>
      </c>
      <c r="BC28" s="35">
        <f t="shared" si="98"/>
        <v>22.8020535</v>
      </c>
      <c r="BD28"/>
      <c r="BF28" s="5">
        <f t="shared" si="24"/>
        <v>0.142</v>
      </c>
      <c r="BG28" s="5">
        <f t="shared" si="25"/>
        <v>0.142</v>
      </c>
      <c r="BH28" s="35">
        <f t="shared" si="26"/>
        <v>0.4181512</v>
      </c>
      <c r="BI28" s="35">
        <f t="shared" si="100"/>
        <v>0.0043448</v>
      </c>
      <c r="BJ28"/>
      <c r="BL28" s="5">
        <f t="shared" si="27"/>
        <v>461.02074999999996</v>
      </c>
      <c r="BM28" s="35">
        <f t="shared" si="28"/>
        <v>461.02074999999996</v>
      </c>
      <c r="BN28" s="35">
        <f t="shared" si="29"/>
        <v>1357.5801397</v>
      </c>
      <c r="BO28" s="35">
        <f t="shared" si="102"/>
        <v>14.1059363</v>
      </c>
      <c r="BP28"/>
      <c r="BR28" s="5">
        <f t="shared" si="30"/>
        <v>848.6097500000001</v>
      </c>
      <c r="BS28" s="5">
        <f t="shared" si="31"/>
        <v>848.6097500000001</v>
      </c>
      <c r="BT28" s="35">
        <f t="shared" si="32"/>
        <v>2498.9238401000002</v>
      </c>
      <c r="BU28" s="35">
        <f t="shared" si="104"/>
        <v>25.9650679</v>
      </c>
      <c r="BV28"/>
      <c r="BX28" s="5">
        <f t="shared" si="33"/>
        <v>2208.881</v>
      </c>
      <c r="BY28" s="5">
        <f t="shared" si="34"/>
        <v>2208.881</v>
      </c>
      <c r="BZ28" s="35">
        <f t="shared" si="35"/>
        <v>6504.5509916</v>
      </c>
      <c r="CA28" s="35">
        <f t="shared" si="106"/>
        <v>67.5855364</v>
      </c>
      <c r="CB28"/>
      <c r="CD28" s="5">
        <f t="shared" si="36"/>
        <v>224.69725</v>
      </c>
      <c r="CE28" s="5">
        <f t="shared" si="37"/>
        <v>224.69725</v>
      </c>
      <c r="CF28" s="35">
        <f t="shared" si="38"/>
        <v>661.6720051</v>
      </c>
      <c r="CG28" s="35">
        <f t="shared" si="108"/>
        <v>6.8751029</v>
      </c>
      <c r="CH28"/>
      <c r="CJ28" s="5">
        <f t="shared" si="39"/>
        <v>28.0805</v>
      </c>
      <c r="CK28" s="5">
        <f t="shared" si="40"/>
        <v>28.0805</v>
      </c>
      <c r="CL28" s="35">
        <f t="shared" si="41"/>
        <v>82.6893998</v>
      </c>
      <c r="CM28" s="35">
        <f t="shared" si="110"/>
        <v>0.8591842</v>
      </c>
      <c r="CN28"/>
      <c r="CP28" s="5">
        <f t="shared" si="42"/>
        <v>25.36475</v>
      </c>
      <c r="CQ28" s="5">
        <f t="shared" si="43"/>
        <v>25.36475</v>
      </c>
      <c r="CR28" s="35">
        <f t="shared" si="44"/>
        <v>74.6922581</v>
      </c>
      <c r="CS28" s="35">
        <f t="shared" si="112"/>
        <v>0.7760899</v>
      </c>
      <c r="CT28"/>
      <c r="CV28" s="5">
        <f t="shared" si="45"/>
        <v>630.67525</v>
      </c>
      <c r="CW28" s="5">
        <f t="shared" si="46"/>
        <v>630.67525</v>
      </c>
      <c r="CX28" s="35">
        <f t="shared" si="47"/>
        <v>1857.1662859</v>
      </c>
      <c r="CY28" s="35">
        <f t="shared" si="114"/>
        <v>19.296886100000002</v>
      </c>
      <c r="CZ28"/>
      <c r="DB28" s="5">
        <f t="shared" si="48"/>
        <v>48.954499999999996</v>
      </c>
      <c r="DC28" s="5">
        <f t="shared" si="49"/>
        <v>48.954499999999996</v>
      </c>
      <c r="DD28" s="35">
        <f t="shared" si="50"/>
        <v>144.15762619999998</v>
      </c>
      <c r="DE28" s="35">
        <f t="shared" si="116"/>
        <v>1.4978698</v>
      </c>
      <c r="DF28"/>
      <c r="DH28" s="5">
        <f t="shared" si="51"/>
        <v>387.21624999999995</v>
      </c>
      <c r="DI28" s="35">
        <f t="shared" si="52"/>
        <v>387.21624999999995</v>
      </c>
      <c r="DJ28" s="35">
        <f t="shared" si="53"/>
        <v>1140.2460535</v>
      </c>
      <c r="DK28" s="35">
        <f t="shared" si="118"/>
        <v>11.847726499999998</v>
      </c>
      <c r="DN28" s="5">
        <f t="shared" si="54"/>
        <v>1999.37775</v>
      </c>
      <c r="DO28" s="5">
        <f t="shared" si="55"/>
        <v>1999.37775</v>
      </c>
      <c r="DP28" s="35">
        <f t="shared" si="56"/>
        <v>5887.621164900001</v>
      </c>
      <c r="DQ28" s="35">
        <f t="shared" si="120"/>
        <v>61.175327100000004</v>
      </c>
      <c r="DT28" s="5">
        <f t="shared" si="57"/>
        <v>158.63175</v>
      </c>
      <c r="DU28" s="5">
        <f t="shared" si="58"/>
        <v>158.63175</v>
      </c>
      <c r="DV28" s="35">
        <f t="shared" si="59"/>
        <v>467.1271593</v>
      </c>
      <c r="DW28" s="35">
        <f t="shared" si="122"/>
        <v>4.8536847</v>
      </c>
      <c r="DZ28" s="5">
        <f t="shared" si="60"/>
        <v>430.686</v>
      </c>
      <c r="EA28" s="5">
        <f t="shared" si="61"/>
        <v>430.686</v>
      </c>
      <c r="EB28" s="35">
        <f t="shared" si="62"/>
        <v>1268.2525896</v>
      </c>
      <c r="EC28" s="35">
        <f t="shared" si="124"/>
        <v>13.1777784</v>
      </c>
      <c r="EF28" s="5">
        <f t="shared" si="63"/>
        <v>482.94200000000006</v>
      </c>
      <c r="EG28" s="35">
        <f t="shared" si="64"/>
        <v>482.94200000000006</v>
      </c>
      <c r="EH28" s="35">
        <f t="shared" si="65"/>
        <v>1422.1322312000002</v>
      </c>
      <c r="EI28" s="35">
        <f t="shared" si="126"/>
        <v>14.7766648</v>
      </c>
      <c r="EL28" s="5">
        <f t="shared" si="66"/>
        <v>1216.85125</v>
      </c>
      <c r="EM28" s="35">
        <f t="shared" si="67"/>
        <v>1216.85125</v>
      </c>
      <c r="EN28" s="35">
        <f t="shared" si="68"/>
        <v>3583.2944395</v>
      </c>
      <c r="EO28" s="35">
        <f t="shared" si="128"/>
        <v>37.2322205</v>
      </c>
      <c r="ER28" s="5">
        <f t="shared" si="69"/>
        <v>1869.5542500000001</v>
      </c>
      <c r="ES28" s="35">
        <f t="shared" si="70"/>
        <v>1869.5542500000001</v>
      </c>
      <c r="ET28" s="35">
        <f t="shared" si="71"/>
        <v>5505.3264303000005</v>
      </c>
      <c r="EU28" s="35">
        <f t="shared" si="130"/>
        <v>57.203093700000004</v>
      </c>
      <c r="EX28" s="5">
        <f t="shared" si="72"/>
        <v>8862.55725</v>
      </c>
      <c r="EY28" s="5">
        <f t="shared" si="73"/>
        <v>8862.55725</v>
      </c>
      <c r="EZ28" s="35">
        <f t="shared" si="74"/>
        <v>26097.8095011</v>
      </c>
      <c r="FA28" s="35">
        <f t="shared" si="132"/>
        <v>271.1692869</v>
      </c>
      <c r="FD28" s="5">
        <f t="shared" si="75"/>
        <v>7496.6415</v>
      </c>
      <c r="FE28" s="5">
        <f t="shared" si="76"/>
        <v>7496.6415</v>
      </c>
      <c r="FF28" s="35">
        <f t="shared" si="77"/>
        <v>22075.560839399997</v>
      </c>
      <c r="FG28" s="35">
        <f t="shared" si="134"/>
        <v>229.37611259999997</v>
      </c>
      <c r="FJ28" s="5">
        <f t="shared" si="78"/>
        <v>47.0375</v>
      </c>
      <c r="FK28" s="5">
        <f t="shared" si="79"/>
        <v>47.0375</v>
      </c>
      <c r="FL28" s="35">
        <f t="shared" si="80"/>
        <v>138.512585</v>
      </c>
      <c r="FM28" s="35">
        <f t="shared" si="136"/>
        <v>1.439215</v>
      </c>
      <c r="FP28" s="5">
        <f t="shared" si="81"/>
        <v>132.46824999999998</v>
      </c>
      <c r="FQ28" s="5">
        <f t="shared" si="82"/>
        <v>132.46824999999998</v>
      </c>
      <c r="FR28" s="35">
        <f t="shared" si="83"/>
        <v>390.0828007</v>
      </c>
      <c r="FS28" s="35">
        <f t="shared" si="138"/>
        <v>4.0531553</v>
      </c>
    </row>
    <row r="29" spans="1:175" ht="12.75">
      <c r="A29" s="36">
        <v>11049</v>
      </c>
      <c r="C29" s="77">
        <f>'2019C'!C29</f>
        <v>7100000</v>
      </c>
      <c r="D29" s="77">
        <f>'2019C'!D29</f>
        <v>177500</v>
      </c>
      <c r="E29" s="34">
        <f t="shared" si="84"/>
        <v>7277500</v>
      </c>
      <c r="F29" s="77">
        <f>'2019C'!F29</f>
        <v>522689</v>
      </c>
      <c r="G29" s="77">
        <f>'2019C'!G29</f>
        <v>5431</v>
      </c>
      <c r="I29" s="46">
        <f>O29+U29+AG29+AM29+AS29+AA29+AY29+BE29+BK29+BQ29+BW29+CC29+CI29+CO29+CU29+DA29+DG29+DM29+DS29+DY29+EE29+EK29+EQ29+EW29+FC29+FI29+FO29</f>
        <v>1584940.1</v>
      </c>
      <c r="J29" s="35">
        <f t="shared" si="0"/>
        <v>39623.502499999995</v>
      </c>
      <c r="K29" s="35">
        <f t="shared" si="1"/>
        <v>1624563.6025</v>
      </c>
      <c r="L29" s="35">
        <f t="shared" si="2"/>
        <v>116680.38815900001</v>
      </c>
      <c r="M29" s="35">
        <f t="shared" si="2"/>
        <v>1212.3675610000003</v>
      </c>
      <c r="N29"/>
      <c r="O29" s="5">
        <f t="shared" si="85"/>
        <v>332292.07</v>
      </c>
      <c r="P29" s="5">
        <f t="shared" si="3"/>
        <v>8307.30175</v>
      </c>
      <c r="Q29" s="5">
        <f t="shared" si="4"/>
        <v>340599.37175</v>
      </c>
      <c r="R29" s="35">
        <f t="shared" si="5"/>
        <v>24462.7337713</v>
      </c>
      <c r="S29" s="35">
        <f t="shared" si="86"/>
        <v>254.1800327</v>
      </c>
      <c r="T29"/>
      <c r="U29" s="5">
        <f t="shared" si="87"/>
        <v>46247.27</v>
      </c>
      <c r="V29" s="5">
        <f t="shared" si="6"/>
        <v>1156.18175</v>
      </c>
      <c r="W29" s="35">
        <f t="shared" si="7"/>
        <v>47403.45175</v>
      </c>
      <c r="X29" s="35">
        <f t="shared" si="8"/>
        <v>3404.6393393</v>
      </c>
      <c r="Y29" s="35">
        <f t="shared" si="88"/>
        <v>35.3759047</v>
      </c>
      <c r="Z29" s="35"/>
      <c r="AA29" s="5">
        <f t="shared" si="89"/>
        <v>6645.599999999999</v>
      </c>
      <c r="AB29" s="5">
        <f t="shared" si="9"/>
        <v>166.14</v>
      </c>
      <c r="AC29" s="5">
        <f t="shared" si="10"/>
        <v>6811.74</v>
      </c>
      <c r="AD29" s="35">
        <f t="shared" si="11"/>
        <v>489.236904</v>
      </c>
      <c r="AE29" s="35">
        <f t="shared" si="90"/>
        <v>5.083416</v>
      </c>
      <c r="AF29"/>
      <c r="AG29" s="5">
        <f t="shared" si="91"/>
        <v>39107.51</v>
      </c>
      <c r="AH29" s="5">
        <f t="shared" si="12"/>
        <v>977.68775</v>
      </c>
      <c r="AI29" s="5">
        <f t="shared" si="13"/>
        <v>40085.19775</v>
      </c>
      <c r="AJ29" s="35">
        <f t="shared" si="14"/>
        <v>2879.0232809</v>
      </c>
      <c r="AK29" s="35">
        <f t="shared" si="92"/>
        <v>29.9144911</v>
      </c>
      <c r="AL29"/>
      <c r="AM29" s="5">
        <f t="shared" si="93"/>
        <v>17375.829999999998</v>
      </c>
      <c r="AN29" s="5">
        <f t="shared" si="15"/>
        <v>434.39574999999996</v>
      </c>
      <c r="AO29" s="5">
        <f t="shared" si="16"/>
        <v>17810.225749999998</v>
      </c>
      <c r="AP29" s="35">
        <f t="shared" si="17"/>
        <v>1279.1767897</v>
      </c>
      <c r="AQ29" s="35">
        <f t="shared" si="94"/>
        <v>13.2912863</v>
      </c>
      <c r="AR29"/>
      <c r="AS29" s="5">
        <f t="shared" si="95"/>
        <v>11046.89</v>
      </c>
      <c r="AT29" s="5">
        <f t="shared" si="18"/>
        <v>276.17225</v>
      </c>
      <c r="AU29" s="5">
        <f t="shared" si="19"/>
        <v>11323.062249999999</v>
      </c>
      <c r="AV29" s="35">
        <f t="shared" si="20"/>
        <v>813.2518151</v>
      </c>
      <c r="AW29" s="35">
        <f t="shared" si="96"/>
        <v>8.4500929</v>
      </c>
      <c r="AX29"/>
      <c r="AY29" s="5">
        <f t="shared" si="97"/>
        <v>29809.35</v>
      </c>
      <c r="AZ29" s="5">
        <f t="shared" si="21"/>
        <v>745.23375</v>
      </c>
      <c r="BA29" s="5">
        <f t="shared" si="22"/>
        <v>30554.583749999998</v>
      </c>
      <c r="BB29" s="35">
        <f t="shared" si="23"/>
        <v>2194.5097665</v>
      </c>
      <c r="BC29" s="35">
        <f t="shared" si="98"/>
        <v>22.8020535</v>
      </c>
      <c r="BD29"/>
      <c r="BE29" s="5">
        <f t="shared" si="99"/>
        <v>5.68</v>
      </c>
      <c r="BF29" s="5">
        <f t="shared" si="24"/>
        <v>0.142</v>
      </c>
      <c r="BG29" s="5">
        <f t="shared" si="25"/>
        <v>5.822</v>
      </c>
      <c r="BH29" s="35">
        <f t="shared" si="26"/>
        <v>0.4181512</v>
      </c>
      <c r="BI29" s="35">
        <f t="shared" si="100"/>
        <v>0.0043448</v>
      </c>
      <c r="BJ29"/>
      <c r="BK29" s="5">
        <f t="shared" si="101"/>
        <v>18440.829999999998</v>
      </c>
      <c r="BL29" s="5">
        <f t="shared" si="27"/>
        <v>461.02074999999996</v>
      </c>
      <c r="BM29" s="35">
        <f t="shared" si="28"/>
        <v>18901.850749999998</v>
      </c>
      <c r="BN29" s="35">
        <f t="shared" si="29"/>
        <v>1357.5801397</v>
      </c>
      <c r="BO29" s="35">
        <f t="shared" si="102"/>
        <v>14.1059363</v>
      </c>
      <c r="BP29"/>
      <c r="BQ29" s="5">
        <f t="shared" si="103"/>
        <v>33944.39</v>
      </c>
      <c r="BR29" s="5">
        <f t="shared" si="30"/>
        <v>848.6097500000001</v>
      </c>
      <c r="BS29" s="5">
        <f t="shared" si="31"/>
        <v>34792.99975</v>
      </c>
      <c r="BT29" s="35">
        <f t="shared" si="32"/>
        <v>2498.9238401000002</v>
      </c>
      <c r="BU29" s="35">
        <f t="shared" si="104"/>
        <v>25.9650679</v>
      </c>
      <c r="BV29"/>
      <c r="BW29" s="5">
        <f t="shared" si="105"/>
        <v>88355.23999999999</v>
      </c>
      <c r="BX29" s="5">
        <f t="shared" si="33"/>
        <v>2208.881</v>
      </c>
      <c r="BY29" s="5">
        <f t="shared" si="34"/>
        <v>90564.12099999998</v>
      </c>
      <c r="BZ29" s="35">
        <f t="shared" si="35"/>
        <v>6504.5509916</v>
      </c>
      <c r="CA29" s="35">
        <f t="shared" si="106"/>
        <v>67.5855364</v>
      </c>
      <c r="CB29"/>
      <c r="CC29" s="5">
        <f t="shared" si="107"/>
        <v>8987.89</v>
      </c>
      <c r="CD29" s="5">
        <f t="shared" si="36"/>
        <v>224.69725</v>
      </c>
      <c r="CE29" s="5">
        <f t="shared" si="37"/>
        <v>9212.587249999999</v>
      </c>
      <c r="CF29" s="35">
        <f t="shared" si="38"/>
        <v>661.6720051</v>
      </c>
      <c r="CG29" s="35">
        <f t="shared" si="108"/>
        <v>6.8751029</v>
      </c>
      <c r="CH29"/>
      <c r="CI29" s="5">
        <f t="shared" si="109"/>
        <v>1123.22</v>
      </c>
      <c r="CJ29" s="5">
        <f t="shared" si="39"/>
        <v>28.0805</v>
      </c>
      <c r="CK29" s="5">
        <f t="shared" si="40"/>
        <v>1151.3005</v>
      </c>
      <c r="CL29" s="35">
        <f t="shared" si="41"/>
        <v>82.6893998</v>
      </c>
      <c r="CM29" s="35">
        <f t="shared" si="110"/>
        <v>0.8591842</v>
      </c>
      <c r="CN29"/>
      <c r="CO29" s="5">
        <f t="shared" si="111"/>
        <v>1014.59</v>
      </c>
      <c r="CP29" s="5">
        <f t="shared" si="42"/>
        <v>25.36475</v>
      </c>
      <c r="CQ29" s="5">
        <f t="shared" si="43"/>
        <v>1039.95475</v>
      </c>
      <c r="CR29" s="35">
        <f t="shared" si="44"/>
        <v>74.6922581</v>
      </c>
      <c r="CS29" s="35">
        <f t="shared" si="112"/>
        <v>0.7760899</v>
      </c>
      <c r="CT29"/>
      <c r="CU29" s="5">
        <f t="shared" si="113"/>
        <v>25227.01</v>
      </c>
      <c r="CV29" s="5">
        <f t="shared" si="45"/>
        <v>630.67525</v>
      </c>
      <c r="CW29" s="5">
        <f t="shared" si="46"/>
        <v>25857.68525</v>
      </c>
      <c r="CX29" s="35">
        <f t="shared" si="47"/>
        <v>1857.1662859</v>
      </c>
      <c r="CY29" s="35">
        <f t="shared" si="114"/>
        <v>19.296886100000002</v>
      </c>
      <c r="CZ29"/>
      <c r="DA29" s="5">
        <f t="shared" si="115"/>
        <v>1958.1799999999998</v>
      </c>
      <c r="DB29" s="5">
        <f t="shared" si="48"/>
        <v>48.954499999999996</v>
      </c>
      <c r="DC29" s="5">
        <f t="shared" si="49"/>
        <v>2007.1345</v>
      </c>
      <c r="DD29" s="35">
        <f t="shared" si="50"/>
        <v>144.15762619999998</v>
      </c>
      <c r="DE29" s="35">
        <f t="shared" si="116"/>
        <v>1.4978698</v>
      </c>
      <c r="DF29"/>
      <c r="DG29" s="5">
        <f t="shared" si="117"/>
        <v>15488.65</v>
      </c>
      <c r="DH29" s="5">
        <f t="shared" si="51"/>
        <v>387.21624999999995</v>
      </c>
      <c r="DI29" s="35">
        <f t="shared" si="52"/>
        <v>15875.86625</v>
      </c>
      <c r="DJ29" s="35">
        <f t="shared" si="53"/>
        <v>1140.2460535</v>
      </c>
      <c r="DK29" s="35">
        <f t="shared" si="118"/>
        <v>11.847726499999998</v>
      </c>
      <c r="DM29" s="5">
        <f t="shared" si="119"/>
        <v>79975.11</v>
      </c>
      <c r="DN29" s="5">
        <f t="shared" si="54"/>
        <v>1999.37775</v>
      </c>
      <c r="DO29" s="5">
        <f t="shared" si="55"/>
        <v>81974.48775</v>
      </c>
      <c r="DP29" s="35">
        <f t="shared" si="56"/>
        <v>5887.621164900001</v>
      </c>
      <c r="DQ29" s="35">
        <f t="shared" si="120"/>
        <v>61.175327100000004</v>
      </c>
      <c r="DS29" s="5">
        <f t="shared" si="121"/>
        <v>6345.2699999999995</v>
      </c>
      <c r="DT29" s="5">
        <f t="shared" si="57"/>
        <v>158.63175</v>
      </c>
      <c r="DU29" s="5">
        <f t="shared" si="58"/>
        <v>6503.901749999999</v>
      </c>
      <c r="DV29" s="35">
        <f t="shared" si="59"/>
        <v>467.1271593</v>
      </c>
      <c r="DW29" s="35">
        <f t="shared" si="122"/>
        <v>4.8536847</v>
      </c>
      <c r="DY29" s="5">
        <f t="shared" si="123"/>
        <v>17227.44</v>
      </c>
      <c r="DZ29" s="5">
        <f t="shared" si="60"/>
        <v>430.686</v>
      </c>
      <c r="EA29" s="5">
        <f t="shared" si="61"/>
        <v>17658.126</v>
      </c>
      <c r="EB29" s="35">
        <f t="shared" si="62"/>
        <v>1268.2525896</v>
      </c>
      <c r="EC29" s="35">
        <f t="shared" si="124"/>
        <v>13.1777784</v>
      </c>
      <c r="EE29" s="5">
        <f t="shared" si="125"/>
        <v>19317.68</v>
      </c>
      <c r="EF29" s="5">
        <f t="shared" si="63"/>
        <v>482.94200000000006</v>
      </c>
      <c r="EG29" s="35">
        <f t="shared" si="64"/>
        <v>19800.622</v>
      </c>
      <c r="EH29" s="35">
        <f t="shared" si="65"/>
        <v>1422.1322312000002</v>
      </c>
      <c r="EI29" s="35">
        <f t="shared" si="126"/>
        <v>14.7766648</v>
      </c>
      <c r="EK29" s="5">
        <f t="shared" si="127"/>
        <v>48674.049999999996</v>
      </c>
      <c r="EL29" s="5">
        <f t="shared" si="66"/>
        <v>1216.85125</v>
      </c>
      <c r="EM29" s="35">
        <f t="shared" si="67"/>
        <v>49890.901249999995</v>
      </c>
      <c r="EN29" s="35">
        <f t="shared" si="68"/>
        <v>3583.2944395</v>
      </c>
      <c r="EO29" s="35">
        <f t="shared" si="128"/>
        <v>37.2322205</v>
      </c>
      <c r="EQ29" s="5">
        <f t="shared" si="129"/>
        <v>74782.17</v>
      </c>
      <c r="ER29" s="5">
        <f t="shared" si="69"/>
        <v>1869.5542500000001</v>
      </c>
      <c r="ES29" s="35">
        <f t="shared" si="70"/>
        <v>76651.72425</v>
      </c>
      <c r="ET29" s="35">
        <f t="shared" si="71"/>
        <v>5505.3264303000005</v>
      </c>
      <c r="EU29" s="35">
        <f t="shared" si="130"/>
        <v>57.203093700000004</v>
      </c>
      <c r="EW29" s="5">
        <f t="shared" si="131"/>
        <v>354502.29</v>
      </c>
      <c r="EX29" s="5">
        <f t="shared" si="72"/>
        <v>8862.55725</v>
      </c>
      <c r="EY29" s="5">
        <f t="shared" si="73"/>
        <v>363364.84725</v>
      </c>
      <c r="EZ29" s="35">
        <f t="shared" si="74"/>
        <v>26097.8095011</v>
      </c>
      <c r="FA29" s="35">
        <f t="shared" si="132"/>
        <v>271.1692869</v>
      </c>
      <c r="FC29" s="5">
        <f t="shared" si="133"/>
        <v>299865.66</v>
      </c>
      <c r="FD29" s="5">
        <f t="shared" si="75"/>
        <v>7496.6415</v>
      </c>
      <c r="FE29" s="5">
        <f t="shared" si="76"/>
        <v>307362.3015</v>
      </c>
      <c r="FF29" s="35">
        <f t="shared" si="77"/>
        <v>22075.560839399997</v>
      </c>
      <c r="FG29" s="35">
        <f t="shared" si="134"/>
        <v>229.37611259999997</v>
      </c>
      <c r="FI29" s="5">
        <f t="shared" si="135"/>
        <v>1881.5</v>
      </c>
      <c r="FJ29" s="5">
        <f t="shared" si="78"/>
        <v>47.0375</v>
      </c>
      <c r="FK29" s="5">
        <f t="shared" si="79"/>
        <v>1928.5375</v>
      </c>
      <c r="FL29" s="35">
        <f t="shared" si="80"/>
        <v>138.512585</v>
      </c>
      <c r="FM29" s="35">
        <f t="shared" si="136"/>
        <v>1.439215</v>
      </c>
      <c r="FO29" s="5">
        <f t="shared" si="137"/>
        <v>5298.73</v>
      </c>
      <c r="FP29" s="5">
        <f t="shared" si="81"/>
        <v>132.46824999999998</v>
      </c>
      <c r="FQ29" s="5">
        <f t="shared" si="82"/>
        <v>5431.1982499999995</v>
      </c>
      <c r="FR29" s="35">
        <f t="shared" si="83"/>
        <v>390.0828007</v>
      </c>
      <c r="FS29" s="35">
        <f t="shared" si="138"/>
        <v>4.0531553</v>
      </c>
    </row>
    <row r="30" spans="2:112" ht="12.75">
      <c r="B30" s="33"/>
      <c r="C30" s="34"/>
      <c r="D30" s="34"/>
      <c r="E30" s="34"/>
      <c r="F30" s="34"/>
      <c r="G30" s="34"/>
      <c r="I30"/>
      <c r="J30"/>
      <c r="K30"/>
      <c r="L30"/>
      <c r="M30"/>
      <c r="N30"/>
      <c r="O30"/>
      <c r="P30"/>
      <c r="Q30"/>
      <c r="T30"/>
      <c r="U30"/>
      <c r="V30"/>
      <c r="W30"/>
      <c r="AA30"/>
      <c r="AB30"/>
      <c r="AC30"/>
      <c r="AF30"/>
      <c r="AG30"/>
      <c r="AH30"/>
      <c r="AI30"/>
      <c r="AL30"/>
      <c r="AM30"/>
      <c r="AN30"/>
      <c r="AO30"/>
      <c r="AR30"/>
      <c r="AS30"/>
      <c r="AT30"/>
      <c r="AX30"/>
      <c r="AY30"/>
      <c r="AZ30"/>
      <c r="BA30"/>
      <c r="BD30"/>
      <c r="BE30"/>
      <c r="BF30"/>
      <c r="BG30"/>
      <c r="BJ30"/>
      <c r="BK30"/>
      <c r="BL30"/>
      <c r="BM30"/>
      <c r="BP30"/>
      <c r="BQ30"/>
      <c r="BR30"/>
      <c r="BS30"/>
      <c r="BV30"/>
      <c r="BW30"/>
      <c r="BX30"/>
      <c r="BY30"/>
      <c r="CB30"/>
      <c r="CC30"/>
      <c r="CD30"/>
      <c r="CE30"/>
      <c r="CH30"/>
      <c r="CI30"/>
      <c r="CJ30"/>
      <c r="CK30"/>
      <c r="CN30"/>
      <c r="CO30"/>
      <c r="CP30"/>
      <c r="CQ30"/>
      <c r="CT30"/>
      <c r="CU30"/>
      <c r="CV30"/>
      <c r="CW30"/>
      <c r="CZ30"/>
      <c r="DA30"/>
      <c r="DB30"/>
      <c r="DC30"/>
      <c r="DF30"/>
      <c r="DG30"/>
      <c r="DH30"/>
    </row>
    <row r="31" spans="1:175" ht="13.5" thickBot="1">
      <c r="A31" s="37" t="s">
        <v>18</v>
      </c>
      <c r="C31" s="38">
        <f>SUM(C8:C30)</f>
        <v>53815000</v>
      </c>
      <c r="D31" s="38">
        <f>SUM(D8:D30)</f>
        <v>17245688</v>
      </c>
      <c r="E31" s="38">
        <f>SUM(E8:E30)</f>
        <v>71060688</v>
      </c>
      <c r="F31" s="38">
        <f>SUM(F8:F30)</f>
        <v>10976459</v>
      </c>
      <c r="G31" s="38">
        <f>SUM(G8:G30)</f>
        <v>114045</v>
      </c>
      <c r="I31" s="38">
        <f>SUM(I8:I30)</f>
        <v>12013176.265</v>
      </c>
      <c r="J31" s="38">
        <f>SUM(J8:J30)</f>
        <v>3849772.1779279993</v>
      </c>
      <c r="K31" s="38">
        <f>SUM(K8:K30)</f>
        <v>15862948.442928001</v>
      </c>
      <c r="L31" s="38">
        <f>SUM(L8:L30)</f>
        <v>2450285.919029</v>
      </c>
      <c r="M31" s="38">
        <f>SUM(M8:M30)</f>
        <v>25458.379395</v>
      </c>
      <c r="O31" s="38">
        <f>SUM(O8:O30)</f>
        <v>2518633.4855</v>
      </c>
      <c r="P31" s="38">
        <f>SUM(P8:P30)</f>
        <v>807127.5160695999</v>
      </c>
      <c r="Q31" s="38">
        <f>SUM(Q8:Q30)</f>
        <v>3325761.0015696003</v>
      </c>
      <c r="R31" s="38">
        <f>SUM(R8:R30)</f>
        <v>513716.9411803</v>
      </c>
      <c r="S31" s="38">
        <f>SUM(S8:S30)</f>
        <v>5337.499876500001</v>
      </c>
      <c r="U31" s="38">
        <f>SUM(U8:U30)</f>
        <v>350534.7655</v>
      </c>
      <c r="V31" s="38">
        <f>SUM(V8:V30)</f>
        <v>112333.2379256</v>
      </c>
      <c r="W31" s="38">
        <f>SUM(W8:W30)</f>
        <v>462868.0034256</v>
      </c>
      <c r="X31" s="38">
        <f>SUM(X8:X30)</f>
        <v>71497.36098830003</v>
      </c>
      <c r="Y31" s="38">
        <f>SUM(Y8:Y30)</f>
        <v>742.8549164999997</v>
      </c>
      <c r="Z31" s="34"/>
      <c r="AA31" s="38">
        <f>SUM(AA8:AA30)</f>
        <v>50370.840000000004</v>
      </c>
      <c r="AB31" s="38">
        <f>SUM(AB8:AB30)</f>
        <v>16141.963967999996</v>
      </c>
      <c r="AC31" s="38">
        <f>SUM(AC8:AC30)</f>
        <v>66512.80396800001</v>
      </c>
      <c r="AD31" s="38">
        <f>SUM(AD8:AD30)</f>
        <v>10273.965623999999</v>
      </c>
      <c r="AE31" s="38">
        <f>SUM(AE8:AE30)</f>
        <v>106.74611999999999</v>
      </c>
      <c r="AG31" s="38">
        <f>SUM(AG8:AG30)</f>
        <v>296418.40150000004</v>
      </c>
      <c r="AH31" s="38">
        <f>SUM(AH8:AH30)</f>
        <v>94990.97407280002</v>
      </c>
      <c r="AI31" s="38">
        <f>SUM(AI8:AI30)</f>
        <v>391409.3755728</v>
      </c>
      <c r="AJ31" s="38">
        <f>SUM(AJ8:AJ30)</f>
        <v>60459.43381790001</v>
      </c>
      <c r="AK31" s="38">
        <f>SUM(AK8:AK30)</f>
        <v>628.1712645</v>
      </c>
      <c r="AM31" s="38">
        <f>SUM(AM8:AM30)</f>
        <v>131701.44950000002</v>
      </c>
      <c r="AN31" s="38">
        <f>SUM(AN8:AN30)</f>
        <v>42205.37224240001</v>
      </c>
      <c r="AO31" s="38">
        <f>SUM(AO8:AO30)</f>
        <v>173906.82174239994</v>
      </c>
      <c r="AP31" s="38">
        <f>SUM(AP8:AP30)</f>
        <v>26862.688110699986</v>
      </c>
      <c r="AQ31" s="38">
        <f>SUM(AQ8:AQ30)</f>
        <v>279.1023285</v>
      </c>
      <c r="AS31" s="38">
        <f>SUM(AS8:AS30)</f>
        <v>83730.75850000001</v>
      </c>
      <c r="AT31" s="38">
        <f>SUM(AT8:AT30)</f>
        <v>26832.565959199997</v>
      </c>
      <c r="AU31" s="38">
        <f>SUM(AU8:AU30)</f>
        <v>110563.3244592</v>
      </c>
      <c r="AV31" s="38">
        <f>SUM(AV8:AV30)</f>
        <v>17078.272558100005</v>
      </c>
      <c r="AW31" s="38">
        <f>SUM(AW8:AW30)</f>
        <v>177.44261549999993</v>
      </c>
      <c r="AY31" s="38">
        <f>SUM(AY8:AY30)</f>
        <v>225942.2775</v>
      </c>
      <c r="AZ31" s="38">
        <f>SUM(AZ8:AZ30)</f>
        <v>72406.02106799999</v>
      </c>
      <c r="BA31" s="38">
        <f>SUM(BA8:BA30)</f>
        <v>298348.29856799997</v>
      </c>
      <c r="BB31" s="38">
        <f>SUM(BB8:BB30)</f>
        <v>46084.66311149999</v>
      </c>
      <c r="BC31" s="38">
        <f>SUM(BC8:BC30)</f>
        <v>478.8179325</v>
      </c>
      <c r="BE31" s="38">
        <f>SUM(BE8:BE30)</f>
        <v>43.052</v>
      </c>
      <c r="BF31" s="38">
        <f>SUM(BF8:BF30)</f>
        <v>13.796550399999996</v>
      </c>
      <c r="BG31" s="38">
        <f>SUM(BG8:BG30)</f>
        <v>56.84855040000001</v>
      </c>
      <c r="BH31" s="38">
        <f>SUM(BH8:BH30)</f>
        <v>8.781167199999997</v>
      </c>
      <c r="BI31" s="38">
        <f>SUM(BI8:BI30)</f>
        <v>0.09123599999999998</v>
      </c>
      <c r="BK31" s="38">
        <f>SUM(BK8:BK30)</f>
        <v>139773.69950000002</v>
      </c>
      <c r="BL31" s="38">
        <f>SUM(BL8:BL30)</f>
        <v>44792.2254424</v>
      </c>
      <c r="BM31" s="38">
        <f>SUM(BM8:BM30)</f>
        <v>184565.92494240002</v>
      </c>
      <c r="BN31" s="38">
        <f>SUM(BN8:BN30)</f>
        <v>28509.156960699995</v>
      </c>
      <c r="BO31" s="38">
        <f>SUM(BO8:BO30)</f>
        <v>296.2090785</v>
      </c>
      <c r="BQ31" s="38">
        <f>SUM(BQ8:BQ30)</f>
        <v>257284.1335</v>
      </c>
      <c r="BR31" s="38">
        <f>SUM(BR8:BR30)</f>
        <v>82449.90975920003</v>
      </c>
      <c r="BS31" s="38">
        <f>SUM(BS8:BS30)</f>
        <v>339734.0432592</v>
      </c>
      <c r="BT31" s="38">
        <f>SUM(BT8:BT30)</f>
        <v>52477.35283310003</v>
      </c>
      <c r="BU31" s="38">
        <f>SUM(BU8:BU30)</f>
        <v>545.2377405000001</v>
      </c>
      <c r="BW31" s="38">
        <f>SUM(BW8:BW30)</f>
        <v>669695.3859999999</v>
      </c>
      <c r="BX31" s="38">
        <f>SUM(BX8:BX30)</f>
        <v>214612.23974720002</v>
      </c>
      <c r="BY31" s="38">
        <f>SUM(BY8:BY30)</f>
        <v>884307.6257471999</v>
      </c>
      <c r="BZ31" s="38">
        <f>SUM(BZ8:BZ30)</f>
        <v>136595.4463796</v>
      </c>
      <c r="CA31" s="38">
        <f>SUM(CA8:CA30)</f>
        <v>1419.2215979999996</v>
      </c>
      <c r="CC31" s="38">
        <f>SUM(CC8:CC30)</f>
        <v>68124.40849999999</v>
      </c>
      <c r="CD31" s="38">
        <f>SUM(CD8:CD30)</f>
        <v>21831.316439199996</v>
      </c>
      <c r="CE31" s="38">
        <f>SUM(CE8:CE30)</f>
        <v>89955.7249392</v>
      </c>
      <c r="CF31" s="38">
        <f>SUM(CF8:CF30)</f>
        <v>13895.099448099996</v>
      </c>
      <c r="CG31" s="38">
        <f>SUM(CG8:CG30)</f>
        <v>144.36956550000002</v>
      </c>
      <c r="CI31" s="38">
        <f>SUM(CI8:CI30)</f>
        <v>8513.533</v>
      </c>
      <c r="CJ31" s="38">
        <f>SUM(CJ8:CJ30)</f>
        <v>2728.2678416</v>
      </c>
      <c r="CK31" s="38">
        <f>SUM(CK8:CK30)</f>
        <v>11241.800841600003</v>
      </c>
      <c r="CL31" s="38">
        <f>SUM(CL8:CL30)</f>
        <v>1736.4758138000007</v>
      </c>
      <c r="CM31" s="38">
        <f>SUM(CM8:CM30)</f>
        <v>18.041919</v>
      </c>
      <c r="CO31" s="38">
        <f>SUM(CO8:CO30)</f>
        <v>7690.163500000001</v>
      </c>
      <c r="CP31" s="38">
        <f>SUM(CP8:CP30)</f>
        <v>2464.4088152</v>
      </c>
      <c r="CQ31" s="38">
        <f>SUM(CQ8:CQ30)</f>
        <v>10154.572315200001</v>
      </c>
      <c r="CR31" s="38">
        <f>SUM(CR8:CR30)</f>
        <v>1568.5359910999991</v>
      </c>
      <c r="CS31" s="38">
        <f>SUM(CS8:CS30)</f>
        <v>16.297030500000005</v>
      </c>
      <c r="CU31" s="38">
        <f>SUM(CU8:CU30)</f>
        <v>191210.07650000002</v>
      </c>
      <c r="CV31" s="38">
        <f>SUM(CV8:CV30)</f>
        <v>61275.65403279998</v>
      </c>
      <c r="CW31" s="38">
        <f>SUM(CW8:CW30)</f>
        <v>252485.7305328</v>
      </c>
      <c r="CX31" s="38">
        <f>SUM(CX8:CX30)</f>
        <v>39000.45647289999</v>
      </c>
      <c r="CY31" s="38">
        <f>SUM(CY8:CY30)</f>
        <v>405.2132894999999</v>
      </c>
      <c r="DA31" s="38">
        <f>SUM(DA8:DA30)</f>
        <v>14842.177</v>
      </c>
      <c r="DB31" s="38">
        <f>SUM(DB8:DB30)</f>
        <v>4756.3607504</v>
      </c>
      <c r="DC31" s="38">
        <f>SUM(DC8:DC30)</f>
        <v>19598.5377504</v>
      </c>
      <c r="DD31" s="38">
        <f>SUM(DD8:DD30)</f>
        <v>3027.307392199998</v>
      </c>
      <c r="DE31" s="38">
        <f>SUM(DE8:DE30)</f>
        <v>31.453611000000002</v>
      </c>
      <c r="DG31" s="38">
        <f>SUM(DG8:DG30)</f>
        <v>117397.42249999999</v>
      </c>
      <c r="DH31" s="38">
        <f>SUM(DH8:DH30)</f>
        <v>37621.46837199998</v>
      </c>
      <c r="DI31" s="38">
        <f>SUM(DI8:DI30)</f>
        <v>155018.89087199996</v>
      </c>
      <c r="DJ31" s="38">
        <f>SUM(DJ8:DJ30)</f>
        <v>23945.14530849999</v>
      </c>
      <c r="DK31" s="38">
        <f>SUM(DK8:DK30)</f>
        <v>248.7891674999999</v>
      </c>
      <c r="DM31" s="38">
        <f>SUM(DM8:DM30)</f>
        <v>606177.5414999999</v>
      </c>
      <c r="DN31" s="38">
        <f>SUM(DN8:DN30)</f>
        <v>194257.15420080005</v>
      </c>
      <c r="DO31" s="38">
        <f>SUM(DO8:DO30)</f>
        <v>800434.6957008002</v>
      </c>
      <c r="DP31" s="38">
        <f>SUM(DP8:DP30)</f>
        <v>123639.93182190004</v>
      </c>
      <c r="DQ31" s="38">
        <f>SUM(DQ8:DQ30)</f>
        <v>1284.6142845</v>
      </c>
      <c r="DS31" s="38">
        <f>SUM(DS8:DS30)</f>
        <v>48094.46549999999</v>
      </c>
      <c r="DT31" s="38">
        <f>SUM(DT8:DT30)</f>
        <v>15412.471365600002</v>
      </c>
      <c r="DU31" s="38">
        <f>SUM(DU8:DU30)</f>
        <v>63506.93686559999</v>
      </c>
      <c r="DV31" s="38">
        <f>SUM(DV8:DV30)</f>
        <v>9809.661408300002</v>
      </c>
      <c r="DW31" s="38">
        <f>SUM(DW8:DW30)</f>
        <v>101.92201650000003</v>
      </c>
      <c r="DY31" s="38">
        <f>SUM(DY8:DY30)</f>
        <v>130576.71599999999</v>
      </c>
      <c r="DZ31" s="38">
        <f>SUM(DZ8:DZ30)</f>
        <v>41844.9373632</v>
      </c>
      <c r="EA31" s="38">
        <f>SUM(EA8:EA30)</f>
        <v>172421.65336319996</v>
      </c>
      <c r="EB31" s="38">
        <f>SUM(EB8:EB30)</f>
        <v>26633.280117600007</v>
      </c>
      <c r="EC31" s="38">
        <f>SUM(EC8:EC30)</f>
        <v>276.71878799999996</v>
      </c>
      <c r="EE31" s="38">
        <f>SUM(EE8:EE30)</f>
        <v>146419.852</v>
      </c>
      <c r="EF31" s="38">
        <f>SUM(EF8:EF30)</f>
        <v>46922.067910399994</v>
      </c>
      <c r="EG31" s="38">
        <f>SUM(EG8:EG30)</f>
        <v>193341.91991040003</v>
      </c>
      <c r="EH31" s="38">
        <f>SUM(EH8:EH30)</f>
        <v>29864.749647200017</v>
      </c>
      <c r="EI31" s="38">
        <f>SUM(EI8:EI30)</f>
        <v>310.29363599999994</v>
      </c>
      <c r="EK31" s="38">
        <f>SUM(EK8:EK30)</f>
        <v>368928.73250000004</v>
      </c>
      <c r="EL31" s="38">
        <f>SUM(EL8:EL30)</f>
        <v>118227.81408399998</v>
      </c>
      <c r="EM31" s="38">
        <f>SUM(EM8:EM30)</f>
        <v>487156.54658399994</v>
      </c>
      <c r="EN31" s="38">
        <f>SUM(EN8:EN30)</f>
        <v>75249.1146745</v>
      </c>
      <c r="EO31" s="38">
        <f>SUM(EO8:EO30)</f>
        <v>781.8354975000001</v>
      </c>
      <c r="EQ31" s="38">
        <f>SUM(EQ8:EQ30)</f>
        <v>566817.2505000001</v>
      </c>
      <c r="ER31" s="38">
        <f>SUM(ER8:ER30)</f>
        <v>181643.65799759998</v>
      </c>
      <c r="ES31" s="38">
        <f>SUM(ES8:ES30)</f>
        <v>748460.9084976001</v>
      </c>
      <c r="ET31" s="38">
        <f>SUM(ET8:ET30)</f>
        <v>115611.74970930004</v>
      </c>
      <c r="EU31" s="38">
        <f>SUM(EU8:EU30)</f>
        <v>1201.2017714999995</v>
      </c>
      <c r="EW31" s="38">
        <f>SUM(EW8:EW30)</f>
        <v>2686977.5685</v>
      </c>
      <c r="EX31" s="38">
        <f>SUM(EX8:EX30)</f>
        <v>861075.4772711999</v>
      </c>
      <c r="EY31" s="38">
        <f>SUM(EY8:EY30)</f>
        <v>3548053.0457712</v>
      </c>
      <c r="EZ31" s="38">
        <f>SUM(EZ8:EZ30)</f>
        <v>548053.5002240998</v>
      </c>
      <c r="FA31" s="38">
        <f>SUM(FA8:FA30)</f>
        <v>5694.255445499998</v>
      </c>
      <c r="FC31" s="38">
        <f>SUM(FC8:FC30)</f>
        <v>2272854.999</v>
      </c>
      <c r="FD31" s="38">
        <f>SUM(FD8:FD30)</f>
        <v>728364.7344048</v>
      </c>
      <c r="FE31" s="38">
        <f>SUM(FE8:FE30)</f>
        <v>3001219.7334048</v>
      </c>
      <c r="FF31" s="38">
        <f>SUM(FF8:FF30)</f>
        <v>463586.3552813998</v>
      </c>
      <c r="FG31" s="38">
        <f>SUM(FG8:FG30)</f>
        <v>4816.6449569999995</v>
      </c>
      <c r="FI31" s="38">
        <f>SUM(FI8:FI30)</f>
        <v>14260.974999999999</v>
      </c>
      <c r="FJ31" s="38">
        <f>SUM(FJ8:FJ30)</f>
        <v>4570.107320000001</v>
      </c>
      <c r="FK31" s="38">
        <f>SUM(FK8:FK30)</f>
        <v>18831.082319999998</v>
      </c>
      <c r="FL31" s="38">
        <f>SUM(FL8:FL30)</f>
        <v>2908.7616349999994</v>
      </c>
      <c r="FM31" s="38">
        <f>SUM(FM8:FM30)</f>
        <v>30.22192500000001</v>
      </c>
      <c r="FO31" s="38">
        <f>SUM(FO8:FO30)</f>
        <v>40162.1345</v>
      </c>
      <c r="FP31" s="38">
        <f>SUM(FP8:FP30)</f>
        <v>12870.456954399999</v>
      </c>
      <c r="FQ31" s="38">
        <f>SUM(FQ8:FQ30)</f>
        <v>53032.59145439999</v>
      </c>
      <c r="FR31" s="38">
        <f>SUM(FR8:FR30)</f>
        <v>8191.7313517</v>
      </c>
      <c r="FS31" s="38">
        <f>SUM(FS8:FS30)</f>
        <v>85.1117835</v>
      </c>
    </row>
    <row r="32" spans="9:112" ht="13.5" thickTop="1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9:112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9:112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9:112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9:112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9:112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9:112" ht="12.75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2.75">
      <c r="A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1:112" ht="12.75">
      <c r="A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1:112" ht="12.75">
      <c r="A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1:112" ht="12.75">
      <c r="A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1:7" ht="12.75">
      <c r="A62"/>
      <c r="C62"/>
      <c r="D62"/>
      <c r="E62"/>
      <c r="F62"/>
      <c r="G62"/>
    </row>
    <row r="63" spans="1:7" ht="12.75">
      <c r="A63"/>
      <c r="C63"/>
      <c r="D63"/>
      <c r="E63"/>
      <c r="F63"/>
      <c r="G63"/>
    </row>
    <row r="64" spans="1:7" ht="12.75">
      <c r="A64"/>
      <c r="C64"/>
      <c r="D64"/>
      <c r="E64"/>
      <c r="F64"/>
      <c r="G64"/>
    </row>
    <row r="65" spans="1:7" ht="12.75">
      <c r="A65"/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10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2.7109375" style="8" customWidth="1"/>
    <col min="19" max="19" width="12.7109375" style="0" customWidth="1"/>
  </cols>
  <sheetData>
    <row r="1" ht="12.75">
      <c r="A1" s="47" t="s">
        <v>114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32</v>
      </c>
    </row>
    <row r="4" spans="1:18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4" t="s">
        <v>49</v>
      </c>
    </row>
    <row r="5" spans="1:18" s="58" customFormat="1" ht="13.5" thickBot="1">
      <c r="A5" s="55"/>
      <c r="B5" s="55"/>
      <c r="C5" s="55" t="s">
        <v>50</v>
      </c>
      <c r="D5" s="56">
        <f>SUM(E5:Q5)</f>
        <v>115503936.24999999</v>
      </c>
      <c r="E5" s="56">
        <f aca="true" t="shared" si="0" ref="E5:Q5">SUM(E6:E64)</f>
        <v>14215616.43</v>
      </c>
      <c r="F5" s="56">
        <f t="shared" si="0"/>
        <v>1148288.13</v>
      </c>
      <c r="G5" s="56">
        <f t="shared" si="0"/>
        <v>108109.43</v>
      </c>
      <c r="H5" s="56">
        <f t="shared" si="0"/>
        <v>785039.22</v>
      </c>
      <c r="I5" s="56">
        <f t="shared" si="0"/>
        <v>12909259.16</v>
      </c>
      <c r="J5" s="56">
        <f t="shared" si="0"/>
        <v>164489.18</v>
      </c>
      <c r="K5" s="56">
        <f t="shared" si="0"/>
        <v>93154.25</v>
      </c>
      <c r="L5" s="56">
        <f t="shared" si="0"/>
        <v>2490728.58</v>
      </c>
      <c r="M5" s="56">
        <f t="shared" si="0"/>
        <v>1939132.29</v>
      </c>
      <c r="N5" s="56">
        <f t="shared" si="0"/>
        <v>1724599.1500000001</v>
      </c>
      <c r="O5" s="56">
        <f t="shared" si="0"/>
        <v>23567846.150000002</v>
      </c>
      <c r="P5" s="56">
        <f t="shared" si="0"/>
        <v>56240867.73</v>
      </c>
      <c r="Q5" s="56">
        <f t="shared" si="0"/>
        <v>116806.55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36</v>
      </c>
      <c r="B7" s="60" t="s">
        <v>151</v>
      </c>
      <c r="C7" s="60" t="s">
        <v>52</v>
      </c>
      <c r="D7" s="48">
        <f aca="true" t="shared" si="1" ref="D7:D63">SUM(E7:Q7)</f>
        <v>5405785.41</v>
      </c>
      <c r="E7" s="74">
        <f>1035205.6+666923.08+521101.62+2985974.53+196580.58</f>
        <v>5405785.41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">
        <f aca="true" t="shared" si="2" ref="R7:R63">D7/$D$5</f>
        <v>0.046801741875701665</v>
      </c>
    </row>
    <row r="8" spans="1:18" ht="12.75">
      <c r="A8" s="60" t="s">
        <v>36</v>
      </c>
      <c r="B8" s="60" t="s">
        <v>157</v>
      </c>
      <c r="C8" s="60" t="s">
        <v>55</v>
      </c>
      <c r="D8" s="48">
        <f t="shared" si="1"/>
        <v>752362.35</v>
      </c>
      <c r="E8" s="74">
        <f>67043+5448.27+226417.9+332957+1078.78+92917.4+26500</f>
        <v>752362.35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">
        <f t="shared" si="2"/>
        <v>0.00651373775151321</v>
      </c>
    </row>
    <row r="9" spans="1:18" ht="12.75">
      <c r="A9" s="60" t="s">
        <v>37</v>
      </c>
      <c r="B9" s="60" t="s">
        <v>153</v>
      </c>
      <c r="C9" s="60" t="s">
        <v>52</v>
      </c>
      <c r="D9" s="48">
        <f t="shared" si="1"/>
        <v>636205.19</v>
      </c>
      <c r="E9" s="74"/>
      <c r="F9" s="74">
        <f>194790.24+19848.5+247579.5+138986.95+35000</f>
        <v>636205.19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">
        <f t="shared" si="2"/>
        <v>0.005508082327367436</v>
      </c>
    </row>
    <row r="10" spans="1:18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74"/>
      <c r="F10" s="74">
        <f>157392.63+125279.52</f>
        <v>282672.15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">
        <f t="shared" si="2"/>
        <v>0.00244729451806886</v>
      </c>
    </row>
    <row r="11" spans="1:18" ht="12.75">
      <c r="A11" s="60" t="s">
        <v>37</v>
      </c>
      <c r="B11" s="60" t="s">
        <v>103</v>
      </c>
      <c r="C11" s="60" t="s">
        <v>55</v>
      </c>
      <c r="D11" s="48">
        <f t="shared" si="1"/>
        <v>179707.79</v>
      </c>
      <c r="E11" s="74"/>
      <c r="F11" s="74">
        <f>68250.66+20018.2+1377.8+63946.13+26115</f>
        <v>179707.79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">
        <f t="shared" si="2"/>
        <v>0.0015558585779365595</v>
      </c>
    </row>
    <row r="12" spans="1:18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74"/>
      <c r="F12" s="74"/>
      <c r="G12" s="74">
        <f>12000+96109.43</f>
        <v>108109.43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">
        <f t="shared" si="2"/>
        <v>0.0009359804826564948</v>
      </c>
    </row>
    <row r="13" spans="1:18" ht="12.75">
      <c r="A13" s="60" t="s">
        <v>39</v>
      </c>
      <c r="B13" s="60" t="s">
        <v>155</v>
      </c>
      <c r="C13" s="60" t="s">
        <v>52</v>
      </c>
      <c r="D13" s="48">
        <f t="shared" si="1"/>
        <v>484946.22</v>
      </c>
      <c r="E13" s="74"/>
      <c r="F13" s="74"/>
      <c r="G13" s="75"/>
      <c r="H13" s="74">
        <f>37419.65+185050.8+43734.69+15757.75+202983.33</f>
        <v>484946.22</v>
      </c>
      <c r="I13" s="75"/>
      <c r="J13" s="75"/>
      <c r="K13" s="75"/>
      <c r="L13" s="75"/>
      <c r="M13" s="75"/>
      <c r="N13" s="75"/>
      <c r="O13" s="75"/>
      <c r="P13" s="75"/>
      <c r="Q13" s="75"/>
      <c r="R13" s="8">
        <f t="shared" si="2"/>
        <v>0.004198525485316524</v>
      </c>
    </row>
    <row r="14" spans="1:18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74"/>
      <c r="F14" s="74"/>
      <c r="G14" s="75"/>
      <c r="H14" s="74">
        <f>93</f>
        <v>93</v>
      </c>
      <c r="I14" s="75"/>
      <c r="J14" s="75"/>
      <c r="K14" s="75"/>
      <c r="L14" s="75"/>
      <c r="M14" s="75"/>
      <c r="N14" s="75"/>
      <c r="O14" s="75"/>
      <c r="P14" s="75"/>
      <c r="Q14" s="75"/>
      <c r="R14" s="8">
        <f t="shared" si="2"/>
        <v>8.051673650212939E-07</v>
      </c>
    </row>
    <row r="15" spans="1:18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74"/>
      <c r="F15" s="74"/>
      <c r="G15" s="75"/>
      <c r="H15" s="74">
        <v>300000</v>
      </c>
      <c r="I15" s="75"/>
      <c r="J15" s="75"/>
      <c r="K15" s="75"/>
      <c r="L15" s="75"/>
      <c r="M15" s="75"/>
      <c r="N15" s="75"/>
      <c r="O15" s="75"/>
      <c r="P15" s="75"/>
      <c r="Q15" s="75"/>
      <c r="R15" s="8">
        <f t="shared" si="2"/>
        <v>0.0025973140807138513</v>
      </c>
    </row>
    <row r="16" spans="1:18" ht="12.75">
      <c r="A16" s="60" t="s">
        <v>40</v>
      </c>
      <c r="B16" s="60" t="s">
        <v>149</v>
      </c>
      <c r="C16" s="60" t="s">
        <v>150</v>
      </c>
      <c r="D16" s="48">
        <f t="shared" si="1"/>
        <v>552213</v>
      </c>
      <c r="E16" s="74"/>
      <c r="F16" s="74"/>
      <c r="G16" s="75"/>
      <c r="H16" s="74"/>
      <c r="I16" s="74">
        <f>552213</f>
        <v>552213</v>
      </c>
      <c r="J16" s="75"/>
      <c r="K16" s="75"/>
      <c r="L16" s="75"/>
      <c r="M16" s="75"/>
      <c r="N16" s="75"/>
      <c r="O16" s="75"/>
      <c r="P16" s="75"/>
      <c r="Q16" s="75"/>
      <c r="R16" s="8">
        <f t="shared" si="2"/>
        <v>0.004780902001510793</v>
      </c>
    </row>
    <row r="17" spans="1:18" ht="12.75">
      <c r="A17" s="60" t="s">
        <v>40</v>
      </c>
      <c r="B17" s="60" t="s">
        <v>152</v>
      </c>
      <c r="C17" s="60" t="s">
        <v>52</v>
      </c>
      <c r="D17" s="48">
        <f t="shared" si="1"/>
        <v>1437374.42</v>
      </c>
      <c r="E17" s="74"/>
      <c r="F17" s="74"/>
      <c r="G17" s="75"/>
      <c r="H17" s="74"/>
      <c r="I17" s="74">
        <f>84332.3+240381.96-124694.5+11398.09+18769.98+696788.93+510397.66</f>
        <v>1437374.42</v>
      </c>
      <c r="J17" s="75"/>
      <c r="K17" s="75"/>
      <c r="L17" s="75"/>
      <c r="M17" s="75"/>
      <c r="N17" s="75"/>
      <c r="O17" s="75"/>
      <c r="P17" s="75"/>
      <c r="Q17" s="75"/>
      <c r="R17" s="8">
        <f t="shared" si="2"/>
        <v>0.01244437606774635</v>
      </c>
    </row>
    <row r="18" spans="1:18" ht="12.75">
      <c r="A18" s="60" t="s">
        <v>41</v>
      </c>
      <c r="B18" s="60" t="s">
        <v>154</v>
      </c>
      <c r="C18" s="60" t="s">
        <v>52</v>
      </c>
      <c r="D18" s="48">
        <f t="shared" si="1"/>
        <v>146214.18</v>
      </c>
      <c r="E18" s="74"/>
      <c r="F18" s="74"/>
      <c r="G18" s="75"/>
      <c r="H18" s="74"/>
      <c r="I18" s="74"/>
      <c r="J18" s="74">
        <f>8056.72+138157.46</f>
        <v>146214.18</v>
      </c>
      <c r="K18" s="75"/>
      <c r="L18" s="75"/>
      <c r="M18" s="75"/>
      <c r="N18" s="75"/>
      <c r="O18" s="75"/>
      <c r="P18" s="75"/>
      <c r="Q18" s="75"/>
      <c r="R18" s="8">
        <f t="shared" si="2"/>
        <v>0.0012658804950467651</v>
      </c>
    </row>
    <row r="19" spans="1:18" ht="12.75">
      <c r="A19" s="60" t="s">
        <v>41</v>
      </c>
      <c r="B19" s="60" t="s">
        <v>122</v>
      </c>
      <c r="C19" s="60" t="s">
        <v>55</v>
      </c>
      <c r="D19" s="48">
        <f t="shared" si="1"/>
        <v>18275</v>
      </c>
      <c r="E19" s="74"/>
      <c r="F19" s="74"/>
      <c r="G19" s="75"/>
      <c r="H19" s="74"/>
      <c r="I19" s="74"/>
      <c r="J19" s="74">
        <f>18275</f>
        <v>18275</v>
      </c>
      <c r="K19" s="75"/>
      <c r="L19" s="75"/>
      <c r="M19" s="75"/>
      <c r="N19" s="75"/>
      <c r="O19" s="75"/>
      <c r="P19" s="75"/>
      <c r="Q19" s="75"/>
      <c r="R19" s="8">
        <f t="shared" si="2"/>
        <v>0.00015821971608348545</v>
      </c>
    </row>
    <row r="20" spans="1:18" ht="12.75">
      <c r="A20" s="60" t="s">
        <v>42</v>
      </c>
      <c r="B20" s="60" t="s">
        <v>54</v>
      </c>
      <c r="C20" s="60" t="s">
        <v>58</v>
      </c>
      <c r="D20" s="48">
        <f t="shared" si="1"/>
        <v>16500</v>
      </c>
      <c r="E20" s="74"/>
      <c r="F20" s="74"/>
      <c r="G20" s="75"/>
      <c r="H20" s="74"/>
      <c r="I20" s="75"/>
      <c r="J20" s="74"/>
      <c r="K20" s="74">
        <f>16500</f>
        <v>16500</v>
      </c>
      <c r="L20" s="75"/>
      <c r="M20" s="75"/>
      <c r="N20" s="75"/>
      <c r="O20" s="75"/>
      <c r="P20" s="75"/>
      <c r="Q20" s="75"/>
      <c r="R20" s="8">
        <f t="shared" si="2"/>
        <v>0.00014285227443926182</v>
      </c>
    </row>
    <row r="21" spans="1:18" ht="12.75">
      <c r="A21" s="60" t="s">
        <v>43</v>
      </c>
      <c r="B21" s="60" t="s">
        <v>105</v>
      </c>
      <c r="C21" s="60" t="s">
        <v>52</v>
      </c>
      <c r="D21" s="48">
        <f t="shared" si="1"/>
        <v>410392.98</v>
      </c>
      <c r="E21" s="74"/>
      <c r="F21" s="74"/>
      <c r="G21" s="75"/>
      <c r="H21" s="74"/>
      <c r="I21" s="75"/>
      <c r="J21" s="74"/>
      <c r="K21" s="74"/>
      <c r="L21" s="74">
        <f>7000+179353.1+24948+316983.72-127025.1+9133.26</f>
        <v>410392.98</v>
      </c>
      <c r="M21" s="75"/>
      <c r="N21" s="75"/>
      <c r="O21" s="75"/>
      <c r="P21" s="75"/>
      <c r="Q21" s="75"/>
      <c r="R21" s="8">
        <f t="shared" si="2"/>
        <v>0.0035530648852670596</v>
      </c>
    </row>
    <row r="22" spans="1:18" ht="12.75">
      <c r="A22" s="60" t="s">
        <v>43</v>
      </c>
      <c r="B22" s="60" t="s">
        <v>51</v>
      </c>
      <c r="C22" s="60" t="s">
        <v>118</v>
      </c>
      <c r="D22" s="48">
        <f t="shared" si="1"/>
        <v>31859.85</v>
      </c>
      <c r="E22" s="74"/>
      <c r="F22" s="74"/>
      <c r="G22" s="75"/>
      <c r="H22" s="74"/>
      <c r="I22" s="75"/>
      <c r="J22" s="74"/>
      <c r="K22" s="74"/>
      <c r="L22" s="74">
        <f>31859.85</f>
        <v>31859.85</v>
      </c>
      <c r="M22" s="75"/>
      <c r="N22" s="75"/>
      <c r="O22" s="75"/>
      <c r="P22" s="75"/>
      <c r="Q22" s="75"/>
      <c r="R22" s="8">
        <f t="shared" si="2"/>
        <v>0.0002758334567147706</v>
      </c>
    </row>
    <row r="23" spans="1:18" ht="12.75">
      <c r="A23" s="60" t="s">
        <v>44</v>
      </c>
      <c r="B23" s="60" t="s">
        <v>56</v>
      </c>
      <c r="C23" s="60" t="s">
        <v>52</v>
      </c>
      <c r="D23" s="48">
        <f t="shared" si="1"/>
        <v>251969.5</v>
      </c>
      <c r="E23" s="74"/>
      <c r="F23" s="75"/>
      <c r="G23" s="75"/>
      <c r="H23" s="75"/>
      <c r="I23" s="75"/>
      <c r="J23" s="75"/>
      <c r="K23" s="75"/>
      <c r="L23" s="74"/>
      <c r="M23" s="74">
        <f>77049+10516.4+82340+82064.1</f>
        <v>251969.5</v>
      </c>
      <c r="N23" s="75"/>
      <c r="O23" s="75"/>
      <c r="P23" s="75"/>
      <c r="Q23" s="75"/>
      <c r="R23" s="8">
        <f t="shared" si="2"/>
        <v>0.0021814797675347624</v>
      </c>
    </row>
    <row r="24" spans="1:18" ht="12.75">
      <c r="A24" s="60" t="s">
        <v>44</v>
      </c>
      <c r="B24" s="60" t="s">
        <v>59</v>
      </c>
      <c r="C24" s="60" t="s">
        <v>60</v>
      </c>
      <c r="D24" s="48">
        <f t="shared" si="1"/>
        <v>1301044.64</v>
      </c>
      <c r="E24" s="74"/>
      <c r="F24" s="75"/>
      <c r="G24" s="75"/>
      <c r="H24" s="75"/>
      <c r="I24" s="75"/>
      <c r="J24" s="75"/>
      <c r="K24" s="75"/>
      <c r="L24" s="74"/>
      <c r="M24" s="74">
        <f>1164177.98+136866.66</f>
        <v>1301044.64</v>
      </c>
      <c r="N24" s="75"/>
      <c r="O24" s="75"/>
      <c r="P24" s="75"/>
      <c r="Q24" s="75"/>
      <c r="R24" s="8">
        <f t="shared" si="2"/>
        <v>0.011264071877030945</v>
      </c>
    </row>
    <row r="25" spans="1:18" ht="12.75">
      <c r="A25" s="60" t="s">
        <v>44</v>
      </c>
      <c r="B25" s="60" t="s">
        <v>61</v>
      </c>
      <c r="C25" s="60" t="s">
        <v>55</v>
      </c>
      <c r="D25" s="48">
        <f t="shared" si="1"/>
        <v>103229</v>
      </c>
      <c r="E25" s="74"/>
      <c r="F25" s="75"/>
      <c r="G25" s="75"/>
      <c r="H25" s="75"/>
      <c r="I25" s="75"/>
      <c r="J25" s="75"/>
      <c r="K25" s="75"/>
      <c r="L25" s="74"/>
      <c r="M25" s="74">
        <f>103229</f>
        <v>103229</v>
      </c>
      <c r="N25" s="75"/>
      <c r="O25" s="75"/>
      <c r="P25" s="75"/>
      <c r="Q25" s="75"/>
      <c r="R25" s="8">
        <f t="shared" si="2"/>
        <v>0.0008937271174600339</v>
      </c>
    </row>
    <row r="26" spans="1:18" ht="12.75">
      <c r="A26" s="60" t="s">
        <v>45</v>
      </c>
      <c r="B26" s="60" t="s">
        <v>117</v>
      </c>
      <c r="C26" s="60" t="s">
        <v>52</v>
      </c>
      <c r="D26" s="48">
        <f>SUM(E26:Q26)</f>
        <v>314260.2</v>
      </c>
      <c r="E26" s="74"/>
      <c r="F26" s="75"/>
      <c r="G26" s="75"/>
      <c r="H26" s="75"/>
      <c r="I26" s="75"/>
      <c r="J26" s="75"/>
      <c r="K26" s="75"/>
      <c r="L26" s="74"/>
      <c r="M26" s="74"/>
      <c r="N26" s="74">
        <f>314260.2</f>
        <v>314260.2</v>
      </c>
      <c r="O26" s="75"/>
      <c r="P26" s="75"/>
      <c r="Q26" s="75"/>
      <c r="R26" s="8">
        <f t="shared" si="2"/>
        <v>0.0027207748082265035</v>
      </c>
    </row>
    <row r="27" spans="1:18" ht="12.75">
      <c r="A27" s="60" t="s">
        <v>45</v>
      </c>
      <c r="B27" s="60" t="s">
        <v>51</v>
      </c>
      <c r="C27" s="60" t="s">
        <v>55</v>
      </c>
      <c r="D27" s="48">
        <f t="shared" si="1"/>
        <v>280253.65</v>
      </c>
      <c r="E27" s="74"/>
      <c r="F27" s="75"/>
      <c r="G27" s="75"/>
      <c r="H27" s="75"/>
      <c r="I27" s="75"/>
      <c r="J27" s="75"/>
      <c r="K27" s="75"/>
      <c r="L27" s="74"/>
      <c r="M27" s="74"/>
      <c r="N27" s="74">
        <f>35000+245253.65</f>
        <v>280253.65</v>
      </c>
      <c r="O27" s="75"/>
      <c r="P27" s="75"/>
      <c r="Q27" s="75"/>
      <c r="R27" s="8">
        <f t="shared" si="2"/>
        <v>0.002426355837721505</v>
      </c>
    </row>
    <row r="28" spans="1:18" ht="12.75">
      <c r="A28" s="60" t="s">
        <v>46</v>
      </c>
      <c r="B28" s="60" t="s">
        <v>121</v>
      </c>
      <c r="C28" s="60" t="s">
        <v>52</v>
      </c>
      <c r="D28" s="48">
        <f t="shared" si="1"/>
        <v>791832.87</v>
      </c>
      <c r="E28" s="74"/>
      <c r="F28" s="75"/>
      <c r="G28" s="75"/>
      <c r="H28" s="75"/>
      <c r="I28" s="75"/>
      <c r="J28" s="75"/>
      <c r="K28" s="75"/>
      <c r="L28" s="74"/>
      <c r="M28" s="74"/>
      <c r="N28" s="74"/>
      <c r="O28" s="74">
        <f>248700.5+532299.33+10833.04</f>
        <v>791832.87</v>
      </c>
      <c r="P28" s="75"/>
      <c r="Q28" s="75"/>
      <c r="R28" s="8">
        <f t="shared" si="2"/>
        <v>0.0068554622094102015</v>
      </c>
    </row>
    <row r="29" spans="1:18" ht="12.75">
      <c r="A29" s="60" t="s">
        <v>47</v>
      </c>
      <c r="B29" s="60" t="s">
        <v>106</v>
      </c>
      <c r="C29" s="60" t="s">
        <v>52</v>
      </c>
      <c r="D29" s="48">
        <f t="shared" si="1"/>
        <v>1216573.92</v>
      </c>
      <c r="E29" s="74"/>
      <c r="F29" s="75"/>
      <c r="G29" s="75"/>
      <c r="H29" s="75"/>
      <c r="I29" s="75"/>
      <c r="J29" s="75"/>
      <c r="K29" s="75"/>
      <c r="L29" s="74"/>
      <c r="M29" s="74"/>
      <c r="N29" s="74"/>
      <c r="O29" s="75"/>
      <c r="P29" s="74">
        <f>1800+5869.82+3981.1+509723+689000+6200</f>
        <v>1216573.92</v>
      </c>
      <c r="Q29" s="75"/>
      <c r="R29" s="8">
        <f t="shared" si="2"/>
        <v>0.010532748575484155</v>
      </c>
    </row>
    <row r="30" spans="1:18" ht="12.75">
      <c r="A30" s="60" t="s">
        <v>47</v>
      </c>
      <c r="B30" s="60" t="s">
        <v>107</v>
      </c>
      <c r="C30" s="60" t="s">
        <v>86</v>
      </c>
      <c r="D30" s="48">
        <f t="shared" si="1"/>
        <v>5767097.9</v>
      </c>
      <c r="E30" s="74"/>
      <c r="F30" s="75"/>
      <c r="G30" s="75"/>
      <c r="H30" s="75"/>
      <c r="I30" s="75"/>
      <c r="J30" s="75"/>
      <c r="K30" s="75"/>
      <c r="L30" s="74"/>
      <c r="M30" s="74"/>
      <c r="N30" s="74"/>
      <c r="O30" s="75"/>
      <c r="P30" s="74">
        <f>1490667.33+12600+4228928.57+34902</f>
        <v>5767097.9</v>
      </c>
      <c r="Q30" s="75"/>
      <c r="R30" s="8">
        <f t="shared" si="2"/>
        <v>0.049929881935084276</v>
      </c>
    </row>
    <row r="31" spans="1:18" ht="12.75">
      <c r="A31" s="60" t="s">
        <v>47</v>
      </c>
      <c r="B31" s="60" t="s">
        <v>53</v>
      </c>
      <c r="C31" s="60" t="s">
        <v>120</v>
      </c>
      <c r="D31" s="48">
        <f t="shared" si="1"/>
        <v>4878259.7</v>
      </c>
      <c r="E31" s="74"/>
      <c r="F31" s="75"/>
      <c r="G31" s="75"/>
      <c r="H31" s="75"/>
      <c r="I31" s="75"/>
      <c r="J31" s="75"/>
      <c r="K31" s="75"/>
      <c r="L31" s="74"/>
      <c r="M31" s="74"/>
      <c r="N31" s="74"/>
      <c r="O31" s="75"/>
      <c r="P31" s="74">
        <f>4878259.7</f>
        <v>4878259.7</v>
      </c>
      <c r="Q31" s="75"/>
      <c r="R31" s="8">
        <f t="shared" si="2"/>
        <v>0.042234575360629766</v>
      </c>
    </row>
    <row r="32" spans="1:18" ht="12.75">
      <c r="A32" s="60" t="s">
        <v>48</v>
      </c>
      <c r="B32" s="60" t="s">
        <v>51</v>
      </c>
      <c r="C32" s="60" t="s">
        <v>52</v>
      </c>
      <c r="D32" s="48">
        <f t="shared" si="1"/>
        <v>86196.55</v>
      </c>
      <c r="E32" s="74"/>
      <c r="F32" s="75"/>
      <c r="G32" s="75"/>
      <c r="H32" s="75"/>
      <c r="I32" s="75"/>
      <c r="J32" s="75"/>
      <c r="K32" s="75"/>
      <c r="L32" s="74"/>
      <c r="M32" s="74"/>
      <c r="N32" s="74"/>
      <c r="O32" s="75"/>
      <c r="P32" s="74"/>
      <c r="Q32" s="74">
        <f>86196.55</f>
        <v>86196.55</v>
      </c>
      <c r="R32" s="8">
        <f t="shared" si="2"/>
        <v>0.0007462650434131851</v>
      </c>
    </row>
    <row r="33" spans="1:19" ht="12.75">
      <c r="A33" s="60" t="s">
        <v>48</v>
      </c>
      <c r="B33" s="60" t="s">
        <v>156</v>
      </c>
      <c r="C33" s="60" t="s">
        <v>55</v>
      </c>
      <c r="D33" s="48">
        <f t="shared" si="1"/>
        <v>30610</v>
      </c>
      <c r="E33" s="74"/>
      <c r="F33" s="75"/>
      <c r="G33" s="75"/>
      <c r="H33" s="75"/>
      <c r="I33" s="75"/>
      <c r="J33" s="75"/>
      <c r="K33" s="75"/>
      <c r="L33" s="74"/>
      <c r="M33" s="74"/>
      <c r="N33" s="74"/>
      <c r="O33" s="75"/>
      <c r="P33" s="74"/>
      <c r="Q33" s="74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.75">
      <c r="A34" s="60" t="s">
        <v>36</v>
      </c>
      <c r="B34" s="60" t="s">
        <v>158</v>
      </c>
      <c r="C34" s="60" t="s">
        <v>159</v>
      </c>
      <c r="D34" s="48">
        <f t="shared" si="1"/>
        <v>25092.56</v>
      </c>
      <c r="E34" s="74">
        <f>25092.56</f>
        <v>25092.56</v>
      </c>
      <c r="F34" s="75"/>
      <c r="G34" s="75"/>
      <c r="H34" s="75"/>
      <c r="I34" s="75"/>
      <c r="J34" s="75"/>
      <c r="K34" s="75"/>
      <c r="L34" s="74"/>
      <c r="M34" s="74"/>
      <c r="N34" s="74"/>
      <c r="O34" s="75"/>
      <c r="P34" s="74"/>
      <c r="Q34" s="74"/>
      <c r="R34" s="8">
        <f t="shared" si="2"/>
        <v>0.00021724419803052387</v>
      </c>
      <c r="S34" s="8"/>
    </row>
    <row r="35" spans="1:18" ht="12.75">
      <c r="A35" s="2" t="s">
        <v>36</v>
      </c>
      <c r="B35" s="2" t="s">
        <v>162</v>
      </c>
      <c r="C35" t="s">
        <v>63</v>
      </c>
      <c r="D35" s="48">
        <f t="shared" si="1"/>
        <v>2669818.89</v>
      </c>
      <c r="E35" s="76">
        <f>1212.12+245500.96+861610.13+1542318.03+19177.65</f>
        <v>2669818.89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">
        <f t="shared" si="2"/>
        <v>0.023114527319842752</v>
      </c>
    </row>
    <row r="36" spans="1:18" ht="12.75">
      <c r="A36" s="2" t="s">
        <v>36</v>
      </c>
      <c r="B36" s="2" t="s">
        <v>64</v>
      </c>
      <c r="C36" s="63" t="s">
        <v>65</v>
      </c>
      <c r="D36" s="48">
        <f t="shared" si="1"/>
        <v>163821.19999999998</v>
      </c>
      <c r="E36" s="76">
        <f>146679.55+17141.65</f>
        <v>163821.19999999998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">
        <f t="shared" si="2"/>
        <v>0.001418317031598133</v>
      </c>
    </row>
    <row r="37" spans="1:18" ht="12.75">
      <c r="A37" s="2" t="s">
        <v>36</v>
      </c>
      <c r="B37" s="2" t="s">
        <v>66</v>
      </c>
      <c r="C37" s="63" t="s">
        <v>65</v>
      </c>
      <c r="D37" s="48">
        <f t="shared" si="1"/>
        <v>1184833.22</v>
      </c>
      <c r="E37" s="76">
        <f>378504.55+806328.67</f>
        <v>1184833.22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">
        <f t="shared" si="2"/>
        <v>0.010257946685345107</v>
      </c>
    </row>
    <row r="38" spans="1:18" ht="12.75">
      <c r="A38" s="2" t="s">
        <v>36</v>
      </c>
      <c r="B38" s="2" t="s">
        <v>88</v>
      </c>
      <c r="C38" s="63" t="s">
        <v>65</v>
      </c>
      <c r="D38" s="48">
        <f t="shared" si="1"/>
        <v>937150.88</v>
      </c>
      <c r="E38" s="76">
        <f>4492.79+932658.09</f>
        <v>937150.88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">
        <f t="shared" si="2"/>
        <v>0.008113583921257923</v>
      </c>
    </row>
    <row r="39" spans="1:18" ht="12.75">
      <c r="A39" s="2" t="s">
        <v>36</v>
      </c>
      <c r="B39" s="2" t="s">
        <v>88</v>
      </c>
      <c r="C39" s="63" t="s">
        <v>108</v>
      </c>
      <c r="D39" s="48">
        <f t="shared" si="1"/>
        <v>250000</v>
      </c>
      <c r="E39" s="76">
        <f>250000</f>
        <v>250000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">
        <f t="shared" si="2"/>
        <v>0.002164428400594876</v>
      </c>
    </row>
    <row r="40" spans="1:18" ht="12.75">
      <c r="A40" s="2" t="s">
        <v>36</v>
      </c>
      <c r="B40" s="2" t="s">
        <v>67</v>
      </c>
      <c r="C40" t="s">
        <v>68</v>
      </c>
      <c r="D40" s="48">
        <f t="shared" si="1"/>
        <v>2826751.92</v>
      </c>
      <c r="E40" s="76">
        <f>2826751.92</f>
        <v>2826751.92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">
        <f t="shared" si="2"/>
        <v>0.02447320854833638</v>
      </c>
    </row>
    <row r="41" spans="1:18" ht="12.75">
      <c r="A41" s="2" t="s">
        <v>37</v>
      </c>
      <c r="B41" s="2" t="s">
        <v>64</v>
      </c>
      <c r="C41" s="63" t="s">
        <v>125</v>
      </c>
      <c r="D41" s="48">
        <f t="shared" si="1"/>
        <v>49703</v>
      </c>
      <c r="E41" s="76"/>
      <c r="F41" s="76">
        <f>49703</f>
        <v>49703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">
        <f t="shared" si="2"/>
        <v>0.0004303143391790685</v>
      </c>
    </row>
    <row r="42" spans="1:18" ht="12.75">
      <c r="A42" s="2" t="s">
        <v>40</v>
      </c>
      <c r="B42" s="2" t="s">
        <v>164</v>
      </c>
      <c r="C42" s="63" t="s">
        <v>161</v>
      </c>
      <c r="D42" s="48">
        <f t="shared" si="1"/>
        <v>0</v>
      </c>
      <c r="E42" s="76"/>
      <c r="F42" s="76"/>
      <c r="G42" s="76"/>
      <c r="H42" s="76"/>
      <c r="I42" s="76">
        <f>-18590-236339.15+18590+158775.58+26618.02+50945.55</f>
        <v>0</v>
      </c>
      <c r="J42" s="76"/>
      <c r="K42" s="76"/>
      <c r="L42" s="76"/>
      <c r="M42" s="76"/>
      <c r="N42" s="76"/>
      <c r="O42" s="76"/>
      <c r="P42" s="76"/>
      <c r="Q42" s="76"/>
      <c r="R42" s="8">
        <f t="shared" si="2"/>
        <v>0</v>
      </c>
    </row>
    <row r="43" spans="1:18" ht="12.75">
      <c r="A43" s="2" t="s">
        <v>40</v>
      </c>
      <c r="B43" s="2" t="s">
        <v>67</v>
      </c>
      <c r="C43" s="63" t="s">
        <v>166</v>
      </c>
      <c r="D43" s="48">
        <f t="shared" si="1"/>
        <v>0</v>
      </c>
      <c r="E43" s="76"/>
      <c r="F43" s="76"/>
      <c r="G43" s="76"/>
      <c r="H43" s="76"/>
      <c r="I43" s="76">
        <f>-106036.85+106036.85</f>
        <v>0</v>
      </c>
      <c r="J43" s="76"/>
      <c r="K43" s="76"/>
      <c r="L43" s="76"/>
      <c r="M43" s="76"/>
      <c r="N43" s="76"/>
      <c r="O43" s="76"/>
      <c r="P43" s="76"/>
      <c r="Q43" s="76"/>
      <c r="R43" s="8">
        <f t="shared" si="2"/>
        <v>0</v>
      </c>
    </row>
    <row r="44" spans="1:18" ht="12.75">
      <c r="A44" s="2" t="s">
        <v>40</v>
      </c>
      <c r="B44" s="2" t="s">
        <v>64</v>
      </c>
      <c r="C44" t="s">
        <v>109</v>
      </c>
      <c r="D44" s="48">
        <f t="shared" si="1"/>
        <v>10612.55</v>
      </c>
      <c r="E44" s="76"/>
      <c r="F44" s="76"/>
      <c r="G44" s="76"/>
      <c r="H44" s="76"/>
      <c r="I44" s="76">
        <f>10612.55</f>
        <v>10612.55</v>
      </c>
      <c r="J44" s="76"/>
      <c r="K44" s="76"/>
      <c r="L44" s="76"/>
      <c r="M44" s="76"/>
      <c r="N44" s="76"/>
      <c r="O44" s="76"/>
      <c r="P44" s="76"/>
      <c r="Q44" s="76"/>
      <c r="R44" s="8">
        <f t="shared" si="2"/>
        <v>9.18804184909326E-05</v>
      </c>
    </row>
    <row r="45" spans="1:18" ht="12.75">
      <c r="A45" s="2" t="s">
        <v>40</v>
      </c>
      <c r="B45" s="2" t="s">
        <v>89</v>
      </c>
      <c r="C45" t="s">
        <v>70</v>
      </c>
      <c r="D45" s="48">
        <f t="shared" si="1"/>
        <v>10152109.52</v>
      </c>
      <c r="E45" s="76"/>
      <c r="F45" s="76"/>
      <c r="G45" s="76"/>
      <c r="H45" s="76"/>
      <c r="I45" s="76">
        <f>3055151.26+7096958.26</f>
        <v>10152109.52</v>
      </c>
      <c r="J45" s="76"/>
      <c r="K45" s="76"/>
      <c r="L45" s="76"/>
      <c r="M45" s="76"/>
      <c r="N45" s="76"/>
      <c r="O45" s="76"/>
      <c r="P45" s="76"/>
      <c r="Q45" s="76"/>
      <c r="R45" s="8">
        <f t="shared" si="2"/>
        <v>0.08789405668415046</v>
      </c>
    </row>
    <row r="46" spans="1:18" ht="12.75">
      <c r="A46" s="2" t="s">
        <v>40</v>
      </c>
      <c r="B46" s="2" t="s">
        <v>67</v>
      </c>
      <c r="C46" t="s">
        <v>69</v>
      </c>
      <c r="D46" s="48">
        <f t="shared" si="1"/>
        <v>19576.74</v>
      </c>
      <c r="E46" s="76"/>
      <c r="F46" s="76"/>
      <c r="G46" s="76"/>
      <c r="H46" s="76"/>
      <c r="I46" s="76">
        <f>19538+38.74</f>
        <v>19576.74</v>
      </c>
      <c r="J46" s="76"/>
      <c r="K46" s="76"/>
      <c r="L46" s="76"/>
      <c r="M46" s="76"/>
      <c r="N46" s="76"/>
      <c r="O46" s="76"/>
      <c r="P46" s="76"/>
      <c r="Q46" s="76"/>
      <c r="R46" s="8">
        <f t="shared" si="2"/>
        <v>0.00016948980818824695</v>
      </c>
    </row>
    <row r="47" spans="1:18" ht="12.75">
      <c r="A47" s="2" t="s">
        <v>40</v>
      </c>
      <c r="B47" s="2" t="s">
        <v>64</v>
      </c>
      <c r="C47" t="s">
        <v>100</v>
      </c>
      <c r="D47" s="48">
        <f t="shared" si="1"/>
        <v>11635</v>
      </c>
      <c r="E47" s="76"/>
      <c r="F47" s="76"/>
      <c r="G47" s="76"/>
      <c r="H47" s="76"/>
      <c r="I47" s="76">
        <f>11635</f>
        <v>11635</v>
      </c>
      <c r="J47" s="76"/>
      <c r="K47" s="76"/>
      <c r="L47" s="76"/>
      <c r="M47" s="76"/>
      <c r="N47" s="76"/>
      <c r="O47" s="76"/>
      <c r="P47" s="76"/>
      <c r="Q47" s="76"/>
      <c r="R47" s="8">
        <f t="shared" si="2"/>
        <v>0.00010073249776368553</v>
      </c>
    </row>
    <row r="48" spans="1:18" ht="12.75">
      <c r="A48" s="2" t="s">
        <v>40</v>
      </c>
      <c r="B48" s="2" t="s">
        <v>64</v>
      </c>
      <c r="C48" t="s">
        <v>126</v>
      </c>
      <c r="D48" s="48">
        <f t="shared" si="1"/>
        <v>725737.93</v>
      </c>
      <c r="E48" s="76"/>
      <c r="F48" s="76"/>
      <c r="G48" s="76"/>
      <c r="H48" s="76"/>
      <c r="I48" s="76">
        <f>725737.93</f>
        <v>725737.93</v>
      </c>
      <c r="J48" s="76"/>
      <c r="K48" s="76"/>
      <c r="L48" s="76"/>
      <c r="M48" s="76"/>
      <c r="N48" s="76"/>
      <c r="O48" s="76"/>
      <c r="P48" s="76"/>
      <c r="Q48" s="76"/>
      <c r="R48" s="8">
        <f t="shared" si="2"/>
        <v>0.006283231148323745</v>
      </c>
    </row>
    <row r="49" spans="1:18" ht="12.75">
      <c r="A49" s="2" t="s">
        <v>42</v>
      </c>
      <c r="B49" s="2" t="s">
        <v>64</v>
      </c>
      <c r="C49" t="s">
        <v>71</v>
      </c>
      <c r="D49" s="48">
        <f t="shared" si="1"/>
        <v>76654.25</v>
      </c>
      <c r="E49" s="76"/>
      <c r="F49" s="76"/>
      <c r="G49" s="76"/>
      <c r="H49" s="76"/>
      <c r="I49" s="76"/>
      <c r="J49" s="76"/>
      <c r="K49" s="76">
        <f>22.31+76631.94</f>
        <v>76654.25</v>
      </c>
      <c r="L49" s="76"/>
      <c r="M49" s="76"/>
      <c r="N49" s="76"/>
      <c r="O49" s="76"/>
      <c r="P49" s="76"/>
      <c r="Q49" s="76"/>
      <c r="R49" s="8">
        <f t="shared" si="2"/>
        <v>0.0006636505429051991</v>
      </c>
    </row>
    <row r="50" spans="1:18" ht="12.75">
      <c r="A50" s="2" t="s">
        <v>43</v>
      </c>
      <c r="B50" s="2" t="s">
        <v>162</v>
      </c>
      <c r="C50" t="s">
        <v>73</v>
      </c>
      <c r="D50" s="48">
        <f t="shared" si="1"/>
        <v>2048475.75</v>
      </c>
      <c r="E50" s="76"/>
      <c r="F50" s="76"/>
      <c r="G50" s="76"/>
      <c r="H50" s="76"/>
      <c r="I50" s="76"/>
      <c r="J50" s="76"/>
      <c r="K50" s="76"/>
      <c r="L50" s="76">
        <f>416037.3+18748.51+1445000+168689.94</f>
        <v>2048475.75</v>
      </c>
      <c r="M50" s="76"/>
      <c r="N50" s="76"/>
      <c r="O50" s="76"/>
      <c r="P50" s="76"/>
      <c r="Q50" s="76"/>
      <c r="R50" s="8">
        <f t="shared" si="2"/>
        <v>0.01773511636491956</v>
      </c>
    </row>
    <row r="51" spans="1:18" ht="12.75">
      <c r="A51" s="2" t="s">
        <v>44</v>
      </c>
      <c r="B51" s="2" t="s">
        <v>67</v>
      </c>
      <c r="C51" t="s">
        <v>74</v>
      </c>
      <c r="D51" s="48">
        <f t="shared" si="1"/>
        <v>282889.15</v>
      </c>
      <c r="E51" s="76"/>
      <c r="F51" s="76"/>
      <c r="G51" s="76"/>
      <c r="H51" s="76"/>
      <c r="I51" s="76"/>
      <c r="J51" s="76"/>
      <c r="K51" s="76"/>
      <c r="L51" s="76"/>
      <c r="M51" s="76">
        <f>6738+276151.15</f>
        <v>282889.15</v>
      </c>
      <c r="N51" s="76"/>
      <c r="O51" s="76"/>
      <c r="P51" s="76"/>
      <c r="Q51" s="76"/>
      <c r="R51" s="8">
        <f t="shared" si="2"/>
        <v>0.0024491732419205763</v>
      </c>
    </row>
    <row r="52" spans="1:18" ht="12.75">
      <c r="A52" s="2" t="s">
        <v>45</v>
      </c>
      <c r="B52" s="2" t="s">
        <v>66</v>
      </c>
      <c r="C52" t="s">
        <v>75</v>
      </c>
      <c r="D52" s="48">
        <f t="shared" si="1"/>
        <v>1130085.3</v>
      </c>
      <c r="E52" s="76"/>
      <c r="F52" s="76"/>
      <c r="G52" s="76"/>
      <c r="H52" s="76"/>
      <c r="I52" s="76"/>
      <c r="J52" s="76"/>
      <c r="K52" s="76"/>
      <c r="L52" s="76"/>
      <c r="M52" s="76"/>
      <c r="N52" s="76">
        <f>1130085.3</f>
        <v>1130085.3</v>
      </c>
      <c r="O52" s="76"/>
      <c r="P52" s="76"/>
      <c r="Q52" s="76"/>
      <c r="R52" s="8">
        <f t="shared" si="2"/>
        <v>0.009783954873659123</v>
      </c>
    </row>
    <row r="53" spans="1:18" ht="12.75">
      <c r="A53" s="2" t="s">
        <v>46</v>
      </c>
      <c r="B53" s="2" t="s">
        <v>160</v>
      </c>
      <c r="C53" t="s">
        <v>76</v>
      </c>
      <c r="D53" s="48">
        <f t="shared" si="1"/>
        <v>9087280.270000001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>
        <f>3934048.32+155249.67+19854.14+272266.19+4412571.21+242030.17+51260.57</f>
        <v>9087280.270000001</v>
      </c>
      <c r="P53" s="76"/>
      <c r="Q53" s="76"/>
      <c r="R53" s="8">
        <f t="shared" si="2"/>
        <v>0.07867507000221391</v>
      </c>
    </row>
    <row r="54" spans="1:18" ht="12.75">
      <c r="A54" s="2" t="s">
        <v>46</v>
      </c>
      <c r="B54" s="2" t="s">
        <v>77</v>
      </c>
      <c r="C54" t="s">
        <v>78</v>
      </c>
      <c r="D54" s="48">
        <f t="shared" si="1"/>
        <v>13575587.900000002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>
        <f>4675318.69+8900269.21</f>
        <v>13575587.900000002</v>
      </c>
      <c r="P54" s="76"/>
      <c r="Q54" s="76"/>
      <c r="R54" s="8">
        <f t="shared" si="2"/>
        <v>0.11753355202212863</v>
      </c>
    </row>
    <row r="55" spans="1:18" ht="12.75">
      <c r="A55" s="2" t="s">
        <v>46</v>
      </c>
      <c r="B55" s="2" t="s">
        <v>64</v>
      </c>
      <c r="C55" t="s">
        <v>127</v>
      </c>
      <c r="D55" s="48">
        <f t="shared" si="1"/>
        <v>113145.11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>
        <f>113145.11</f>
        <v>113145.11</v>
      </c>
      <c r="P55" s="76"/>
      <c r="Q55" s="76"/>
      <c r="R55" s="8">
        <f t="shared" si="2"/>
        <v>0.0009795779578897254</v>
      </c>
    </row>
    <row r="56" spans="1:18" ht="12.75">
      <c r="A56" s="2" t="s">
        <v>47</v>
      </c>
      <c r="B56" s="2" t="s">
        <v>88</v>
      </c>
      <c r="C56" t="s">
        <v>111</v>
      </c>
      <c r="D56" s="48">
        <f t="shared" si="1"/>
        <v>4338589.6899999995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>
        <f>353084+3985505.69</f>
        <v>4338589.6899999995</v>
      </c>
      <c r="Q56" s="76"/>
      <c r="R56" s="8">
        <f t="shared" si="2"/>
        <v>0.03756226697425647</v>
      </c>
    </row>
    <row r="57" spans="1:18" ht="12.75">
      <c r="A57" s="2" t="s">
        <v>47</v>
      </c>
      <c r="B57" s="2" t="s">
        <v>163</v>
      </c>
      <c r="C57" t="s">
        <v>80</v>
      </c>
      <c r="D57" s="48">
        <f t="shared" si="1"/>
        <v>7238876.85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>
        <f>1840149.77+5398727.08</f>
        <v>7238876.85</v>
      </c>
      <c r="Q57" s="76"/>
      <c r="R57" s="8">
        <f t="shared" si="2"/>
        <v>0.0626721225701951</v>
      </c>
    </row>
    <row r="58" spans="1:18" ht="12.75">
      <c r="A58" s="2" t="s">
        <v>47</v>
      </c>
      <c r="B58" s="2" t="s">
        <v>89</v>
      </c>
      <c r="C58" t="s">
        <v>70</v>
      </c>
      <c r="D58" s="48">
        <f t="shared" si="1"/>
        <v>6197486.72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>
        <f>8718.72+308953.71+5742036.62+137777.67</f>
        <v>6197486.72</v>
      </c>
      <c r="Q58" s="76"/>
      <c r="R58" s="8">
        <f t="shared" si="2"/>
        <v>0.053656065076310336</v>
      </c>
    </row>
    <row r="59" spans="1:18" ht="12.75">
      <c r="A59" s="2" t="s">
        <v>47</v>
      </c>
      <c r="B59" s="2" t="s">
        <v>124</v>
      </c>
      <c r="C59" t="s">
        <v>81</v>
      </c>
      <c r="D59" s="48">
        <f t="shared" si="1"/>
        <v>6145370.290000001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>
        <f>251404+1301825.12+28884.54+4273220.73+290035.9</f>
        <v>6145370.290000001</v>
      </c>
      <c r="Q59" s="76"/>
      <c r="R59" s="8">
        <f t="shared" si="2"/>
        <v>0.05320485595139189</v>
      </c>
    </row>
    <row r="60" spans="1:18" ht="12.75">
      <c r="A60" s="2" t="s">
        <v>47</v>
      </c>
      <c r="B60" s="2" t="s">
        <v>72</v>
      </c>
      <c r="C60" t="s">
        <v>165</v>
      </c>
      <c r="D60" s="48">
        <f t="shared" si="1"/>
        <v>209416.4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>
        <f>209416.4</f>
        <v>209416.4</v>
      </c>
      <c r="Q60" s="76"/>
      <c r="R60" s="8">
        <f t="shared" si="2"/>
        <v>0.0018130672148413472</v>
      </c>
    </row>
    <row r="61" spans="1:18" ht="12.75">
      <c r="A61" s="2" t="s">
        <v>47</v>
      </c>
      <c r="B61" s="2" t="s">
        <v>90</v>
      </c>
      <c r="C61" t="s">
        <v>82</v>
      </c>
      <c r="D61" s="48">
        <f t="shared" si="1"/>
        <v>8910500.97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>
        <f>5407128.19+26552+3395388.78+81432</f>
        <v>8910500.97</v>
      </c>
      <c r="Q61" s="76"/>
      <c r="R61" s="8">
        <f t="shared" si="2"/>
        <v>0.07714456545198478</v>
      </c>
    </row>
    <row r="62" spans="1:19" ht="12.75">
      <c r="A62" s="2" t="s">
        <v>47</v>
      </c>
      <c r="B62" s="2" t="s">
        <v>72</v>
      </c>
      <c r="C62" t="s">
        <v>83</v>
      </c>
      <c r="D62" s="48">
        <f t="shared" si="1"/>
        <v>11286612.54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>
        <f>3845755.34+7440857.2</f>
        <v>11286612.54</v>
      </c>
      <c r="Q62" s="76"/>
      <c r="R62" s="8">
        <f t="shared" si="2"/>
        <v>0.09771625891234507</v>
      </c>
      <c r="S62" s="8"/>
    </row>
    <row r="63" spans="1:19" ht="12.75">
      <c r="A63" s="2" t="s">
        <v>47</v>
      </c>
      <c r="B63" s="2" t="s">
        <v>64</v>
      </c>
      <c r="C63" t="s">
        <v>112</v>
      </c>
      <c r="D63" s="48">
        <f t="shared" si="1"/>
        <v>52082.75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>
        <f>29970+22112.75</f>
        <v>52082.75</v>
      </c>
      <c r="Q63" s="76"/>
      <c r="R63" s="8">
        <f t="shared" si="2"/>
        <v>0.00045091753312433115</v>
      </c>
      <c r="S63" s="8"/>
    </row>
    <row r="64" spans="3:18" ht="12.75">
      <c r="C64" s="72" t="s">
        <v>113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2:18" s="8" customFormat="1" ht="13.5" thickBot="1">
      <c r="B65" s="66"/>
      <c r="C65" s="67" t="s">
        <v>84</v>
      </c>
      <c r="D65" s="68">
        <f>SUM(E65:Q65)</f>
        <v>1.0000000000000002</v>
      </c>
      <c r="E65" s="69">
        <f>E5/D5</f>
        <v>0.12307473573222057</v>
      </c>
      <c r="F65" s="69">
        <f>F5/D5</f>
        <v>0.009941549762551924</v>
      </c>
      <c r="G65" s="69">
        <f>G5/D5</f>
        <v>0.0009359804826564948</v>
      </c>
      <c r="H65" s="69">
        <f>H5/D5</f>
        <v>0.006796644733395396</v>
      </c>
      <c r="I65" s="69">
        <f>I5/D5</f>
        <v>0.11176466862617422</v>
      </c>
      <c r="J65" s="69">
        <f>J5/D5</f>
        <v>0.0014241002111302506</v>
      </c>
      <c r="K65" s="69">
        <f>K5/D5</f>
        <v>0.000806502817344461</v>
      </c>
      <c r="L65" s="69">
        <f>L5/D5</f>
        <v>0.021564014706901388</v>
      </c>
      <c r="M65" s="69">
        <f>M5/D5</f>
        <v>0.016788452003946318</v>
      </c>
      <c r="N65" s="69">
        <f>N5/D5</f>
        <v>0.014931085519607132</v>
      </c>
      <c r="O65" s="69">
        <f>O5/D5</f>
        <v>0.20404366219164247</v>
      </c>
      <c r="P65" s="69">
        <f>P5/D5</f>
        <v>0.4869173255556475</v>
      </c>
      <c r="Q65" s="69">
        <f>Q5/D5</f>
        <v>0.0010112776567820217</v>
      </c>
      <c r="R65" s="69">
        <f>SUM(R6:R64)</f>
        <v>1.0000000000000002</v>
      </c>
    </row>
    <row r="66" spans="1:18" s="8" customFormat="1" ht="13.5" thickTop="1">
      <c r="A66" s="70"/>
      <c r="C66" s="6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.75">
      <c r="E68" s="8"/>
    </row>
  </sheetData>
  <sheetProtection/>
  <printOptions/>
  <pageMargins left="0" right="0" top="0.25" bottom="0.25" header="0.5" footer="0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3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114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129</v>
      </c>
      <c r="S3" s="51" t="s">
        <v>32</v>
      </c>
    </row>
    <row r="4" spans="1:19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3" t="s">
        <v>130</v>
      </c>
      <c r="S4" s="54" t="s">
        <v>49</v>
      </c>
    </row>
    <row r="5" spans="1:19" s="58" customFormat="1" ht="13.5" thickBot="1">
      <c r="A5" s="55"/>
      <c r="B5" s="55"/>
      <c r="C5" s="55" t="s">
        <v>50</v>
      </c>
      <c r="D5" s="56">
        <f>SUM(E5:R5)</f>
        <v>116562004.00999999</v>
      </c>
      <c r="E5" s="56">
        <f aca="true" t="shared" si="0" ref="E5:R5">SUM(E6:E58)</f>
        <v>8552167.09</v>
      </c>
      <c r="F5" s="56">
        <f t="shared" si="0"/>
        <v>756022.15</v>
      </c>
      <c r="G5" s="56">
        <f t="shared" si="0"/>
        <v>108109.43</v>
      </c>
      <c r="H5" s="56">
        <f t="shared" si="0"/>
        <v>741479.39</v>
      </c>
      <c r="I5" s="56">
        <f t="shared" si="0"/>
        <v>11414135.39</v>
      </c>
      <c r="J5" s="56">
        <f t="shared" si="0"/>
        <v>18275</v>
      </c>
      <c r="K5" s="56">
        <f t="shared" si="0"/>
        <v>20281.76</v>
      </c>
      <c r="L5" s="56">
        <f t="shared" si="0"/>
        <v>1693033.26</v>
      </c>
      <c r="M5" s="56">
        <f t="shared" si="0"/>
        <v>1631060.95</v>
      </c>
      <c r="N5" s="56">
        <f t="shared" si="0"/>
        <v>1429427.3</v>
      </c>
      <c r="O5" s="56">
        <f t="shared" si="0"/>
        <v>18382327.119999997</v>
      </c>
      <c r="P5" s="56">
        <f t="shared" si="0"/>
        <v>35091113.72</v>
      </c>
      <c r="Q5" s="56">
        <f t="shared" si="0"/>
        <v>4225</v>
      </c>
      <c r="R5" s="56">
        <f t="shared" si="0"/>
        <v>36720346.449999996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36</v>
      </c>
      <c r="B7" s="60" t="s">
        <v>85</v>
      </c>
      <c r="C7" s="60" t="s">
        <v>52</v>
      </c>
      <c r="D7" s="48">
        <f aca="true" t="shared" si="1" ref="D7:D56">SUM(E7:Q7)</f>
        <v>2707192.3600000003</v>
      </c>
      <c r="E7" s="62">
        <f>1035205.6+666923.08+1072771.44-67707.76</f>
        <v>2707192.3600000003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38">D7/$D$5</f>
        <v>0.023225341593884636</v>
      </c>
    </row>
    <row r="8" spans="1:19" ht="12.75">
      <c r="A8" s="60" t="s">
        <v>36</v>
      </c>
      <c r="B8" s="60" t="s">
        <v>101</v>
      </c>
      <c r="C8" s="60" t="s">
        <v>55</v>
      </c>
      <c r="D8" s="48">
        <f t="shared" si="1"/>
        <v>724132.58</v>
      </c>
      <c r="E8" s="62">
        <f>67043+5448.27+226417.9+332957+92266.41</f>
        <v>724132.58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0.006212423903915343</v>
      </c>
    </row>
    <row r="9" spans="1:19" ht="12.75">
      <c r="A9" s="60" t="s">
        <v>37</v>
      </c>
      <c r="B9" s="60" t="s">
        <v>102</v>
      </c>
      <c r="C9" s="60" t="s">
        <v>52</v>
      </c>
      <c r="D9" s="48">
        <f t="shared" si="1"/>
        <v>334000.33999999997</v>
      </c>
      <c r="E9" s="62"/>
      <c r="F9" s="62">
        <f>194790.24+19848.5+113025.1+6336.5</f>
        <v>334000.33999999997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0.002865430659302543</v>
      </c>
    </row>
    <row r="10" spans="1:19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62"/>
      <c r="F10" s="62">
        <f>157392.63+125279.52</f>
        <v>282672.15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0.0024250797024367326</v>
      </c>
    </row>
    <row r="11" spans="1:19" ht="12.75">
      <c r="A11" s="60" t="s">
        <v>37</v>
      </c>
      <c r="B11" s="60" t="s">
        <v>103</v>
      </c>
      <c r="C11" s="60" t="s">
        <v>55</v>
      </c>
      <c r="D11" s="48">
        <f t="shared" si="1"/>
        <v>89646.66</v>
      </c>
      <c r="E11" s="62"/>
      <c r="F11" s="62">
        <f>68250.66+20018.2+1377.8</f>
        <v>89646.66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0.0007690898999326497</v>
      </c>
    </row>
    <row r="12" spans="1:19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62"/>
      <c r="F12" s="62"/>
      <c r="G12" s="62">
        <f>12000+96109.43</f>
        <v>108109.43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0.0009274843111887915</v>
      </c>
    </row>
    <row r="13" spans="1:19" ht="12.75">
      <c r="A13" s="60" t="s">
        <v>39</v>
      </c>
      <c r="B13" s="60" t="s">
        <v>119</v>
      </c>
      <c r="C13" s="60" t="s">
        <v>52</v>
      </c>
      <c r="D13" s="48">
        <f t="shared" si="1"/>
        <v>441386.39</v>
      </c>
      <c r="E13" s="62"/>
      <c r="F13" s="62"/>
      <c r="G13" s="61"/>
      <c r="H13" s="62">
        <f>37419.65+185050.8+33664.04+185251.9</f>
        <v>441386.39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0.003786709003065295</v>
      </c>
    </row>
    <row r="14" spans="1:19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62"/>
      <c r="F14" s="62"/>
      <c r="G14" s="61"/>
      <c r="H14" s="62">
        <f>93</f>
        <v>93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7.978586228838466E-07</v>
      </c>
    </row>
    <row r="15" spans="1:19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62"/>
      <c r="F15" s="62"/>
      <c r="G15" s="61"/>
      <c r="H15" s="62">
        <f>300000</f>
        <v>300000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0.002573737493173699</v>
      </c>
    </row>
    <row r="16" spans="1:19" ht="12.75">
      <c r="A16" s="60" t="s">
        <v>40</v>
      </c>
      <c r="B16" s="60" t="s">
        <v>104</v>
      </c>
      <c r="C16" s="60" t="s">
        <v>52</v>
      </c>
      <c r="D16" s="48">
        <f t="shared" si="1"/>
        <v>911090.76</v>
      </c>
      <c r="E16" s="62"/>
      <c r="F16" s="62"/>
      <c r="G16" s="61"/>
      <c r="H16" s="62"/>
      <c r="I16" s="62">
        <f>84332.3+240381.96-124694.5+212+298182.03+412676.97</f>
        <v>911090.76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0.007816361495653734</v>
      </c>
    </row>
    <row r="17" spans="1:19" ht="12.75">
      <c r="A17" s="60" t="s">
        <v>41</v>
      </c>
      <c r="B17" s="60" t="s">
        <v>122</v>
      </c>
      <c r="C17" s="60" t="s">
        <v>55</v>
      </c>
      <c r="D17" s="48">
        <f t="shared" si="1"/>
        <v>18275</v>
      </c>
      <c r="E17" s="62"/>
      <c r="F17" s="62"/>
      <c r="G17" s="61"/>
      <c r="H17" s="62"/>
      <c r="I17" s="62"/>
      <c r="J17" s="61">
        <f>18275</f>
        <v>18275</v>
      </c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0.0001567835089591645</v>
      </c>
    </row>
    <row r="18" spans="1:19" ht="12.75">
      <c r="A18" s="60" t="s">
        <v>42</v>
      </c>
      <c r="B18" s="60" t="s">
        <v>54</v>
      </c>
      <c r="C18" s="60" t="s">
        <v>58</v>
      </c>
      <c r="D18" s="48">
        <f t="shared" si="1"/>
        <v>16500</v>
      </c>
      <c r="E18" s="62"/>
      <c r="F18" s="62"/>
      <c r="G18" s="61"/>
      <c r="H18" s="62"/>
      <c r="I18" s="61"/>
      <c r="J18" s="62"/>
      <c r="K18" s="62">
        <f>16500</f>
        <v>16500</v>
      </c>
      <c r="L18" s="61"/>
      <c r="M18" s="61"/>
      <c r="N18" s="61"/>
      <c r="O18" s="61"/>
      <c r="P18" s="61"/>
      <c r="Q18" s="61"/>
      <c r="R18" s="61"/>
      <c r="S18" s="8">
        <f t="shared" si="2"/>
        <v>0.00014155556212455344</v>
      </c>
    </row>
    <row r="19" spans="1:19" ht="12.75">
      <c r="A19" s="60" t="s">
        <v>43</v>
      </c>
      <c r="B19" s="60" t="s">
        <v>105</v>
      </c>
      <c r="C19" s="60" t="s">
        <v>52</v>
      </c>
      <c r="D19" s="48">
        <f t="shared" si="1"/>
        <v>249830.24</v>
      </c>
      <c r="E19" s="62"/>
      <c r="F19" s="62"/>
      <c r="G19" s="61"/>
      <c r="H19" s="62"/>
      <c r="I19" s="61"/>
      <c r="J19" s="62"/>
      <c r="K19" s="62"/>
      <c r="L19" s="62">
        <f>7000+179353.1+24948+164179.02-127025.1+1375.22</f>
        <v>249830.24</v>
      </c>
      <c r="M19" s="61"/>
      <c r="N19" s="61"/>
      <c r="O19" s="61"/>
      <c r="P19" s="61"/>
      <c r="Q19" s="61"/>
      <c r="R19" s="61"/>
      <c r="S19" s="8">
        <f t="shared" si="2"/>
        <v>0.002143324852055278</v>
      </c>
    </row>
    <row r="20" spans="1:19" ht="12.75">
      <c r="A20" s="60" t="s">
        <v>43</v>
      </c>
      <c r="B20" s="60" t="s">
        <v>51</v>
      </c>
      <c r="C20" s="60" t="s">
        <v>118</v>
      </c>
      <c r="D20" s="48">
        <f t="shared" si="1"/>
        <v>12882.48</v>
      </c>
      <c r="E20" s="62"/>
      <c r="F20" s="62"/>
      <c r="G20" s="61"/>
      <c r="H20" s="62"/>
      <c r="I20" s="61"/>
      <c r="J20" s="62"/>
      <c r="K20" s="62"/>
      <c r="L20" s="62">
        <f>12882.48</f>
        <v>12882.48</v>
      </c>
      <c r="M20" s="61"/>
      <c r="N20" s="61"/>
      <c r="O20" s="61"/>
      <c r="P20" s="61"/>
      <c r="Q20" s="61"/>
      <c r="R20" s="61"/>
      <c r="S20" s="8">
        <f t="shared" si="2"/>
        <v>0.0001105204059368677</v>
      </c>
    </row>
    <row r="21" spans="1:19" ht="12.75">
      <c r="A21" s="60" t="s">
        <v>44</v>
      </c>
      <c r="B21" s="60" t="s">
        <v>56</v>
      </c>
      <c r="C21" s="60" t="s">
        <v>52</v>
      </c>
      <c r="D21" s="48">
        <f t="shared" si="1"/>
        <v>227353.5</v>
      </c>
      <c r="E21" s="62"/>
      <c r="F21" s="61"/>
      <c r="G21" s="61"/>
      <c r="H21" s="61"/>
      <c r="I21" s="61"/>
      <c r="J21" s="61"/>
      <c r="K21" s="61"/>
      <c r="L21" s="62"/>
      <c r="M21" s="62">
        <f>77049+10516.4+82340+57448.1</f>
        <v>227353.5</v>
      </c>
      <c r="N21" s="61"/>
      <c r="O21" s="61"/>
      <c r="P21" s="61"/>
      <c r="Q21" s="61"/>
      <c r="R21" s="61"/>
      <c r="S21" s="8">
        <f t="shared" si="2"/>
        <v>0.0019504940905142217</v>
      </c>
    </row>
    <row r="22" spans="1:19" ht="12.75">
      <c r="A22" s="60" t="s">
        <v>44</v>
      </c>
      <c r="B22" s="60" t="s">
        <v>59</v>
      </c>
      <c r="C22" s="60" t="s">
        <v>60</v>
      </c>
      <c r="D22" s="48">
        <f t="shared" si="1"/>
        <v>1293740.45</v>
      </c>
      <c r="E22" s="62"/>
      <c r="F22" s="61"/>
      <c r="G22" s="61"/>
      <c r="H22" s="61"/>
      <c r="I22" s="61"/>
      <c r="J22" s="61"/>
      <c r="K22" s="61"/>
      <c r="L22" s="62"/>
      <c r="M22" s="62">
        <f>1164177.98+129562.47</f>
        <v>1293740.45</v>
      </c>
      <c r="N22" s="61"/>
      <c r="O22" s="61"/>
      <c r="P22" s="61"/>
      <c r="Q22" s="61"/>
      <c r="R22" s="61"/>
      <c r="S22" s="8">
        <f t="shared" si="2"/>
        <v>0.011099161008668043</v>
      </c>
    </row>
    <row r="23" spans="1:19" ht="12.75">
      <c r="A23" s="60" t="s">
        <v>44</v>
      </c>
      <c r="B23" s="60" t="s">
        <v>61</v>
      </c>
      <c r="C23" s="60" t="s">
        <v>55</v>
      </c>
      <c r="D23" s="48">
        <f t="shared" si="1"/>
        <v>103229</v>
      </c>
      <c r="E23" s="62"/>
      <c r="F23" s="61"/>
      <c r="G23" s="61"/>
      <c r="H23" s="61"/>
      <c r="I23" s="61"/>
      <c r="J23" s="61"/>
      <c r="K23" s="61"/>
      <c r="L23" s="62"/>
      <c r="M23" s="62">
        <f>103229</f>
        <v>103229</v>
      </c>
      <c r="N23" s="61"/>
      <c r="O23" s="61"/>
      <c r="P23" s="61"/>
      <c r="Q23" s="61"/>
      <c r="R23" s="61"/>
      <c r="S23" s="8">
        <f t="shared" si="2"/>
        <v>0.0008856144922760925</v>
      </c>
    </row>
    <row r="24" spans="1:19" ht="12.75">
      <c r="A24" s="60" t="s">
        <v>45</v>
      </c>
      <c r="B24" s="60" t="s">
        <v>51</v>
      </c>
      <c r="C24" s="60" t="s">
        <v>55</v>
      </c>
      <c r="D24" s="48">
        <f t="shared" si="1"/>
        <v>35000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35000</f>
        <v>35000</v>
      </c>
      <c r="O24" s="61"/>
      <c r="P24" s="61"/>
      <c r="Q24" s="61"/>
      <c r="R24" s="61"/>
      <c r="S24" s="8">
        <f t="shared" si="2"/>
        <v>0.0003002693742035982</v>
      </c>
    </row>
    <row r="25" spans="1:19" ht="12.75">
      <c r="A25" s="60" t="s">
        <v>45</v>
      </c>
      <c r="B25" s="60" t="s">
        <v>117</v>
      </c>
      <c r="C25" s="60" t="s">
        <v>52</v>
      </c>
      <c r="D25" s="48">
        <f t="shared" si="1"/>
        <v>264342</v>
      </c>
      <c r="E25" s="62"/>
      <c r="F25" s="61"/>
      <c r="G25" s="61"/>
      <c r="H25" s="61"/>
      <c r="I25" s="61"/>
      <c r="J25" s="61"/>
      <c r="K25" s="61"/>
      <c r="L25" s="62"/>
      <c r="M25" s="62"/>
      <c r="N25" s="62">
        <f>264342</f>
        <v>264342</v>
      </c>
      <c r="O25" s="61"/>
      <c r="P25" s="61"/>
      <c r="Q25" s="61"/>
      <c r="R25" s="61"/>
      <c r="S25" s="8">
        <f t="shared" si="2"/>
        <v>0.002267823054735073</v>
      </c>
    </row>
    <row r="26" spans="1:19" ht="12.75">
      <c r="A26" s="60" t="s">
        <v>46</v>
      </c>
      <c r="B26" s="60" t="s">
        <v>121</v>
      </c>
      <c r="C26" s="60" t="s">
        <v>52</v>
      </c>
      <c r="D26" s="48">
        <f t="shared" si="1"/>
        <v>740298.0700000001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2">
        <f>248700.5+480764.53+10833.04</f>
        <v>740298.0700000001</v>
      </c>
      <c r="P26" s="61"/>
      <c r="Q26" s="61"/>
      <c r="R26" s="61"/>
      <c r="S26" s="8">
        <f t="shared" si="2"/>
        <v>0.006351109662943759</v>
      </c>
    </row>
    <row r="27" spans="1:19" ht="12.75">
      <c r="A27" s="60" t="s">
        <v>47</v>
      </c>
      <c r="B27" s="60" t="s">
        <v>106</v>
      </c>
      <c r="C27" s="60" t="s">
        <v>52</v>
      </c>
      <c r="D27" s="48">
        <f t="shared" si="1"/>
        <v>921263.9199999999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1800+5869.82+3981.1+328678+580935</f>
        <v>921263.9199999999</v>
      </c>
      <c r="Q27" s="61"/>
      <c r="R27" s="61"/>
      <c r="S27" s="8">
        <f t="shared" si="2"/>
        <v>0.00790363830670725</v>
      </c>
    </row>
    <row r="28" spans="1:19" ht="12.75">
      <c r="A28" s="60" t="s">
        <v>47</v>
      </c>
      <c r="B28" s="60" t="s">
        <v>107</v>
      </c>
      <c r="C28" s="60" t="s">
        <v>86</v>
      </c>
      <c r="D28" s="48">
        <f t="shared" si="1"/>
        <v>5038842.63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1490667.33+12600+3534434.3+1141</f>
        <v>5038842.63</v>
      </c>
      <c r="Q28" s="61"/>
      <c r="R28" s="61"/>
      <c r="S28" s="8">
        <f t="shared" si="2"/>
        <v>0.043228860663443225</v>
      </c>
    </row>
    <row r="29" spans="1:19" ht="12.75">
      <c r="A29" s="60" t="s">
        <v>47</v>
      </c>
      <c r="B29" s="60" t="s">
        <v>53</v>
      </c>
      <c r="C29" s="60" t="s">
        <v>120</v>
      </c>
      <c r="D29" s="48">
        <f t="shared" si="1"/>
        <v>1759464.78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>
        <f>1759464.78</f>
        <v>1759464.78</v>
      </c>
      <c r="Q29" s="61"/>
      <c r="R29" s="61"/>
      <c r="S29" s="8">
        <f t="shared" si="2"/>
        <v>0.015094668240682046</v>
      </c>
    </row>
    <row r="30" spans="1:20" ht="12.75">
      <c r="A30" s="60" t="s">
        <v>48</v>
      </c>
      <c r="B30" s="60" t="s">
        <v>123</v>
      </c>
      <c r="C30" s="60" t="s">
        <v>55</v>
      </c>
      <c r="D30" s="48">
        <f t="shared" si="1"/>
        <v>4225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>
        <f>3391+834</f>
        <v>4225</v>
      </c>
      <c r="R30" s="62"/>
      <c r="S30" s="8">
        <f t="shared" si="2"/>
        <v>3.624680302886293E-05</v>
      </c>
      <c r="T30" s="8">
        <f>SUM(S7:S30)</f>
        <v>0.14227252594745435</v>
      </c>
    </row>
    <row r="31" spans="1:19" ht="12.75">
      <c r="A31" s="2" t="s">
        <v>36</v>
      </c>
      <c r="B31" s="2" t="s">
        <v>62</v>
      </c>
      <c r="C31" t="s">
        <v>63</v>
      </c>
      <c r="D31" s="48">
        <f t="shared" si="1"/>
        <v>337235.04999999993</v>
      </c>
      <c r="E31" s="48">
        <f>1212.12+245500.96+229176.14-138654.17</f>
        <v>337235.04999999993</v>
      </c>
      <c r="S31" s="8">
        <f t="shared" si="2"/>
        <v>0.002893181640657689</v>
      </c>
    </row>
    <row r="32" spans="1:19" ht="12.75">
      <c r="A32" s="2" t="s">
        <v>36</v>
      </c>
      <c r="B32" s="2" t="s">
        <v>64</v>
      </c>
      <c r="C32" s="63" t="s">
        <v>65</v>
      </c>
      <c r="D32" s="48">
        <f t="shared" si="1"/>
        <v>162538.72999999998</v>
      </c>
      <c r="E32" s="48">
        <f>146679.55+15859.18</f>
        <v>162538.72999999998</v>
      </c>
      <c r="S32" s="8">
        <f t="shared" si="2"/>
        <v>0.0013944400783127888</v>
      </c>
    </row>
    <row r="33" spans="1:19" ht="12.75">
      <c r="A33" s="2" t="s">
        <v>36</v>
      </c>
      <c r="B33" s="2" t="s">
        <v>66</v>
      </c>
      <c r="C33" s="63" t="s">
        <v>65</v>
      </c>
      <c r="D33" s="48">
        <f t="shared" si="1"/>
        <v>1085598.76</v>
      </c>
      <c r="E33" s="48">
        <f>378504.55+707094.21</f>
        <v>1085598.76</v>
      </c>
      <c r="S33" s="8">
        <f t="shared" si="2"/>
        <v>0.009313487437182919</v>
      </c>
    </row>
    <row r="34" spans="1:19" ht="12.75">
      <c r="A34" s="2" t="s">
        <v>36</v>
      </c>
      <c r="B34" s="2" t="s">
        <v>88</v>
      </c>
      <c r="C34" s="63" t="s">
        <v>65</v>
      </c>
      <c r="D34" s="48">
        <f t="shared" si="1"/>
        <v>458717.69</v>
      </c>
      <c r="E34" s="48">
        <f>4492.79+454224.9</f>
        <v>458717.69</v>
      </c>
      <c r="S34" s="8">
        <f t="shared" si="2"/>
        <v>0.003935396391783433</v>
      </c>
    </row>
    <row r="35" spans="1:19" ht="12.75">
      <c r="A35" s="2" t="s">
        <v>36</v>
      </c>
      <c r="B35" s="2" t="s">
        <v>88</v>
      </c>
      <c r="C35" s="63" t="s">
        <v>108</v>
      </c>
      <c r="D35" s="48">
        <f t="shared" si="1"/>
        <v>250000</v>
      </c>
      <c r="E35" s="48">
        <f>250000</f>
        <v>250000</v>
      </c>
      <c r="S35" s="8">
        <f t="shared" si="2"/>
        <v>0.002144781244311416</v>
      </c>
    </row>
    <row r="36" spans="1:19" ht="12.75">
      <c r="A36" s="2" t="s">
        <v>36</v>
      </c>
      <c r="B36" s="2" t="s">
        <v>67</v>
      </c>
      <c r="C36" t="s">
        <v>68</v>
      </c>
      <c r="D36" s="48">
        <f t="shared" si="1"/>
        <v>2826751.92</v>
      </c>
      <c r="E36" s="48">
        <f>2826751.92</f>
        <v>2826751.92</v>
      </c>
      <c r="S36" s="8">
        <f t="shared" si="2"/>
        <v>0.02425105800134913</v>
      </c>
    </row>
    <row r="37" spans="1:19" ht="12.75">
      <c r="A37" s="2" t="s">
        <v>37</v>
      </c>
      <c r="B37" s="2" t="s">
        <v>64</v>
      </c>
      <c r="C37" s="63" t="s">
        <v>125</v>
      </c>
      <c r="D37" s="48">
        <f t="shared" si="1"/>
        <v>49703</v>
      </c>
      <c r="F37" s="48">
        <f>49703</f>
        <v>49703</v>
      </c>
      <c r="S37" s="8">
        <f t="shared" si="2"/>
        <v>0.0004264082487440412</v>
      </c>
    </row>
    <row r="38" spans="1:19" ht="12.75">
      <c r="A38" s="2" t="s">
        <v>40</v>
      </c>
      <c r="B38" s="2" t="s">
        <v>64</v>
      </c>
      <c r="C38" t="s">
        <v>109</v>
      </c>
      <c r="D38" s="48">
        <f t="shared" si="1"/>
        <v>10612.55</v>
      </c>
      <c r="I38" s="48">
        <f>10612.55</f>
        <v>10612.55</v>
      </c>
      <c r="S38" s="8">
        <f t="shared" si="2"/>
        <v>9.104639277726846E-05</v>
      </c>
    </row>
    <row r="39" spans="1:19" ht="12.75">
      <c r="A39" s="2" t="s">
        <v>40</v>
      </c>
      <c r="B39" s="2" t="s">
        <v>89</v>
      </c>
      <c r="C39" t="s">
        <v>70</v>
      </c>
      <c r="D39" s="48">
        <f t="shared" si="1"/>
        <v>9735482.41</v>
      </c>
      <c r="I39" s="48">
        <f>3055151.26+6680331.15</f>
        <v>9735482.41</v>
      </c>
      <c r="S39" s="8">
        <f aca="true" t="shared" si="3" ref="S39:S57">D39/$D$5</f>
        <v>0.0835219203091668</v>
      </c>
    </row>
    <row r="40" spans="1:19" ht="12.75">
      <c r="A40" s="2" t="s">
        <v>40</v>
      </c>
      <c r="B40" s="2" t="s">
        <v>67</v>
      </c>
      <c r="C40" t="s">
        <v>69</v>
      </c>
      <c r="D40" s="48">
        <f t="shared" si="1"/>
        <v>19576.74</v>
      </c>
      <c r="I40" s="48">
        <f>19538+38.74</f>
        <v>19576.74</v>
      </c>
      <c r="S40" s="8">
        <f t="shared" si="3"/>
        <v>0.00016795129910704426</v>
      </c>
    </row>
    <row r="41" spans="1:19" ht="12.75">
      <c r="A41" s="2" t="s">
        <v>40</v>
      </c>
      <c r="B41" s="2" t="s">
        <v>64</v>
      </c>
      <c r="C41" t="s">
        <v>100</v>
      </c>
      <c r="D41" s="48">
        <f t="shared" si="1"/>
        <v>11635</v>
      </c>
      <c r="I41" s="48">
        <f>11635</f>
        <v>11635</v>
      </c>
      <c r="S41" s="8">
        <f t="shared" si="3"/>
        <v>9.981811911025329E-05</v>
      </c>
    </row>
    <row r="42" spans="1:19" ht="12.75">
      <c r="A42" s="2" t="s">
        <v>40</v>
      </c>
      <c r="B42" s="2" t="s">
        <v>64</v>
      </c>
      <c r="C42" t="s">
        <v>126</v>
      </c>
      <c r="D42" s="48">
        <f t="shared" si="1"/>
        <v>725737.93</v>
      </c>
      <c r="I42" s="48">
        <f>725737.93</f>
        <v>725737.93</v>
      </c>
      <c r="S42" s="8">
        <f t="shared" si="3"/>
        <v>0.006226196402197565</v>
      </c>
    </row>
    <row r="43" spans="1:19" ht="12.75">
      <c r="A43" s="2" t="s">
        <v>42</v>
      </c>
      <c r="B43" s="2" t="s">
        <v>64</v>
      </c>
      <c r="C43" t="s">
        <v>71</v>
      </c>
      <c r="D43" s="48">
        <f t="shared" si="1"/>
        <v>3781.7599999999998</v>
      </c>
      <c r="K43" s="48">
        <f>22.31+3759.45</f>
        <v>3781.7599999999998</v>
      </c>
      <c r="S43" s="8">
        <f t="shared" si="3"/>
        <v>3.244419167394855E-05</v>
      </c>
    </row>
    <row r="44" spans="1:19" ht="12.75">
      <c r="A44" s="2" t="s">
        <v>43</v>
      </c>
      <c r="B44" s="2" t="s">
        <v>62</v>
      </c>
      <c r="C44" t="s">
        <v>73</v>
      </c>
      <c r="D44" s="48">
        <f t="shared" si="1"/>
        <v>1430320.54</v>
      </c>
      <c r="L44" s="48">
        <f>416037.3+845593.3+168689.94</f>
        <v>1430320.54</v>
      </c>
      <c r="S44" s="8">
        <f t="shared" si="3"/>
        <v>0.012270898670181505</v>
      </c>
    </row>
    <row r="45" spans="1:19" ht="12.75">
      <c r="A45" s="2" t="s">
        <v>44</v>
      </c>
      <c r="B45" s="2" t="s">
        <v>67</v>
      </c>
      <c r="C45" t="s">
        <v>74</v>
      </c>
      <c r="D45" s="48">
        <f t="shared" si="1"/>
        <v>6738</v>
      </c>
      <c r="M45" s="48">
        <f>6738</f>
        <v>6738</v>
      </c>
      <c r="S45" s="8">
        <f t="shared" si="3"/>
        <v>5.780614409668127E-05</v>
      </c>
    </row>
    <row r="46" spans="1:19" ht="12.75">
      <c r="A46" s="2" t="s">
        <v>45</v>
      </c>
      <c r="B46" s="2" t="s">
        <v>66</v>
      </c>
      <c r="C46" t="s">
        <v>75</v>
      </c>
      <c r="D46" s="48">
        <f t="shared" si="1"/>
        <v>1130085.3</v>
      </c>
      <c r="N46" s="48">
        <f>1130085.3</f>
        <v>1130085.3</v>
      </c>
      <c r="S46" s="8">
        <f t="shared" si="3"/>
        <v>0.009695143023648158</v>
      </c>
    </row>
    <row r="47" spans="1:19" ht="12.75">
      <c r="A47" s="2" t="s">
        <v>46</v>
      </c>
      <c r="B47" s="2" t="s">
        <v>110</v>
      </c>
      <c r="C47" t="s">
        <v>76</v>
      </c>
      <c r="D47" s="48">
        <f t="shared" si="1"/>
        <v>7727056.2299999995</v>
      </c>
      <c r="O47" s="48">
        <f>3934048.32+155249.67+19854.14+3617206.39+188.11+509.6</f>
        <v>7727056.2299999995</v>
      </c>
      <c r="S47" s="8">
        <f t="shared" si="3"/>
        <v>0.06629138110337471</v>
      </c>
    </row>
    <row r="48" spans="1:19" ht="12.75">
      <c r="A48" s="2" t="s">
        <v>46</v>
      </c>
      <c r="B48" s="2" t="s">
        <v>77</v>
      </c>
      <c r="C48" t="s">
        <v>78</v>
      </c>
      <c r="D48" s="48">
        <f t="shared" si="1"/>
        <v>9856481.99</v>
      </c>
      <c r="O48" s="48">
        <f>4675318.69+5181163.3</f>
        <v>9856481.99</v>
      </c>
      <c r="S48" s="8">
        <f t="shared" si="3"/>
        <v>0.08455999082818104</v>
      </c>
    </row>
    <row r="49" spans="1:19" ht="12.75">
      <c r="A49" s="2" t="s">
        <v>46</v>
      </c>
      <c r="B49" s="2" t="s">
        <v>64</v>
      </c>
      <c r="C49" t="s">
        <v>127</v>
      </c>
      <c r="D49" s="48">
        <f t="shared" si="1"/>
        <v>58490.83</v>
      </c>
      <c r="O49" s="48">
        <f>58490.83</f>
        <v>58490.83</v>
      </c>
      <c r="S49" s="8">
        <f t="shared" si="3"/>
        <v>0.00050180014059283</v>
      </c>
    </row>
    <row r="50" spans="1:19" ht="12.75">
      <c r="A50" s="2" t="s">
        <v>47</v>
      </c>
      <c r="B50" s="2" t="s">
        <v>88</v>
      </c>
      <c r="C50" t="s">
        <v>111</v>
      </c>
      <c r="D50" s="48">
        <f t="shared" si="1"/>
        <v>2619309.05</v>
      </c>
      <c r="P50" s="48">
        <f>353084+2266225.05</f>
        <v>2619309.05</v>
      </c>
      <c r="S50" s="8">
        <f t="shared" si="3"/>
        <v>0.022471379693980605</v>
      </c>
    </row>
    <row r="51" spans="1:19" ht="12.75">
      <c r="A51" s="2" t="s">
        <v>47</v>
      </c>
      <c r="B51" s="2" t="s">
        <v>79</v>
      </c>
      <c r="C51" t="s">
        <v>80</v>
      </c>
      <c r="D51" s="48">
        <f t="shared" si="1"/>
        <v>5808501.71</v>
      </c>
      <c r="P51" s="48">
        <f>1840149.77+3968351.94</f>
        <v>5808501.71</v>
      </c>
      <c r="S51" s="8">
        <f t="shared" si="3"/>
        <v>0.049831862100635144</v>
      </c>
    </row>
    <row r="52" spans="1:19" ht="12.75">
      <c r="A52" s="2" t="s">
        <v>47</v>
      </c>
      <c r="B52" s="2" t="s">
        <v>89</v>
      </c>
      <c r="C52" t="s">
        <v>70</v>
      </c>
      <c r="D52" s="48">
        <f t="shared" si="1"/>
        <v>1740531.01</v>
      </c>
      <c r="P52" s="48">
        <f>8718.72+308953.71+1356101.04+66757.54</f>
        <v>1740531.01</v>
      </c>
      <c r="S52" s="8">
        <f t="shared" si="3"/>
        <v>0.01493223306156162</v>
      </c>
    </row>
    <row r="53" spans="1:19" ht="12.75">
      <c r="A53" s="2" t="s">
        <v>47</v>
      </c>
      <c r="B53" s="2" t="s">
        <v>124</v>
      </c>
      <c r="C53" t="s">
        <v>81</v>
      </c>
      <c r="D53" s="48">
        <f t="shared" si="1"/>
        <v>2701602.57</v>
      </c>
      <c r="P53" s="48">
        <f>251404+1301825.12+4992.54+853345.01+290035.9</f>
        <v>2701602.57</v>
      </c>
      <c r="S53" s="8">
        <f t="shared" si="3"/>
        <v>0.023177386086878072</v>
      </c>
    </row>
    <row r="54" spans="1:19" ht="12.75">
      <c r="A54" s="2" t="s">
        <v>47</v>
      </c>
      <c r="B54" s="2" t="s">
        <v>90</v>
      </c>
      <c r="C54" t="s">
        <v>82</v>
      </c>
      <c r="D54" s="48">
        <f t="shared" si="1"/>
        <v>7662211.5</v>
      </c>
      <c r="P54" s="48">
        <f>5407128.19+26552+2147099.31+81432</f>
        <v>7662211.5</v>
      </c>
      <c r="S54" s="8">
        <f t="shared" si="3"/>
        <v>0.06573507006058896</v>
      </c>
    </row>
    <row r="55" spans="1:20" ht="12.75">
      <c r="A55" s="2" t="s">
        <v>47</v>
      </c>
      <c r="B55" s="2" t="s">
        <v>72</v>
      </c>
      <c r="C55" t="s">
        <v>83</v>
      </c>
      <c r="D55" s="48">
        <f t="shared" si="1"/>
        <v>6800683.55</v>
      </c>
      <c r="P55" s="48">
        <f>3845755.34+2954928.21</f>
        <v>6800683.55</v>
      </c>
      <c r="S55" s="8">
        <f t="shared" si="3"/>
        <v>0.0583439141061487</v>
      </c>
      <c r="T55" s="8"/>
    </row>
    <row r="56" spans="1:20" ht="12.75">
      <c r="A56" s="2" t="s">
        <v>47</v>
      </c>
      <c r="B56" s="2" t="s">
        <v>64</v>
      </c>
      <c r="C56" t="s">
        <v>112</v>
      </c>
      <c r="D56" s="48">
        <f t="shared" si="1"/>
        <v>38703</v>
      </c>
      <c r="P56" s="48">
        <f>29970+8733</f>
        <v>38703</v>
      </c>
      <c r="S56" s="8">
        <f t="shared" si="3"/>
        <v>0.0003320378739943389</v>
      </c>
      <c r="T56" s="8"/>
    </row>
    <row r="57" spans="1:20" ht="12.75">
      <c r="A57" s="2"/>
      <c r="B57" s="2"/>
      <c r="C57" t="s">
        <v>128</v>
      </c>
      <c r="D57" s="48">
        <f>SUM(E57:R57)</f>
        <v>36720346.449999996</v>
      </c>
      <c r="R57" s="48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.75">
      <c r="C58" s="72" t="s">
        <v>113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</row>
    <row r="59" spans="2:19" s="8" customFormat="1" ht="13.5" thickBot="1">
      <c r="B59" s="66"/>
      <c r="C59" s="67" t="s">
        <v>84</v>
      </c>
      <c r="D59" s="68">
        <f>SUM(E59:R59)</f>
        <v>1</v>
      </c>
      <c r="E59" s="69">
        <f>E5/D5</f>
        <v>0.07337011029139735</v>
      </c>
      <c r="F59" s="69">
        <f>F5/D5</f>
        <v>0.006486008510415967</v>
      </c>
      <c r="G59" s="69">
        <f>G5/D5</f>
        <v>0.0009274843111887915</v>
      </c>
      <c r="H59" s="69">
        <f>H5/D5</f>
        <v>0.006361244354861878</v>
      </c>
      <c r="I59" s="69">
        <f>I5/D5</f>
        <v>0.09792329401801267</v>
      </c>
      <c r="J59" s="69">
        <f>J5/D5</f>
        <v>0.0001567835089591645</v>
      </c>
      <c r="K59" s="69">
        <f>K5/D5</f>
        <v>0.00017399975379850198</v>
      </c>
      <c r="L59" s="69">
        <f>L5/D5</f>
        <v>0.01452474392817365</v>
      </c>
      <c r="M59" s="69">
        <f>M5/D5</f>
        <v>0.013993075735555038</v>
      </c>
      <c r="N59" s="69">
        <f>N5/D5</f>
        <v>0.01226323545258683</v>
      </c>
      <c r="O59" s="69">
        <f>O5/D5</f>
        <v>0.1577042817350923</v>
      </c>
      <c r="P59" s="69">
        <f>P5/D5</f>
        <v>0.30105105019462</v>
      </c>
      <c r="Q59" s="69">
        <f>Q5/D5</f>
        <v>3.624680302886293E-05</v>
      </c>
      <c r="R59" s="69">
        <f>R5/D5</f>
        <v>0.31502844140230907</v>
      </c>
      <c r="S59" s="69">
        <f>SUM(S6:S58)</f>
        <v>1.0000000000000002</v>
      </c>
    </row>
    <row r="60" spans="1:19" s="8" customFormat="1" ht="13.5" thickTop="1">
      <c r="A60" s="70"/>
      <c r="C60" s="6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.75">
      <c r="E62" s="8"/>
    </row>
  </sheetData>
  <sheetProtection/>
  <printOptions/>
  <pageMargins left="0" right="0" top="0.25" bottom="0.5" header="0.5" footer="0.2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2020-03-27T14:16:18Z</cp:lastPrinted>
  <dcterms:created xsi:type="dcterms:W3CDTF">2011-02-21T16:49:07Z</dcterms:created>
  <dcterms:modified xsi:type="dcterms:W3CDTF">2020-03-27T14:17:37Z</dcterms:modified>
  <cp:category/>
  <cp:version/>
  <cp:contentType/>
  <cp:contentStatus/>
</cp:coreProperties>
</file>