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41" activeTab="0"/>
  </bookViews>
  <sheets>
    <sheet name="2017B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<sst xmlns="http://schemas.openxmlformats.org/spreadsheetml/2006/main" count="323" uniqueCount="86">
  <si>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</si>
  <si>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</si>
  <si>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</si>
  <si>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</si>
  <si>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</si>
  <si>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</si>
  <si>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</si>
  <si>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</si>
  <si>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</si>
  <si>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</si>
  <si>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</si>
  <si>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</si>
  <si>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</si>
  <si>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</si>
  <si>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</si>
  <si>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</si>
  <si>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</si>
  <si>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</si>
  <si>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</si>
  <si>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</si>
  <si>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</si>
  <si>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</si>
  <si>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</si>
  <si>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</si>
  <si>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</si>
  <si>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</si>
  <si>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</si>
  <si>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</si>
  <si>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</si>
  <si>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</si>
  <si>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</si>
  <si>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</si>
  <si>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</si>
  <si>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</si>
  <si>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</si>
  <si>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</si>
  <si>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</si>
  <si>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</si>
  <si>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</si>
  <si>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</si>
  <si>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</si>
  <si>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</si>
  <si>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</si>
  <si>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</si>
  <si>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</si>
  <si>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</si>
  <si>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</si>
  <si>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</si>
  <si>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</si>
  <si>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</si>
  <si>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</si>
  <si>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</si>
  <si>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</si>
  <si>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</si>
  <si>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</si>
  <si>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</si>
  <si>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</si>
  <si>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</si>
  <si>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</si>
  <si>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</si>
  <si>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</si>
  <si>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</si>
  <si>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</si>
  <si>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</si>
  <si>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</si>
  <si>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</si>
  <si>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</si>
  <si>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</si>
  <si>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</si>
  <si>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</si>
  <si>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</si>
  <si>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</si>
  <si>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</si>
  <si>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</si>
  <si>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</si>
  <si>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</si>
  <si>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</si>
  <si>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</si>
  <si>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</si>
  <si>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Amort of</t>
  </si>
  <si>
    <t>Premium</t>
  </si>
  <si>
    <t>Loss on Refunding</t>
  </si>
  <si>
    <t>.</t>
  </si>
  <si>
    <t>USM (Paid off by UMUC) (Auxiliary)</t>
  </si>
  <si>
    <t>2001A Refinanced on 2017B</t>
  </si>
  <si>
    <t>2001 Series A Bond Funded Projects 2017B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</si>
</sst>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14"/>
  <sheetViews>
    <sheetView tabSelected="1" zoomScale="145" zoomScaleNormal="145" zoomScalePageLayoutView="0" workbookViewId="0" topLeftCell="A1">
      <selection activeCell="E15" sqref="E15"/>
    </sheetView>
  </sheetViews>
  <sheetFormatPr defaultColWidth="8.710937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710937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7109375" style="23" customWidth="1"/>
    <col min="62" max="62" width="3.7109375" style="23" customWidth="1"/>
    <col min="63" max="66" width="13.7109375" style="23" customWidth="1"/>
    <col min="67" max="67" width="15.7109375" style="23" customWidth="1"/>
    <col min="68" max="68" width="3.7109375" style="23" customWidth="1"/>
    <col min="69" max="72" width="13.7109375" style="23" customWidth="1"/>
    <col min="73" max="73" width="15.710937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710937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85</v>
      </c>
      <c r="AA3" s="50"/>
      <c r="AG3" s="38"/>
      <c r="AH3" s="50" t="str">
        <f>P3</f>
        <v>2001 Series A Bond Funded Projects 2017B</v>
      </c>
      <c r="AM3" s="50"/>
      <c r="AS3" s="50"/>
      <c r="AY3" s="38"/>
      <c r="AZ3" s="50" t="str">
        <f>AH3</f>
        <v>2001 Series A Bond Funded Projects 2017B</v>
      </c>
      <c r="BE3" s="50"/>
      <c r="BK3" s="50"/>
      <c r="BQ3" s="38"/>
      <c r="BR3" s="50" t="str">
        <f>AZ3</f>
        <v>2001 Series A Bond Funded Projects 2017B</v>
      </c>
      <c r="BW3" s="50"/>
      <c r="CC3" s="50"/>
      <c r="CI3" s="38"/>
      <c r="CJ3" s="50" t="str">
        <f>BR3</f>
        <v>2001 Series A Bond Funded Projects 2017B</v>
      </c>
      <c r="CO3" s="50"/>
      <c r="CU3" s="50"/>
      <c r="DA3" s="38"/>
      <c r="DB3" s="50" t="str">
        <f>CJ3</f>
        <v>2001 Series A Bond Funded Projects 2017B</v>
      </c>
      <c r="DM3" s="50"/>
      <c r="DS3" s="38"/>
      <c r="DT3" s="50" t="str">
        <f>DB3</f>
        <v>2001 Series A Bond Funded Projects 2017B</v>
      </c>
      <c r="EE3" s="50"/>
      <c r="EK3" s="38"/>
      <c r="EL3" s="50" t="str">
        <f>DT3</f>
        <v>2001 Series A Bond Funded Projects 2017B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84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83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/>
      <c r="D6" s="69"/>
      <c r="E6" s="70"/>
      <c r="F6" s="46" t="s">
        <v>79</v>
      </c>
      <c r="G6" s="46" t="s">
        <v>79</v>
      </c>
      <c r="H6" s="38"/>
      <c r="I6" s="45"/>
      <c r="J6" s="58">
        <f>1-P6</f>
        <v>0.00282030000000022</v>
      </c>
      <c r="K6" s="44"/>
      <c r="L6" s="46" t="s">
        <v>79</v>
      </c>
      <c r="M6" s="46" t="s">
        <v>79</v>
      </c>
      <c r="O6" s="45"/>
      <c r="P6" s="63">
        <f>V6+AB6+AH6+AN6+AT6+AZ6+BF6+BL6+BR6+BX6+CD6+CJ6+CP6+CV6+DB6+DH6+DN6+DT6+DZ6+EF6+ER6+EL6</f>
        <v>0.9971796999999998</v>
      </c>
      <c r="Q6" s="44"/>
      <c r="R6" s="46" t="s">
        <v>79</v>
      </c>
      <c r="S6" s="46" t="s">
        <v>79</v>
      </c>
      <c r="U6" s="52"/>
      <c r="V6" s="37">
        <v>0.1505006</v>
      </c>
      <c r="W6" s="53"/>
      <c r="X6" s="46" t="s">
        <v>79</v>
      </c>
      <c r="Y6" s="46" t="s">
        <v>79</v>
      </c>
      <c r="AA6" s="52"/>
      <c r="AB6" s="37">
        <v>0.1692584</v>
      </c>
      <c r="AC6" s="53"/>
      <c r="AD6" s="46" t="s">
        <v>79</v>
      </c>
      <c r="AE6" s="46" t="s">
        <v>79</v>
      </c>
      <c r="AG6" s="52"/>
      <c r="AH6" s="37">
        <v>0.0975766</v>
      </c>
      <c r="AI6" s="53"/>
      <c r="AJ6" s="46" t="s">
        <v>79</v>
      </c>
      <c r="AK6" s="46" t="s">
        <v>79</v>
      </c>
      <c r="AM6" s="52"/>
      <c r="AN6" s="37">
        <v>0.0748131</v>
      </c>
      <c r="AO6" s="53"/>
      <c r="AP6" s="46" t="s">
        <v>79</v>
      </c>
      <c r="AQ6" s="46" t="s">
        <v>79</v>
      </c>
      <c r="AR6" s="31"/>
      <c r="AS6" s="52"/>
      <c r="AT6" s="37">
        <v>0.0021612</v>
      </c>
      <c r="AU6" s="53"/>
      <c r="AV6" s="46" t="s">
        <v>79</v>
      </c>
      <c r="AW6" s="46" t="s">
        <v>79</v>
      </c>
      <c r="AX6" s="31"/>
      <c r="AY6" s="52"/>
      <c r="AZ6" s="37">
        <v>0.0001906</v>
      </c>
      <c r="BA6" s="53"/>
      <c r="BB6" s="46" t="s">
        <v>79</v>
      </c>
      <c r="BC6" s="46" t="s">
        <v>79</v>
      </c>
      <c r="BD6" s="31"/>
      <c r="BE6" s="52"/>
      <c r="BF6" s="37">
        <v>0.0001369</v>
      </c>
      <c r="BG6" s="53"/>
      <c r="BH6" s="46" t="s">
        <v>79</v>
      </c>
      <c r="BI6" s="46" t="s">
        <v>79</v>
      </c>
      <c r="BK6" s="52"/>
      <c r="BL6" s="37">
        <v>0.0023757</v>
      </c>
      <c r="BM6" s="53"/>
      <c r="BN6" s="46" t="s">
        <v>79</v>
      </c>
      <c r="BO6" s="46" t="s">
        <v>79</v>
      </c>
      <c r="BQ6" s="52"/>
      <c r="BR6" s="37">
        <v>0.0591225</v>
      </c>
      <c r="BS6" s="53"/>
      <c r="BT6" s="46" t="s">
        <v>79</v>
      </c>
      <c r="BU6" s="46" t="s">
        <v>79</v>
      </c>
      <c r="BW6" s="62"/>
      <c r="BX6" s="63">
        <v>0.0180534</v>
      </c>
      <c r="BY6" s="64"/>
      <c r="BZ6" s="46" t="s">
        <v>79</v>
      </c>
      <c r="CA6" s="46" t="s">
        <v>79</v>
      </c>
      <c r="CC6" s="52"/>
      <c r="CD6" s="37">
        <v>0.0515053</v>
      </c>
      <c r="CE6" s="53"/>
      <c r="CF6" s="46" t="s">
        <v>79</v>
      </c>
      <c r="CG6" s="46" t="s">
        <v>79</v>
      </c>
      <c r="CI6" s="52"/>
      <c r="CJ6" s="37">
        <v>0.1416042</v>
      </c>
      <c r="CK6" s="53"/>
      <c r="CL6" s="46" t="s">
        <v>79</v>
      </c>
      <c r="CM6" s="46" t="s">
        <v>79</v>
      </c>
      <c r="CN6" s="31"/>
      <c r="CO6" s="52"/>
      <c r="CP6" s="37">
        <v>0.0615602</v>
      </c>
      <c r="CQ6" s="53"/>
      <c r="CR6" s="46" t="s">
        <v>79</v>
      </c>
      <c r="CS6" s="46" t="s">
        <v>79</v>
      </c>
      <c r="CU6" s="52"/>
      <c r="CV6" s="37">
        <v>0.0537414</v>
      </c>
      <c r="CW6" s="53"/>
      <c r="CX6" s="46" t="s">
        <v>79</v>
      </c>
      <c r="CY6" s="46" t="s">
        <v>79</v>
      </c>
      <c r="CZ6" s="31"/>
      <c r="DA6" s="76"/>
      <c r="DB6" s="77">
        <v>0.0069717</v>
      </c>
      <c r="DC6" s="78"/>
      <c r="DD6" s="75" t="s">
        <v>79</v>
      </c>
      <c r="DE6" s="75" t="s">
        <v>79</v>
      </c>
      <c r="DF6" s="31"/>
      <c r="DG6" s="52"/>
      <c r="DH6" s="37">
        <v>0.0002011</v>
      </c>
      <c r="DI6" s="53"/>
      <c r="DJ6" s="46" t="s">
        <v>79</v>
      </c>
      <c r="DK6" s="46" t="s">
        <v>79</v>
      </c>
      <c r="DM6" s="52"/>
      <c r="DN6" s="37">
        <v>0.0470981</v>
      </c>
      <c r="DO6" s="53"/>
      <c r="DP6" s="46" t="s">
        <v>79</v>
      </c>
      <c r="DQ6" s="46" t="s">
        <v>79</v>
      </c>
      <c r="DS6" s="52"/>
      <c r="DT6" s="37">
        <v>0.0028727</v>
      </c>
      <c r="DU6" s="53"/>
      <c r="DV6" s="46" t="s">
        <v>79</v>
      </c>
      <c r="DW6" s="46" t="s">
        <v>79</v>
      </c>
      <c r="DY6" s="52"/>
      <c r="DZ6" s="37">
        <v>0.0487421</v>
      </c>
      <c r="EA6" s="53"/>
      <c r="EB6" s="46" t="s">
        <v>79</v>
      </c>
      <c r="EC6" s="46" t="s">
        <v>79</v>
      </c>
      <c r="EE6" s="52"/>
      <c r="EF6" s="37">
        <v>0.0060754</v>
      </c>
      <c r="EG6" s="53"/>
      <c r="EH6" s="46" t="s">
        <v>79</v>
      </c>
      <c r="EI6" s="46" t="s">
        <v>79</v>
      </c>
      <c r="EJ6" s="31"/>
      <c r="EK6" s="52"/>
      <c r="EL6" s="37">
        <v>0.0026185</v>
      </c>
      <c r="EM6" s="53"/>
      <c r="EN6" s="46" t="s">
        <v>79</v>
      </c>
      <c r="EO6" s="46" t="s">
        <v>79</v>
      </c>
      <c r="EP6" s="31"/>
      <c r="EQ6" s="52"/>
      <c r="ER6" s="37"/>
      <c r="ES6" s="53"/>
      <c r="ET6" s="46" t="s">
        <v>79</v>
      </c>
      <c r="EU6" s="46" t="s">
        <v>79</v>
      </c>
      <c r="EV6" s="31"/>
      <c r="EW6" s="52"/>
      <c r="EX6" s="37">
        <v>0.0008698</v>
      </c>
      <c r="EY6" s="53"/>
      <c r="EZ6" s="46" t="s">
        <v>79</v>
      </c>
      <c r="FA6" s="46" t="s">
        <v>79</v>
      </c>
      <c r="FC6" s="52"/>
      <c r="FD6" s="37">
        <v>0.0019505</v>
      </c>
      <c r="FE6" s="53"/>
      <c r="FF6" s="46" t="s">
        <v>79</v>
      </c>
      <c r="FG6" s="46" t="s">
        <v>79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80</v>
      </c>
      <c r="G7" s="46" t="s">
        <v>81</v>
      </c>
      <c r="I7" s="46" t="s">
        <v>15</v>
      </c>
      <c r="J7" s="46" t="s">
        <v>16</v>
      </c>
      <c r="K7" s="46" t="s">
        <v>4</v>
      </c>
      <c r="L7" s="46" t="s">
        <v>80</v>
      </c>
      <c r="M7" s="46" t="s">
        <v>81</v>
      </c>
      <c r="O7" s="46" t="s">
        <v>15</v>
      </c>
      <c r="P7" s="46" t="s">
        <v>16</v>
      </c>
      <c r="Q7" s="46" t="s">
        <v>4</v>
      </c>
      <c r="R7" s="46" t="s">
        <v>80</v>
      </c>
      <c r="S7" s="46" t="s">
        <v>81</v>
      </c>
      <c r="U7" s="30" t="s">
        <v>15</v>
      </c>
      <c r="V7" s="30" t="s">
        <v>16</v>
      </c>
      <c r="W7" s="30" t="s">
        <v>4</v>
      </c>
      <c r="X7" s="46" t="s">
        <v>80</v>
      </c>
      <c r="Y7" s="46" t="s">
        <v>81</v>
      </c>
      <c r="AA7" s="30" t="s">
        <v>15</v>
      </c>
      <c r="AB7" s="30" t="s">
        <v>16</v>
      </c>
      <c r="AC7" s="30" t="s">
        <v>4</v>
      </c>
      <c r="AD7" s="46" t="s">
        <v>80</v>
      </c>
      <c r="AE7" s="46" t="s">
        <v>81</v>
      </c>
      <c r="AG7" s="30" t="s">
        <v>15</v>
      </c>
      <c r="AH7" s="30" t="s">
        <v>16</v>
      </c>
      <c r="AI7" s="30" t="s">
        <v>4</v>
      </c>
      <c r="AJ7" s="46" t="s">
        <v>80</v>
      </c>
      <c r="AK7" s="46" t="s">
        <v>81</v>
      </c>
      <c r="AM7" s="30" t="s">
        <v>15</v>
      </c>
      <c r="AN7" s="30" t="s">
        <v>16</v>
      </c>
      <c r="AO7" s="30" t="s">
        <v>4</v>
      </c>
      <c r="AP7" s="46" t="s">
        <v>80</v>
      </c>
      <c r="AQ7" s="46" t="s">
        <v>81</v>
      </c>
      <c r="AR7" s="35"/>
      <c r="AS7" s="30" t="s">
        <v>15</v>
      </c>
      <c r="AT7" s="30" t="s">
        <v>16</v>
      </c>
      <c r="AU7" s="30" t="s">
        <v>4</v>
      </c>
      <c r="AV7" s="46" t="s">
        <v>80</v>
      </c>
      <c r="AW7" s="46" t="s">
        <v>81</v>
      </c>
      <c r="AX7" s="35"/>
      <c r="AY7" s="30" t="s">
        <v>15</v>
      </c>
      <c r="AZ7" s="30" t="s">
        <v>16</v>
      </c>
      <c r="BA7" s="30" t="s">
        <v>4</v>
      </c>
      <c r="BB7" s="46" t="s">
        <v>80</v>
      </c>
      <c r="BC7" s="46" t="s">
        <v>81</v>
      </c>
      <c r="BD7" s="35"/>
      <c r="BE7" s="30" t="s">
        <v>15</v>
      </c>
      <c r="BF7" s="30" t="s">
        <v>16</v>
      </c>
      <c r="BG7" s="30" t="s">
        <v>4</v>
      </c>
      <c r="BH7" s="46" t="s">
        <v>80</v>
      </c>
      <c r="BI7" s="46" t="s">
        <v>81</v>
      </c>
      <c r="BK7" s="30" t="s">
        <v>15</v>
      </c>
      <c r="BL7" s="30" t="s">
        <v>16</v>
      </c>
      <c r="BM7" s="30" t="s">
        <v>4</v>
      </c>
      <c r="BN7" s="46" t="s">
        <v>80</v>
      </c>
      <c r="BO7" s="46" t="s">
        <v>81</v>
      </c>
      <c r="BQ7" s="30" t="s">
        <v>15</v>
      </c>
      <c r="BR7" s="30" t="s">
        <v>16</v>
      </c>
      <c r="BS7" s="30" t="s">
        <v>4</v>
      </c>
      <c r="BT7" s="46" t="s">
        <v>80</v>
      </c>
      <c r="BU7" s="46" t="s">
        <v>81</v>
      </c>
      <c r="BW7" s="30" t="s">
        <v>15</v>
      </c>
      <c r="BX7" s="30" t="s">
        <v>16</v>
      </c>
      <c r="BY7" s="30" t="s">
        <v>4</v>
      </c>
      <c r="BZ7" s="46" t="s">
        <v>80</v>
      </c>
      <c r="CA7" s="46" t="s">
        <v>81</v>
      </c>
      <c r="CC7" s="30" t="s">
        <v>15</v>
      </c>
      <c r="CD7" s="30" t="s">
        <v>16</v>
      </c>
      <c r="CE7" s="30" t="s">
        <v>4</v>
      </c>
      <c r="CF7" s="46" t="s">
        <v>80</v>
      </c>
      <c r="CG7" s="46" t="s">
        <v>81</v>
      </c>
      <c r="CI7" s="30" t="s">
        <v>15</v>
      </c>
      <c r="CJ7" s="30" t="s">
        <v>16</v>
      </c>
      <c r="CK7" s="30" t="s">
        <v>4</v>
      </c>
      <c r="CL7" s="46" t="s">
        <v>80</v>
      </c>
      <c r="CM7" s="46" t="s">
        <v>81</v>
      </c>
      <c r="CN7" s="35"/>
      <c r="CO7" s="30" t="s">
        <v>15</v>
      </c>
      <c r="CP7" s="30" t="s">
        <v>16</v>
      </c>
      <c r="CQ7" s="30" t="s">
        <v>4</v>
      </c>
      <c r="CR7" s="46" t="s">
        <v>80</v>
      </c>
      <c r="CS7" s="46" t="s">
        <v>81</v>
      </c>
      <c r="CU7" s="30" t="s">
        <v>15</v>
      </c>
      <c r="CV7" s="30" t="s">
        <v>16</v>
      </c>
      <c r="CW7" s="30" t="s">
        <v>4</v>
      </c>
      <c r="CX7" s="46" t="s">
        <v>80</v>
      </c>
      <c r="CY7" s="46" t="s">
        <v>81</v>
      </c>
      <c r="CZ7" s="35"/>
      <c r="DA7" s="79" t="s">
        <v>15</v>
      </c>
      <c r="DB7" s="79" t="s">
        <v>16</v>
      </c>
      <c r="DC7" s="79" t="s">
        <v>4</v>
      </c>
      <c r="DD7" s="75" t="s">
        <v>80</v>
      </c>
      <c r="DE7" s="75" t="s">
        <v>81</v>
      </c>
      <c r="DF7" s="35"/>
      <c r="DG7" s="30" t="s">
        <v>15</v>
      </c>
      <c r="DH7" s="30" t="s">
        <v>16</v>
      </c>
      <c r="DI7" s="30" t="s">
        <v>4</v>
      </c>
      <c r="DJ7" s="46" t="s">
        <v>80</v>
      </c>
      <c r="DK7" s="46" t="s">
        <v>81</v>
      </c>
      <c r="DM7" s="30" t="s">
        <v>15</v>
      </c>
      <c r="DN7" s="30" t="s">
        <v>16</v>
      </c>
      <c r="DO7" s="30" t="s">
        <v>4</v>
      </c>
      <c r="DP7" s="46" t="s">
        <v>80</v>
      </c>
      <c r="DQ7" s="46" t="s">
        <v>81</v>
      </c>
      <c r="DS7" s="30" t="s">
        <v>15</v>
      </c>
      <c r="DT7" s="30" t="s">
        <v>16</v>
      </c>
      <c r="DU7" s="30" t="s">
        <v>4</v>
      </c>
      <c r="DV7" s="46" t="s">
        <v>80</v>
      </c>
      <c r="DW7" s="46" t="s">
        <v>81</v>
      </c>
      <c r="DY7" s="30" t="s">
        <v>15</v>
      </c>
      <c r="DZ7" s="30" t="s">
        <v>16</v>
      </c>
      <c r="EA7" s="30" t="s">
        <v>4</v>
      </c>
      <c r="EB7" s="46" t="s">
        <v>80</v>
      </c>
      <c r="EC7" s="46" t="s">
        <v>81</v>
      </c>
      <c r="EE7" s="30" t="s">
        <v>15</v>
      </c>
      <c r="EF7" s="30" t="s">
        <v>16</v>
      </c>
      <c r="EG7" s="30" t="s">
        <v>4</v>
      </c>
      <c r="EH7" s="46" t="s">
        <v>80</v>
      </c>
      <c r="EI7" s="46" t="s">
        <v>81</v>
      </c>
      <c r="EJ7" s="35"/>
      <c r="EK7" s="30" t="s">
        <v>15</v>
      </c>
      <c r="EL7" s="30" t="s">
        <v>16</v>
      </c>
      <c r="EM7" s="30" t="s">
        <v>4</v>
      </c>
      <c r="EN7" s="46" t="s">
        <v>80</v>
      </c>
      <c r="EO7" s="46" t="s">
        <v>81</v>
      </c>
      <c r="EP7" s="35"/>
      <c r="EQ7" s="30" t="s">
        <v>15</v>
      </c>
      <c r="ER7" s="30" t="s">
        <v>16</v>
      </c>
      <c r="ES7" s="30" t="s">
        <v>4</v>
      </c>
      <c r="ET7" s="46" t="s">
        <v>80</v>
      </c>
      <c r="EU7" s="46" t="s">
        <v>81</v>
      </c>
      <c r="EV7" s="35"/>
      <c r="EW7" s="30" t="s">
        <v>15</v>
      </c>
      <c r="EX7" s="30" t="s">
        <v>16</v>
      </c>
      <c r="EY7" s="30" t="s">
        <v>4</v>
      </c>
      <c r="EZ7" s="46" t="s">
        <v>80</v>
      </c>
      <c r="FA7" s="46" t="s">
        <v>81</v>
      </c>
      <c r="FB7" s="23"/>
      <c r="FC7" s="30" t="s">
        <v>15</v>
      </c>
      <c r="FD7" s="30" t="s">
        <v>16</v>
      </c>
      <c r="FE7" s="30" t="s">
        <v>4</v>
      </c>
      <c r="FF7" s="46" t="s">
        <v>80</v>
      </c>
      <c r="FG7" s="46" t="s">
        <v>81</v>
      </c>
    </row>
    <row r="8" spans="1:173" s="57" customFormat="1" ht="12.75">
      <c r="A8" s="56">
        <v>44105</v>
      </c>
      <c r="C8" s="55"/>
      <c r="D8" s="55">
        <v>129625</v>
      </c>
      <c r="E8" s="41">
        <f>C8+D8</f>
        <v>129625</v>
      </c>
      <c r="F8" s="41">
        <v>269338</v>
      </c>
      <c r="G8" s="41">
        <v>44635</v>
      </c>
      <c r="H8" s="55"/>
      <c r="I8" s="41">
        <f>EW8+FC8</f>
        <v>0</v>
      </c>
      <c r="J8" s="47">
        <f>EX8+FD8</f>
        <v>365.5813875</v>
      </c>
      <c r="K8" s="41">
        <f>I8+J8</f>
        <v>365.5813875</v>
      </c>
      <c r="L8" s="41">
        <f>EZ8+FF8</f>
        <v>759.6139614</v>
      </c>
      <c r="M8" s="41">
        <f>FA8+FG8</f>
        <v>125.88409050000001</v>
      </c>
      <c r="O8" s="38"/>
      <c r="P8" s="38">
        <f>V8+AB8+AH8+AN8+AT8+AZ8+BF8+BL8+BR8+BX8+CD8+CJ8+CP8+CV8+DB8+DH8+DN8+DT8+DZ8+EF8+ER8+EL8</f>
        <v>129259.41861250004</v>
      </c>
      <c r="Q8" s="38">
        <f>O8+P8</f>
        <v>129259.41861250004</v>
      </c>
      <c r="R8" s="38">
        <f>X8+AD8+AJ8+AP8+AV8+BB8+BH8+BN8+BT8+BZ8+CF8+CL8+CR8+CX8+DD8+DJ8+DP8+DV8+EB8+EH8+EN8+ET8</f>
        <v>268578.38603860006</v>
      </c>
      <c r="S8" s="38">
        <f>Y8+AE8+AK8+AQ8+AW8+BC8+BI8+BO8+BU8+CA8+CG8+CM8+CS8+CY8+DE8+DK8+DQ8+DW8+EC8+EI8+EO8+EU8</f>
        <v>44509.11590949998</v>
      </c>
      <c r="U8" s="55"/>
      <c r="V8" s="55">
        <f>D8*15.05006/100</f>
        <v>19508.640275</v>
      </c>
      <c r="W8" s="38">
        <f>U8+V8</f>
        <v>19508.640275</v>
      </c>
      <c r="X8" s="38">
        <f>V$6*$F8</f>
        <v>40535.530602800005</v>
      </c>
      <c r="Y8" s="38">
        <f>V$6*$G8</f>
        <v>6717.594281000001</v>
      </c>
      <c r="Z8" s="55"/>
      <c r="AA8" s="38"/>
      <c r="AB8" s="38">
        <f>D8*16.92584/100</f>
        <v>21940.120100000004</v>
      </c>
      <c r="AC8" s="38">
        <f>AA8+AB8</f>
        <v>21940.120100000004</v>
      </c>
      <c r="AD8" s="38">
        <f>AB$6*$F8</f>
        <v>45587.7189392</v>
      </c>
      <c r="AE8" s="38">
        <f>AB$6*$G8</f>
        <v>7554.8486840000005</v>
      </c>
      <c r="AF8" s="55"/>
      <c r="AG8" s="38"/>
      <c r="AH8" s="38">
        <f>D8*9.75766/100</f>
        <v>12648.366775</v>
      </c>
      <c r="AI8" s="38">
        <f>AG8+AH8</f>
        <v>12648.366775</v>
      </c>
      <c r="AJ8" s="38">
        <f>AH$6*$F8</f>
        <v>26281.086290799998</v>
      </c>
      <c r="AK8" s="38">
        <f>AH$6*$G8</f>
        <v>4355.331541</v>
      </c>
      <c r="AL8" s="55"/>
      <c r="AM8" s="38"/>
      <c r="AN8" s="38">
        <f>D8*7.48131/100</f>
        <v>9697.6480875</v>
      </c>
      <c r="AO8" s="38">
        <f>AM8+AN8</f>
        <v>9697.6480875</v>
      </c>
      <c r="AP8" s="38">
        <f>AN$6*$F8</f>
        <v>20150.0107278</v>
      </c>
      <c r="AQ8" s="38">
        <f>AN$6*$G8</f>
        <v>3339.2827184999996</v>
      </c>
      <c r="AR8" s="55"/>
      <c r="AS8" s="38"/>
      <c r="AT8" s="38">
        <f>D8*0.21612/100</f>
        <v>280.14555</v>
      </c>
      <c r="AU8" s="38">
        <f>AS8+AT8</f>
        <v>280.14555</v>
      </c>
      <c r="AV8" s="38">
        <f>AT$6*$F8</f>
        <v>582.0932856</v>
      </c>
      <c r="AW8" s="38">
        <f>AT$6*$G8</f>
        <v>96.46516199999999</v>
      </c>
      <c r="AX8" s="55"/>
      <c r="AY8" s="38"/>
      <c r="AZ8" s="38">
        <f>D8*0.01906/100</f>
        <v>24.706525000000003</v>
      </c>
      <c r="BA8" s="38">
        <f>AY8+AZ8</f>
        <v>24.706525000000003</v>
      </c>
      <c r="BB8" s="38">
        <f>AZ$6*$F8</f>
        <v>51.3358228</v>
      </c>
      <c r="BC8" s="38">
        <f>AZ$6*$G8</f>
        <v>8.507431</v>
      </c>
      <c r="BD8" s="55"/>
      <c r="BE8" s="38"/>
      <c r="BF8" s="38">
        <f>D8*0.01369/100</f>
        <v>17.7456625</v>
      </c>
      <c r="BG8" s="38">
        <f>BE8+BF8</f>
        <v>17.7456625</v>
      </c>
      <c r="BH8" s="38">
        <f>BF$6*$F8</f>
        <v>36.8723722</v>
      </c>
      <c r="BI8" s="38">
        <f>BF$6*$G8</f>
        <v>6.1105315</v>
      </c>
      <c r="BJ8" s="55"/>
      <c r="BK8" s="38"/>
      <c r="BL8" s="38">
        <f>D8*0.23757/100</f>
        <v>307.9501125</v>
      </c>
      <c r="BM8" s="38">
        <f>BK8+BL8</f>
        <v>307.9501125</v>
      </c>
      <c r="BN8" s="38">
        <f>BL$6*$F8</f>
        <v>639.8662866000001</v>
      </c>
      <c r="BO8" s="38">
        <f>BL$6*$G8</f>
        <v>106.0393695</v>
      </c>
      <c r="BP8" s="55"/>
      <c r="BQ8" s="38"/>
      <c r="BR8" s="38">
        <f>D8*5.91225/100</f>
        <v>7663.7540625</v>
      </c>
      <c r="BS8" s="38">
        <f>BQ8+BR8</f>
        <v>7663.7540625</v>
      </c>
      <c r="BT8" s="38">
        <f>BR$6*$F8</f>
        <v>15923.935905</v>
      </c>
      <c r="BU8" s="38">
        <f>BR$6*$G8</f>
        <v>2638.9327875</v>
      </c>
      <c r="BV8" s="55"/>
      <c r="BW8" s="38"/>
      <c r="BX8" s="38">
        <f>D8*1.80534/100</f>
        <v>2340.1719749999997</v>
      </c>
      <c r="BY8" s="38">
        <f>BW8+BX8</f>
        <v>2340.1719749999997</v>
      </c>
      <c r="BZ8" s="38">
        <f>BX$6*$F8</f>
        <v>4862.466649200001</v>
      </c>
      <c r="CA8" s="38">
        <f>BX$6*$G8</f>
        <v>805.8135090000001</v>
      </c>
      <c r="CB8" s="55"/>
      <c r="CC8" s="38"/>
      <c r="CD8" s="38">
        <f>D8*5.15053/100</f>
        <v>6676.3745125</v>
      </c>
      <c r="CE8" s="38">
        <f>CC8+CD8</f>
        <v>6676.3745125</v>
      </c>
      <c r="CF8" s="38">
        <f>CD$6*$F8</f>
        <v>13872.334491399999</v>
      </c>
      <c r="CG8" s="38">
        <f>CD$6*$G8</f>
        <v>2298.9390654999997</v>
      </c>
      <c r="CH8" s="55"/>
      <c r="CI8" s="38"/>
      <c r="CJ8" s="38">
        <f>D8*14.16042/100</f>
        <v>18355.444425</v>
      </c>
      <c r="CK8" s="38">
        <f>CI8+CJ8</f>
        <v>18355.444425</v>
      </c>
      <c r="CL8" s="38">
        <f>CJ$6*$F8</f>
        <v>38139.3920196</v>
      </c>
      <c r="CM8" s="38">
        <f>CJ$6*$G8</f>
        <v>6320.5034670000005</v>
      </c>
      <c r="CN8" s="38"/>
      <c r="CO8" s="38"/>
      <c r="CP8" s="38">
        <f>D8*6.15602/100</f>
        <v>7979.740925</v>
      </c>
      <c r="CQ8" s="38">
        <f>CO8+CP8</f>
        <v>7979.740925</v>
      </c>
      <c r="CR8" s="38">
        <f>CP$6*$F8</f>
        <v>16580.5011476</v>
      </c>
      <c r="CS8" s="38">
        <f>CP$6*$G8</f>
        <v>2747.739527</v>
      </c>
      <c r="CT8" s="55"/>
      <c r="CU8" s="38"/>
      <c r="CV8" s="38">
        <f>D8*5.37414/100</f>
        <v>6966.228975</v>
      </c>
      <c r="CW8" s="38">
        <f>CU8+CV8</f>
        <v>6966.228975</v>
      </c>
      <c r="CX8" s="38">
        <f>CV$6*$F8</f>
        <v>14474.6011932</v>
      </c>
      <c r="CY8" s="38">
        <f>CV$6*$G8</f>
        <v>2398.747389</v>
      </c>
      <c r="CZ8" s="55"/>
      <c r="DA8" s="80"/>
      <c r="DB8" s="80">
        <f>D8*0.69717/100</f>
        <v>903.7066124999999</v>
      </c>
      <c r="DC8" s="80">
        <f>DA8+DB8</f>
        <v>903.7066124999999</v>
      </c>
      <c r="DD8" s="38">
        <f>DB$6*$F8</f>
        <v>1877.7437346</v>
      </c>
      <c r="DE8" s="38">
        <f>DB$6*$G8</f>
        <v>311.1818295</v>
      </c>
      <c r="DF8" s="55"/>
      <c r="DG8" s="38"/>
      <c r="DH8" s="38">
        <f>D8*0.02011/100</f>
        <v>26.0675875</v>
      </c>
      <c r="DI8" s="38">
        <f>DG8+DH8</f>
        <v>26.0675875</v>
      </c>
      <c r="DJ8" s="38">
        <f>DH$6*$F8</f>
        <v>54.1638718</v>
      </c>
      <c r="DK8" s="38">
        <f>DH$6*$G8</f>
        <v>8.9760985</v>
      </c>
      <c r="DL8" s="55"/>
      <c r="DM8" s="38"/>
      <c r="DN8" s="38">
        <f>D8*4.70981/100</f>
        <v>6105.0912124999995</v>
      </c>
      <c r="DO8" s="38">
        <f>DM8+DN8</f>
        <v>6105.0912124999995</v>
      </c>
      <c r="DP8" s="38">
        <f>DN$6*$F8</f>
        <v>12685.308057799999</v>
      </c>
      <c r="DQ8" s="38">
        <f>DN$6*$G8</f>
        <v>2102.2236935</v>
      </c>
      <c r="DR8" s="55"/>
      <c r="DS8" s="38"/>
      <c r="DT8" s="38">
        <f>D8*0.28727/100</f>
        <v>372.37373750000006</v>
      </c>
      <c r="DU8" s="38">
        <f>DS8+DT8</f>
        <v>372.37373750000006</v>
      </c>
      <c r="DV8" s="38">
        <f>DT$6*$F8</f>
        <v>773.7272726</v>
      </c>
      <c r="DW8" s="38">
        <f>DT$6*$G8</f>
        <v>128.22296450000002</v>
      </c>
      <c r="DX8" s="55"/>
      <c r="DY8" s="38"/>
      <c r="DZ8" s="38">
        <f>D8*4.87421/100</f>
        <v>6318.1947125</v>
      </c>
      <c r="EA8" s="38">
        <f>DY8+DZ8</f>
        <v>6318.1947125</v>
      </c>
      <c r="EB8" s="38">
        <f>DZ$6*$F8</f>
        <v>13128.099729799998</v>
      </c>
      <c r="EC8" s="38">
        <f>DZ$6*$G8</f>
        <v>2175.6036335</v>
      </c>
      <c r="ED8" s="55"/>
      <c r="EE8" s="38"/>
      <c r="EF8" s="38">
        <f>D8*0.60754/100</f>
        <v>787.523725</v>
      </c>
      <c r="EG8" s="38">
        <f>EE8+EF8</f>
        <v>787.523725</v>
      </c>
      <c r="EH8" s="38">
        <f>EF$6*$F8</f>
        <v>1636.3360852</v>
      </c>
      <c r="EI8" s="38">
        <f>EF$6*$G8</f>
        <v>271.175479</v>
      </c>
      <c r="EJ8" s="55"/>
      <c r="EK8" s="38"/>
      <c r="EL8" s="38">
        <f>D8*0.26185/100</f>
        <v>339.4230625</v>
      </c>
      <c r="EM8" s="38">
        <f>EK8+EL8</f>
        <v>339.4230625</v>
      </c>
      <c r="EN8" s="38">
        <f>EL$6*$F8</f>
        <v>705.261553</v>
      </c>
      <c r="EO8" s="38">
        <f>EL$6*$G8</f>
        <v>116.87674750000001</v>
      </c>
      <c r="EP8" s="55"/>
      <c r="EQ8" s="38"/>
      <c r="ER8" s="38"/>
      <c r="ES8" s="38"/>
      <c r="ET8" s="38"/>
      <c r="EU8" s="38"/>
      <c r="EV8" s="55"/>
      <c r="EW8" s="55">
        <f>C8*0.08698/100</f>
        <v>0</v>
      </c>
      <c r="EX8" s="55">
        <f>D8*0.08698/100</f>
        <v>112.74782499999999</v>
      </c>
      <c r="EY8" s="38">
        <f>EW8+EX8</f>
        <v>112.74782499999999</v>
      </c>
      <c r="EZ8" s="38">
        <f>EX$6*$F8</f>
        <v>234.2701924</v>
      </c>
      <c r="FA8" s="38">
        <f>EX$6*$G8</f>
        <v>38.823523</v>
      </c>
      <c r="FB8" s="55"/>
      <c r="FC8" s="38">
        <f>C8*0.19505/100</f>
        <v>0</v>
      </c>
      <c r="FD8" s="38">
        <f>D8*0.19505/100</f>
        <v>252.8335625</v>
      </c>
      <c r="FE8" s="38">
        <f>FC8+FD8</f>
        <v>252.8335625</v>
      </c>
      <c r="FF8" s="38">
        <f>FD$6*$F8</f>
        <v>525.343769</v>
      </c>
      <c r="FG8" s="38">
        <f>FD$6*$G8</f>
        <v>87.0605675</v>
      </c>
      <c r="FH8" s="55"/>
      <c r="FI8" s="55"/>
      <c r="FJ8" s="55"/>
      <c r="FK8" s="55"/>
      <c r="FL8" s="55"/>
      <c r="FM8" s="55"/>
      <c r="FN8" s="55"/>
      <c r="FO8" s="55"/>
      <c r="FP8" s="55"/>
      <c r="FQ8" s="55"/>
    </row>
    <row r="9" spans="1:173" s="57" customFormat="1" ht="12.75">
      <c r="A9" s="56">
        <v>44287</v>
      </c>
      <c r="C9" s="55">
        <v>5185000</v>
      </c>
      <c r="D9" s="55">
        <v>129625</v>
      </c>
      <c r="E9" s="41">
        <f>C9+D9</f>
        <v>5314625</v>
      </c>
      <c r="F9" s="41">
        <v>269338</v>
      </c>
      <c r="G9" s="41">
        <v>44635</v>
      </c>
      <c r="H9" s="55"/>
      <c r="I9" s="41">
        <f>EW9+FC9</f>
        <v>14623.2555</v>
      </c>
      <c r="J9" s="47">
        <f>EX9+FD9</f>
        <v>365.5813875</v>
      </c>
      <c r="K9" s="41">
        <f>I9+J9</f>
        <v>14988.8368875</v>
      </c>
      <c r="L9" s="41">
        <f>EZ9+FF9</f>
        <v>759.6139614</v>
      </c>
      <c r="M9" s="41">
        <f>FA9+FG9</f>
        <v>125.88409050000001</v>
      </c>
      <c r="O9" s="38">
        <f>U9+AA9+AG9+AM9+AS9+AY9+BE9+BK9+BQ9+BW9+CC9+CI9+CO9+CU9+DA9+DG9+DM9+DS9+DY9+EE9+EQ9+EK9</f>
        <v>5170376.7445</v>
      </c>
      <c r="P9" s="38">
        <f>V9+AB9+AH9+AN9+AT9+AZ9+BF9+BL9+BR9+BX9+CD9+CJ9+CP9+CV9+DB9+DH9+DN9+DT9+DZ9+EF9+ER9+EL9</f>
        <v>129259.41861250004</v>
      </c>
      <c r="Q9" s="38">
        <f>O9+P9</f>
        <v>5299636.1631125</v>
      </c>
      <c r="R9" s="38">
        <f>X9+AD9+AJ9+AP9+AV9+BB9+BH9+BN9+BT9+BZ9+CF9+CL9+CR9+CX9+DD9+DJ9+DP9+DV9+EB9+EH9+EN9+ET9</f>
        <v>268578.38603860006</v>
      </c>
      <c r="S9" s="38">
        <f>Y9+AE9+AK9+AQ9+AW9+BC9+BI9+BO9+BU9+CA9+CG9+CM9+CS9+CY9+DE9+DK9+DQ9+DW9+EC9+EI9+EO9+EU9</f>
        <v>44509.11590949998</v>
      </c>
      <c r="U9" s="55">
        <f>C9*15.05006/100</f>
        <v>780345.6109999999</v>
      </c>
      <c r="V9" s="55">
        <f>D9*15.05006/100</f>
        <v>19508.640275</v>
      </c>
      <c r="W9" s="38">
        <f>U9+V9</f>
        <v>799854.2512749999</v>
      </c>
      <c r="X9" s="38">
        <f>V$6*$F9</f>
        <v>40535.530602800005</v>
      </c>
      <c r="Y9" s="38">
        <f>V$6*$G9</f>
        <v>6717.594281000001</v>
      </c>
      <c r="Z9" s="55"/>
      <c r="AA9" s="38">
        <f>C9*16.92584/100</f>
        <v>877604.804</v>
      </c>
      <c r="AB9" s="38">
        <f>D9*16.92584/100</f>
        <v>21940.120100000004</v>
      </c>
      <c r="AC9" s="38">
        <f>AA9+AB9</f>
        <v>899544.9241000001</v>
      </c>
      <c r="AD9" s="38">
        <f>AB$6*$F9</f>
        <v>45587.7189392</v>
      </c>
      <c r="AE9" s="38">
        <f>AB$6*$G9</f>
        <v>7554.8486840000005</v>
      </c>
      <c r="AF9" s="55"/>
      <c r="AG9" s="38">
        <f>C9*9.75766/100</f>
        <v>505934.6709999999</v>
      </c>
      <c r="AH9" s="38">
        <f>D9*9.75766/100</f>
        <v>12648.366775</v>
      </c>
      <c r="AI9" s="38">
        <f>AG9+AH9</f>
        <v>518583.0377749999</v>
      </c>
      <c r="AJ9" s="38">
        <f>AH$6*$F9</f>
        <v>26281.086290799998</v>
      </c>
      <c r="AK9" s="38">
        <f>AH$6*$G9</f>
        <v>4355.331541</v>
      </c>
      <c r="AL9" s="55"/>
      <c r="AM9" s="38">
        <f>C9*7.48131/100</f>
        <v>387905.92350000003</v>
      </c>
      <c r="AN9" s="38">
        <f>D9*7.48131/100</f>
        <v>9697.6480875</v>
      </c>
      <c r="AO9" s="38">
        <f>AM9+AN9</f>
        <v>397603.57158750005</v>
      </c>
      <c r="AP9" s="38">
        <f>AN$6*$F9</f>
        <v>20150.0107278</v>
      </c>
      <c r="AQ9" s="38">
        <f>AN$6*$G9</f>
        <v>3339.2827184999996</v>
      </c>
      <c r="AR9" s="55"/>
      <c r="AS9" s="38">
        <f>C9*0.21612/100</f>
        <v>11205.822</v>
      </c>
      <c r="AT9" s="38">
        <f>D9*0.21612/100</f>
        <v>280.14555</v>
      </c>
      <c r="AU9" s="38">
        <f>AS9+AT9</f>
        <v>11485.96755</v>
      </c>
      <c r="AV9" s="38">
        <f>AT$6*$F9</f>
        <v>582.0932856</v>
      </c>
      <c r="AW9" s="38">
        <f>AT$6*$G9</f>
        <v>96.46516199999999</v>
      </c>
      <c r="AX9" s="55"/>
      <c r="AY9" s="38">
        <f>C9*0.01906/100</f>
        <v>988.2610000000001</v>
      </c>
      <c r="AZ9" s="38">
        <f>D9*0.01906/100</f>
        <v>24.706525000000003</v>
      </c>
      <c r="BA9" s="38">
        <f>AY9+AZ9</f>
        <v>1012.9675250000001</v>
      </c>
      <c r="BB9" s="38">
        <f>AZ$6*$F9</f>
        <v>51.3358228</v>
      </c>
      <c r="BC9" s="38">
        <f>AZ$6*$G9</f>
        <v>8.507431</v>
      </c>
      <c r="BD9" s="55"/>
      <c r="BE9" s="38">
        <f>C9*0.01369/100</f>
        <v>709.8265000000001</v>
      </c>
      <c r="BF9" s="38">
        <f>D9*0.01369/100</f>
        <v>17.7456625</v>
      </c>
      <c r="BG9" s="38">
        <f>BE9+BF9</f>
        <v>727.5721625000001</v>
      </c>
      <c r="BH9" s="38">
        <f>BF$6*$F9</f>
        <v>36.8723722</v>
      </c>
      <c r="BI9" s="38">
        <f>BF$6*$G9</f>
        <v>6.1105315</v>
      </c>
      <c r="BJ9" s="55"/>
      <c r="BK9" s="38">
        <f>C9*0.23757/100</f>
        <v>12318.0045</v>
      </c>
      <c r="BL9" s="38">
        <f>D9*0.23757/100</f>
        <v>307.9501125</v>
      </c>
      <c r="BM9" s="38">
        <f>BK9+BL9</f>
        <v>12625.9546125</v>
      </c>
      <c r="BN9" s="38">
        <f>BL$6*$F9</f>
        <v>639.8662866000001</v>
      </c>
      <c r="BO9" s="38">
        <f>BL$6*$G9</f>
        <v>106.0393695</v>
      </c>
      <c r="BP9" s="55"/>
      <c r="BQ9" s="38">
        <f>C9*5.91225/100</f>
        <v>306550.1625</v>
      </c>
      <c r="BR9" s="38">
        <f>D9*5.91225/100</f>
        <v>7663.7540625</v>
      </c>
      <c r="BS9" s="38">
        <f>BQ9+BR9</f>
        <v>314213.9165625</v>
      </c>
      <c r="BT9" s="38">
        <f>BR$6*$F9</f>
        <v>15923.935905</v>
      </c>
      <c r="BU9" s="38">
        <f>BR$6*$G9</f>
        <v>2638.9327875</v>
      </c>
      <c r="BV9" s="55"/>
      <c r="BW9" s="38">
        <f>C9*1.80534/100</f>
        <v>93606.879</v>
      </c>
      <c r="BX9" s="38">
        <f>D9*1.80534/100</f>
        <v>2340.1719749999997</v>
      </c>
      <c r="BY9" s="38">
        <f>BW9+BX9</f>
        <v>95947.050975</v>
      </c>
      <c r="BZ9" s="38">
        <f>BX$6*$F9</f>
        <v>4862.466649200001</v>
      </c>
      <c r="CA9" s="38">
        <f>BX$6*$G9</f>
        <v>805.8135090000001</v>
      </c>
      <c r="CB9" s="55"/>
      <c r="CC9" s="38">
        <f>C9*5.15053/100</f>
        <v>267054.9805</v>
      </c>
      <c r="CD9" s="38">
        <f>D9*5.15053/100</f>
        <v>6676.3745125</v>
      </c>
      <c r="CE9" s="38">
        <f>CC9+CD9</f>
        <v>273731.3550125</v>
      </c>
      <c r="CF9" s="38">
        <f>CD$6*$F9</f>
        <v>13872.334491399999</v>
      </c>
      <c r="CG9" s="38">
        <f>CD$6*$G9</f>
        <v>2298.9390654999997</v>
      </c>
      <c r="CH9" s="55"/>
      <c r="CI9" s="38">
        <f>C9*14.16042/100</f>
        <v>734217.777</v>
      </c>
      <c r="CJ9" s="38">
        <f>D9*14.16042/100</f>
        <v>18355.444425</v>
      </c>
      <c r="CK9" s="38">
        <f>CI9+CJ9</f>
        <v>752573.221425</v>
      </c>
      <c r="CL9" s="38">
        <f>CJ$6*$F9</f>
        <v>38139.3920196</v>
      </c>
      <c r="CM9" s="38">
        <f>CJ$6*$G9</f>
        <v>6320.5034670000005</v>
      </c>
      <c r="CN9" s="38"/>
      <c r="CO9" s="38">
        <f>C9*6.15602/100</f>
        <v>319189.637</v>
      </c>
      <c r="CP9" s="38">
        <f>D9*6.15602/100</f>
        <v>7979.740925</v>
      </c>
      <c r="CQ9" s="38">
        <f>CO9+CP9</f>
        <v>327169.377925</v>
      </c>
      <c r="CR9" s="38">
        <f>CP$6*$F9</f>
        <v>16580.5011476</v>
      </c>
      <c r="CS9" s="38">
        <f>CP$6*$G9</f>
        <v>2747.739527</v>
      </c>
      <c r="CT9" s="55"/>
      <c r="CU9" s="38">
        <f>C9*5.37414/100</f>
        <v>278649.159</v>
      </c>
      <c r="CV9" s="38">
        <f>D9*5.37414/100</f>
        <v>6966.228975</v>
      </c>
      <c r="CW9" s="38">
        <f>CU9+CV9</f>
        <v>285615.38797499996</v>
      </c>
      <c r="CX9" s="38">
        <f>CV$6*$F9</f>
        <v>14474.6011932</v>
      </c>
      <c r="CY9" s="38">
        <f>CV$6*$G9</f>
        <v>2398.747389</v>
      </c>
      <c r="CZ9" s="55"/>
      <c r="DA9" s="80">
        <f>C9*0.69717/100</f>
        <v>36148.2645</v>
      </c>
      <c r="DB9" s="80">
        <f>D9*0.69717/100</f>
        <v>903.7066124999999</v>
      </c>
      <c r="DC9" s="80">
        <f>DA9+DB9</f>
        <v>37051.971112499996</v>
      </c>
      <c r="DD9" s="38">
        <f>DB$6*$F9</f>
        <v>1877.7437346</v>
      </c>
      <c r="DE9" s="38">
        <f>DB$6*$G9</f>
        <v>311.1818295</v>
      </c>
      <c r="DF9" s="55"/>
      <c r="DG9" s="38">
        <f>C9*0.02011/100</f>
        <v>1042.7034999999998</v>
      </c>
      <c r="DH9" s="38">
        <f>D9*0.02011/100</f>
        <v>26.0675875</v>
      </c>
      <c r="DI9" s="38">
        <f>DG9+DH9</f>
        <v>1068.7710874999998</v>
      </c>
      <c r="DJ9" s="38">
        <f>DH$6*$F9</f>
        <v>54.1638718</v>
      </c>
      <c r="DK9" s="38">
        <f>DH$6*$G9</f>
        <v>8.9760985</v>
      </c>
      <c r="DL9" s="55"/>
      <c r="DM9" s="38">
        <f>C9*4.70981/100</f>
        <v>244203.6485</v>
      </c>
      <c r="DN9" s="38">
        <f>D9*4.70981/100</f>
        <v>6105.0912124999995</v>
      </c>
      <c r="DO9" s="38">
        <f>DM9+DN9</f>
        <v>250308.7397125</v>
      </c>
      <c r="DP9" s="38">
        <f>DN$6*$F9</f>
        <v>12685.308057799999</v>
      </c>
      <c r="DQ9" s="38">
        <f>DN$6*$G9</f>
        <v>2102.2236935</v>
      </c>
      <c r="DR9" s="55"/>
      <c r="DS9" s="38">
        <f>C9*0.28727/100</f>
        <v>14894.949500000002</v>
      </c>
      <c r="DT9" s="38">
        <f>D9*0.28727/100</f>
        <v>372.37373750000006</v>
      </c>
      <c r="DU9" s="38">
        <f>DS9+DT9</f>
        <v>15267.323237500003</v>
      </c>
      <c r="DV9" s="38">
        <f>DT$6*$F9</f>
        <v>773.7272726</v>
      </c>
      <c r="DW9" s="38">
        <f>DT$6*$G9</f>
        <v>128.22296450000002</v>
      </c>
      <c r="DX9" s="55"/>
      <c r="DY9" s="38">
        <f>C9*4.87421/100</f>
        <v>252727.78849999997</v>
      </c>
      <c r="DZ9" s="38">
        <f>D9*4.87421/100</f>
        <v>6318.1947125</v>
      </c>
      <c r="EA9" s="38">
        <f>DY9+DZ9</f>
        <v>259045.98321249997</v>
      </c>
      <c r="EB9" s="38">
        <f>DZ$6*$F9</f>
        <v>13128.099729799998</v>
      </c>
      <c r="EC9" s="38">
        <f>DZ$6*$G9</f>
        <v>2175.6036335</v>
      </c>
      <c r="ED9" s="55"/>
      <c r="EE9" s="38">
        <f>C9*0.60754/100</f>
        <v>31500.949</v>
      </c>
      <c r="EF9" s="38">
        <f>D9*0.60754/100</f>
        <v>787.523725</v>
      </c>
      <c r="EG9" s="38">
        <f>EE9+EF9</f>
        <v>32288.472725</v>
      </c>
      <c r="EH9" s="38">
        <f>EF$6*$F9</f>
        <v>1636.3360852</v>
      </c>
      <c r="EI9" s="38">
        <f>EF$6*$G9</f>
        <v>271.175479</v>
      </c>
      <c r="EJ9" s="55"/>
      <c r="EK9" s="38">
        <f>C9*0.26185/100</f>
        <v>13576.922500000002</v>
      </c>
      <c r="EL9" s="38">
        <f>D9*0.26185/100</f>
        <v>339.4230625</v>
      </c>
      <c r="EM9" s="38">
        <f>EK9+EL9</f>
        <v>13916.345562500002</v>
      </c>
      <c r="EN9" s="38">
        <f>EL$6*$F9</f>
        <v>705.261553</v>
      </c>
      <c r="EO9" s="38">
        <f>EL$6*$G9</f>
        <v>116.87674750000001</v>
      </c>
      <c r="EP9" s="55"/>
      <c r="EQ9" s="38"/>
      <c r="ER9" s="38"/>
      <c r="ES9" s="38"/>
      <c r="ET9" s="38"/>
      <c r="EU9" s="38"/>
      <c r="EV9" s="55"/>
      <c r="EW9" s="55">
        <f>C9*0.08698/100</f>
        <v>4509.913</v>
      </c>
      <c r="EX9" s="55">
        <f>D9*0.08698/100</f>
        <v>112.74782499999999</v>
      </c>
      <c r="EY9" s="38">
        <f>EW9+EX9</f>
        <v>4622.660825</v>
      </c>
      <c r="EZ9" s="38">
        <f>EX$6*$F9</f>
        <v>234.2701924</v>
      </c>
      <c r="FA9" s="38">
        <f>EX$6*$G9</f>
        <v>38.823523</v>
      </c>
      <c r="FB9" s="55"/>
      <c r="FC9" s="38">
        <f>C9*0.19505/100</f>
        <v>10113.3425</v>
      </c>
      <c r="FD9" s="38">
        <f>D9*0.19505/100</f>
        <v>252.8335625</v>
      </c>
      <c r="FE9" s="38">
        <f>FC9+FD9</f>
        <v>10366.1760625</v>
      </c>
      <c r="FF9" s="38">
        <f>FD$6*$F9</f>
        <v>525.343769</v>
      </c>
      <c r="FG9" s="38">
        <f>FD$6*$G9</f>
        <v>87.0605675</v>
      </c>
      <c r="FH9" s="55"/>
      <c r="FI9" s="55"/>
      <c r="FJ9" s="55"/>
      <c r="FK9" s="55"/>
      <c r="FL9" s="55"/>
      <c r="FM9" s="55"/>
      <c r="FN9" s="55"/>
      <c r="FO9" s="55"/>
      <c r="FP9" s="55"/>
      <c r="FQ9" s="55"/>
    </row>
    <row r="10" spans="3:173" ht="12.75">
      <c r="C10" s="47"/>
      <c r="D10" s="47"/>
      <c r="E10" s="47"/>
      <c r="F10" s="47"/>
      <c r="G10" s="47"/>
      <c r="I10" s="47"/>
      <c r="J10" s="47"/>
      <c r="K10" s="47"/>
      <c r="L10" s="47"/>
      <c r="M10" s="47"/>
      <c r="U10" s="55"/>
      <c r="V10" s="55"/>
      <c r="W10" s="55"/>
      <c r="X10" s="55"/>
      <c r="Y10" s="55"/>
      <c r="Z10" s="38"/>
      <c r="AA10" s="38"/>
      <c r="AB10" s="38"/>
      <c r="AC10" s="38"/>
      <c r="AD10" s="38"/>
      <c r="AE10" s="38"/>
      <c r="AF10" s="38"/>
      <c r="AG10" s="55"/>
      <c r="AH10" s="55"/>
      <c r="AI10" s="55"/>
      <c r="AJ10" s="55"/>
      <c r="AK10" s="55"/>
      <c r="AL10" s="38"/>
      <c r="AM10" s="55"/>
      <c r="AN10" s="55"/>
      <c r="AO10" s="55"/>
      <c r="AP10" s="55"/>
      <c r="AQ10" s="55"/>
      <c r="AR10" s="38"/>
      <c r="AS10" s="55"/>
      <c r="AT10" s="55"/>
      <c r="AU10" s="55"/>
      <c r="AV10" s="55"/>
      <c r="AW10" s="55"/>
      <c r="AX10" s="38"/>
      <c r="AY10" s="55"/>
      <c r="AZ10" s="55"/>
      <c r="BA10" s="55"/>
      <c r="BB10" s="55"/>
      <c r="BC10" s="55"/>
      <c r="BD10" s="38"/>
      <c r="BE10" s="55"/>
      <c r="BF10" s="55"/>
      <c r="BG10" s="55"/>
      <c r="BH10" s="55"/>
      <c r="BI10" s="55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55"/>
      <c r="CV10" s="55"/>
      <c r="CW10" s="55"/>
      <c r="CX10" s="55"/>
      <c r="CY10" s="55"/>
      <c r="CZ10" s="55"/>
      <c r="DA10" s="81"/>
      <c r="DB10" s="81"/>
      <c r="DC10" s="81"/>
      <c r="DD10" s="81"/>
      <c r="DE10" s="81"/>
      <c r="DF10" s="55"/>
      <c r="DG10" s="55"/>
      <c r="DH10" s="55"/>
      <c r="DI10" s="55"/>
      <c r="DJ10" s="55"/>
      <c r="DK10" s="55"/>
      <c r="DL10" s="38"/>
      <c r="DM10" s="38"/>
      <c r="DN10" s="38"/>
      <c r="DO10" s="38"/>
      <c r="DP10" s="38" t="s">
        <v>82</v>
      </c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55"/>
      <c r="ER10" s="55"/>
      <c r="ES10" s="55"/>
      <c r="ET10" s="55"/>
      <c r="EU10" s="55"/>
      <c r="EV10" s="38"/>
      <c r="EW10" s="55"/>
      <c r="EX10" s="55"/>
      <c r="EY10" s="55"/>
      <c r="EZ10" s="55"/>
      <c r="FA10" s="55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</row>
    <row r="11" spans="1:173" ht="13.5" thickBot="1">
      <c r="A11" s="36" t="s">
        <v>4</v>
      </c>
      <c r="C11" s="54">
        <f>SUM(C8:C9)</f>
        <v>5185000</v>
      </c>
      <c r="D11" s="54">
        <f>SUM(D8:D9)</f>
        <v>259250</v>
      </c>
      <c r="E11" s="54">
        <f>SUM(E8:E9)</f>
        <v>5444250</v>
      </c>
      <c r="F11" s="54">
        <f>SUM(F8:F9)</f>
        <v>538676</v>
      </c>
      <c r="G11" s="54">
        <f>SUM(G8:G9)</f>
        <v>89270</v>
      </c>
      <c r="I11" s="54">
        <f>SUM(I8:I9)</f>
        <v>14623.2555</v>
      </c>
      <c r="J11" s="54">
        <f>SUM(J8:J9)</f>
        <v>731.162775</v>
      </c>
      <c r="K11" s="54">
        <f>SUM(K8:K9)</f>
        <v>15354.418275</v>
      </c>
      <c r="L11" s="54">
        <f>SUM(L8:L9)</f>
        <v>1519.2279228</v>
      </c>
      <c r="M11" s="54">
        <f>SUM(M8:M9)</f>
        <v>251.76818100000003</v>
      </c>
      <c r="O11" s="54">
        <f>SUM(O8:O9)</f>
        <v>5170376.7445</v>
      </c>
      <c r="P11" s="54">
        <f>SUM(P8:P9)</f>
        <v>258518.83722500008</v>
      </c>
      <c r="Q11" s="54">
        <f>SUM(Q8:Q9)</f>
        <v>5428895.5817249995</v>
      </c>
      <c r="R11" s="54">
        <f>SUM(R8:R9)</f>
        <v>537156.7720772001</v>
      </c>
      <c r="S11" s="54">
        <f>SUM(S8:S9)</f>
        <v>89018.23181899996</v>
      </c>
      <c r="U11" s="54">
        <f>SUM(U8:U9)</f>
        <v>780345.6109999999</v>
      </c>
      <c r="V11" s="54">
        <f>SUM(V8:V9)</f>
        <v>39017.28055</v>
      </c>
      <c r="W11" s="54">
        <f>SUM(W8:W9)</f>
        <v>819362.89155</v>
      </c>
      <c r="X11" s="54">
        <f>SUM(X8:X10)</f>
        <v>81071.06120560001</v>
      </c>
      <c r="Y11" s="54">
        <f>SUM(Y8:Y10)</f>
        <v>13435.188562000001</v>
      </c>
      <c r="Z11" s="38"/>
      <c r="AA11" s="54">
        <f>SUM(AA8:AA9)</f>
        <v>877604.804</v>
      </c>
      <c r="AB11" s="54">
        <f>SUM(AB8:AB9)</f>
        <v>43880.24020000001</v>
      </c>
      <c r="AC11" s="54">
        <f>SUM(AC8:AC9)</f>
        <v>921485.0442000001</v>
      </c>
      <c r="AD11" s="54">
        <f>SUM(AD8:AD9)</f>
        <v>91175.4378784</v>
      </c>
      <c r="AE11" s="54">
        <f>SUM(AE8:AE9)</f>
        <v>15109.697368000001</v>
      </c>
      <c r="AF11" s="38"/>
      <c r="AG11" s="54">
        <f>SUM(AG8:AG9)</f>
        <v>505934.6709999999</v>
      </c>
      <c r="AH11" s="54">
        <f>SUM(AH8:AH9)</f>
        <v>25296.73355</v>
      </c>
      <c r="AI11" s="54">
        <f>SUM(AI8:AI9)</f>
        <v>531231.4045499999</v>
      </c>
      <c r="AJ11" s="54">
        <f>SUM(AJ8:AJ9)</f>
        <v>52562.172581599996</v>
      </c>
      <c r="AK11" s="54">
        <f>SUM(AK8:AK9)</f>
        <v>8710.663082</v>
      </c>
      <c r="AL11" s="38"/>
      <c r="AM11" s="54">
        <f>SUM(AM8:AM9)</f>
        <v>387905.92350000003</v>
      </c>
      <c r="AN11" s="54">
        <f>SUM(AN8:AN9)</f>
        <v>19395.296175</v>
      </c>
      <c r="AO11" s="54">
        <f>SUM(AO8:AO9)</f>
        <v>407301.21967500006</v>
      </c>
      <c r="AP11" s="54">
        <f>SUM(AP8:AP9)</f>
        <v>40300.0214556</v>
      </c>
      <c r="AQ11" s="54">
        <f>SUM(AQ8:AQ9)</f>
        <v>6678.565436999999</v>
      </c>
      <c r="AR11" s="38"/>
      <c r="AS11" s="54">
        <f>SUM(AS8:AS9)</f>
        <v>11205.822</v>
      </c>
      <c r="AT11" s="54">
        <f>SUM(AT8:AT9)</f>
        <v>560.2911</v>
      </c>
      <c r="AU11" s="54">
        <f>SUM(AU8:AU9)</f>
        <v>11766.113099999999</v>
      </c>
      <c r="AV11" s="54">
        <f>SUM(AV8:AV9)</f>
        <v>1164.1865712</v>
      </c>
      <c r="AW11" s="54">
        <f>SUM(AW8:AW9)</f>
        <v>192.93032399999998</v>
      </c>
      <c r="AX11" s="38"/>
      <c r="AY11" s="54">
        <f>SUM(AY8:AY9)</f>
        <v>988.2610000000001</v>
      </c>
      <c r="AZ11" s="54">
        <f>SUM(AZ8:AZ9)</f>
        <v>49.413050000000005</v>
      </c>
      <c r="BA11" s="54">
        <f>SUM(BA8:BA9)</f>
        <v>1037.67405</v>
      </c>
      <c r="BB11" s="54">
        <f>SUM(BB8:BB9)</f>
        <v>102.6716456</v>
      </c>
      <c r="BC11" s="54">
        <f>SUM(BC8:BC9)</f>
        <v>17.014862</v>
      </c>
      <c r="BD11" s="38"/>
      <c r="BE11" s="54">
        <f>SUM(BE8:BE9)</f>
        <v>709.8265000000001</v>
      </c>
      <c r="BF11" s="54">
        <f>SUM(BF8:BF9)</f>
        <v>35.491325</v>
      </c>
      <c r="BG11" s="54">
        <f>SUM(BG8:BG9)</f>
        <v>745.3178250000001</v>
      </c>
      <c r="BH11" s="54">
        <f>SUM(BH8:BH9)</f>
        <v>73.7447444</v>
      </c>
      <c r="BI11" s="54">
        <f>SUM(BI8:BI9)</f>
        <v>12.221063</v>
      </c>
      <c r="BJ11" s="38"/>
      <c r="BK11" s="54">
        <f>SUM(BK8:BK9)</f>
        <v>12318.0045</v>
      </c>
      <c r="BL11" s="54">
        <f>SUM(BL8:BL9)</f>
        <v>615.900225</v>
      </c>
      <c r="BM11" s="54">
        <f>SUM(BM8:BM9)</f>
        <v>12933.904725</v>
      </c>
      <c r="BN11" s="54">
        <f>SUM(BN8:BN9)</f>
        <v>1279.7325732000002</v>
      </c>
      <c r="BO11" s="54">
        <f>SUM(BO8:BO9)</f>
        <v>212.078739</v>
      </c>
      <c r="BP11" s="38"/>
      <c r="BQ11" s="54">
        <f>SUM(BQ8:BQ9)</f>
        <v>306550.1625</v>
      </c>
      <c r="BR11" s="54">
        <f>SUM(BR8:BR9)</f>
        <v>15327.508125</v>
      </c>
      <c r="BS11" s="54">
        <f>SUM(BS8:BS9)</f>
        <v>321877.670625</v>
      </c>
      <c r="BT11" s="54">
        <f>SUM(BT8:BT9)</f>
        <v>31847.87181</v>
      </c>
      <c r="BU11" s="54">
        <f>SUM(BU8:BU9)</f>
        <v>5277.865575</v>
      </c>
      <c r="BV11" s="38"/>
      <c r="BW11" s="54">
        <f>SUM(BW8:BW9)</f>
        <v>93606.879</v>
      </c>
      <c r="BX11" s="54">
        <f>SUM(BX8:BX9)</f>
        <v>4680.3439499999995</v>
      </c>
      <c r="BY11" s="54">
        <f>SUM(BY8:BY9)</f>
        <v>98287.22295000001</v>
      </c>
      <c r="BZ11" s="54">
        <f>SUM(BZ8:BZ9)</f>
        <v>9724.933298400001</v>
      </c>
      <c r="CA11" s="54">
        <f>SUM(CA8:CA9)</f>
        <v>1611.6270180000001</v>
      </c>
      <c r="CB11" s="38"/>
      <c r="CC11" s="54">
        <f>SUM(CC8:CC9)</f>
        <v>267054.9805</v>
      </c>
      <c r="CD11" s="54">
        <f>SUM(CD8:CD9)</f>
        <v>13352.749025</v>
      </c>
      <c r="CE11" s="54">
        <f>SUM(CE8:CE9)</f>
        <v>280407.72952500003</v>
      </c>
      <c r="CF11" s="54">
        <f>SUM(CF8:CF9)</f>
        <v>27744.668982799998</v>
      </c>
      <c r="CG11" s="54">
        <f>SUM(CG8:CG9)</f>
        <v>4597.8781309999995</v>
      </c>
      <c r="CH11" s="38"/>
      <c r="CI11" s="54">
        <f>SUM(CI8:CI9)</f>
        <v>734217.777</v>
      </c>
      <c r="CJ11" s="54">
        <f>SUM(CJ8:CJ9)</f>
        <v>36710.88885</v>
      </c>
      <c r="CK11" s="54">
        <f>SUM(CK8:CK9)</f>
        <v>770928.66585</v>
      </c>
      <c r="CL11" s="54">
        <f>SUM(CL8:CL9)</f>
        <v>76278.7840392</v>
      </c>
      <c r="CM11" s="54">
        <f>SUM(CM8:CM9)</f>
        <v>12641.006934000001</v>
      </c>
      <c r="CN11" s="47"/>
      <c r="CO11" s="54">
        <f>SUM(CO8:CO9)</f>
        <v>319189.637</v>
      </c>
      <c r="CP11" s="54">
        <f>SUM(CP8:CP9)</f>
        <v>15959.48185</v>
      </c>
      <c r="CQ11" s="54">
        <f>SUM(CQ8:CQ9)</f>
        <v>335149.11884999997</v>
      </c>
      <c r="CR11" s="54">
        <f>SUM(CR8:CR9)</f>
        <v>33161.0022952</v>
      </c>
      <c r="CS11" s="54">
        <f>SUM(CS8:CS9)</f>
        <v>5495.479054</v>
      </c>
      <c r="CT11" s="38"/>
      <c r="CU11" s="54">
        <f>SUM(CU8:CU9)</f>
        <v>278649.159</v>
      </c>
      <c r="CV11" s="54">
        <f>SUM(CV8:CV9)</f>
        <v>13932.45795</v>
      </c>
      <c r="CW11" s="54">
        <f>SUM(CW8:CW9)</f>
        <v>292581.61694999994</v>
      </c>
      <c r="CX11" s="54">
        <f>SUM(CX8:CX9)</f>
        <v>28949.2023864</v>
      </c>
      <c r="CY11" s="54">
        <f>SUM(CY8:CY9)</f>
        <v>4797.494778</v>
      </c>
      <c r="CZ11" s="47"/>
      <c r="DA11" s="82">
        <f>SUM(DA8:DA9)</f>
        <v>36148.2645</v>
      </c>
      <c r="DB11" s="82">
        <f>SUM(DB8:DB9)</f>
        <v>1807.4132249999998</v>
      </c>
      <c r="DC11" s="82">
        <f>SUM(DC8:DC9)</f>
        <v>37955.677724999994</v>
      </c>
      <c r="DD11" s="82">
        <f>SUM(DD8:DD9)</f>
        <v>3755.4874692</v>
      </c>
      <c r="DE11" s="82">
        <f>SUM(DE8:DE9)</f>
        <v>622.363659</v>
      </c>
      <c r="DF11" s="47"/>
      <c r="DG11" s="54">
        <f>SUM(DG8:DG9)</f>
        <v>1042.7034999999998</v>
      </c>
      <c r="DH11" s="54">
        <f>SUM(DH8:DH9)</f>
        <v>52.135175</v>
      </c>
      <c r="DI11" s="54">
        <f>SUM(DI8:DI9)</f>
        <v>1094.8386749999997</v>
      </c>
      <c r="DJ11" s="54">
        <f>SUM(DJ8:DJ9)</f>
        <v>108.3277436</v>
      </c>
      <c r="DK11" s="54">
        <f>SUM(DK8:DK9)</f>
        <v>17.952197</v>
      </c>
      <c r="DL11" s="38"/>
      <c r="DM11" s="54">
        <f>SUM(DM8:DM9)</f>
        <v>244203.6485</v>
      </c>
      <c r="DN11" s="54">
        <f>SUM(DN8:DN9)</f>
        <v>12210.182424999999</v>
      </c>
      <c r="DO11" s="54">
        <f>SUM(DO8:DO9)</f>
        <v>256413.83092500002</v>
      </c>
      <c r="DP11" s="54">
        <f>SUM(DP8:DP9)</f>
        <v>25370.616115599998</v>
      </c>
      <c r="DQ11" s="54">
        <f>SUM(DQ8:DQ9)</f>
        <v>4204.447387</v>
      </c>
      <c r="DR11" s="38"/>
      <c r="DS11" s="54">
        <f>SUM(DS8:DS9)</f>
        <v>14894.949500000002</v>
      </c>
      <c r="DT11" s="54">
        <f>SUM(DT8:DT9)</f>
        <v>744.7474750000001</v>
      </c>
      <c r="DU11" s="54">
        <f>SUM(DU8:DU9)</f>
        <v>15639.696975000003</v>
      </c>
      <c r="DV11" s="54">
        <f>SUM(DV8:DV9)</f>
        <v>1547.4545452</v>
      </c>
      <c r="DW11" s="54">
        <f>SUM(DW8:DW9)</f>
        <v>256.44592900000004</v>
      </c>
      <c r="DX11" s="38"/>
      <c r="DY11" s="54">
        <f>SUM(DY8:DY9)</f>
        <v>252727.78849999997</v>
      </c>
      <c r="DZ11" s="54">
        <f>SUM(DZ8:DZ9)</f>
        <v>12636.389425</v>
      </c>
      <c r="EA11" s="54">
        <f>SUM(EA8:EA9)</f>
        <v>265364.17792499997</v>
      </c>
      <c r="EB11" s="54">
        <f>SUM(EB8:EB9)</f>
        <v>26256.199459599997</v>
      </c>
      <c r="EC11" s="54">
        <f>SUM(EC8:EC9)</f>
        <v>4351.207267</v>
      </c>
      <c r="ED11" s="38"/>
      <c r="EE11" s="54">
        <f>SUM(EE8:EE9)</f>
        <v>31500.949</v>
      </c>
      <c r="EF11" s="54">
        <f>SUM(EF8:EF9)</f>
        <v>1575.04745</v>
      </c>
      <c r="EG11" s="54">
        <f>SUM(EG8:EG9)</f>
        <v>33075.99645</v>
      </c>
      <c r="EH11" s="54">
        <f>SUM(EH8:EH9)</f>
        <v>3272.6721704</v>
      </c>
      <c r="EI11" s="54">
        <f>SUM(EI8:EI9)</f>
        <v>542.350958</v>
      </c>
      <c r="EJ11" s="38"/>
      <c r="EK11" s="54">
        <f>SUM(EK8:EK9)</f>
        <v>13576.922500000002</v>
      </c>
      <c r="EL11" s="54">
        <f>SUM(EL8:EL9)</f>
        <v>678.846125</v>
      </c>
      <c r="EM11" s="54">
        <f>SUM(EM8:EM9)</f>
        <v>14255.768625000002</v>
      </c>
      <c r="EN11" s="54">
        <f>SUM(EN8:EN9)</f>
        <v>1410.523106</v>
      </c>
      <c r="EO11" s="54">
        <f>SUM(EO8:EO9)</f>
        <v>233.75349500000002</v>
      </c>
      <c r="EP11" s="38"/>
      <c r="EQ11" s="54">
        <f>SUM(EQ8:EQ9)</f>
        <v>0</v>
      </c>
      <c r="ER11" s="54">
        <f>SUM(ER8:ER9)</f>
        <v>0</v>
      </c>
      <c r="ES11" s="54">
        <f>SUM(ES8:ES9)</f>
        <v>0</v>
      </c>
      <c r="ET11" s="47"/>
      <c r="EU11" s="47"/>
      <c r="EV11" s="38"/>
      <c r="EW11" s="54">
        <f>SUM(EW8:EW10)</f>
        <v>4509.913</v>
      </c>
      <c r="EX11" s="54">
        <f>SUM(EX8:EX10)</f>
        <v>225.49564999999998</v>
      </c>
      <c r="EY11" s="54">
        <f>SUM(EY8:EY10)</f>
        <v>4735.40865</v>
      </c>
      <c r="EZ11" s="54">
        <f>SUM(EZ8:EZ10)</f>
        <v>468.5403848</v>
      </c>
      <c r="FA11" s="54">
        <f>SUM(FA8:FA10)</f>
        <v>77.647046</v>
      </c>
      <c r="FB11" s="38"/>
      <c r="FC11" s="54">
        <f>SUM(FC8:FC10)</f>
        <v>10113.3425</v>
      </c>
      <c r="FD11" s="54">
        <f>SUM(FD8:FD10)</f>
        <v>505.667125</v>
      </c>
      <c r="FE11" s="54">
        <f>SUM(FE8:FE10)</f>
        <v>10619.009625</v>
      </c>
      <c r="FF11" s="54">
        <f>SUM(FF8:FF10)</f>
        <v>1050.687538</v>
      </c>
      <c r="FG11" s="54">
        <f>SUM(FG8:FG10)</f>
        <v>174.121135</v>
      </c>
      <c r="FH11" s="38"/>
      <c r="FI11" s="38"/>
      <c r="FJ11" s="38"/>
      <c r="FK11" s="38"/>
      <c r="FL11" s="38"/>
      <c r="FM11" s="38"/>
      <c r="FN11" s="38"/>
      <c r="FO11" s="38"/>
      <c r="FP11" s="38"/>
      <c r="FQ11" s="38"/>
    </row>
    <row r="12" spans="105:109" ht="13.5" thickTop="1">
      <c r="DA12" s="83"/>
      <c r="DB12" s="83"/>
      <c r="DC12" s="83"/>
      <c r="DD12" s="83"/>
      <c r="DE12" s="83"/>
    </row>
    <row r="13" spans="3:109" ht="12.75">
      <c r="C13" s="41">
        <f>I11+O11</f>
        <v>5185000</v>
      </c>
      <c r="D13" s="41">
        <f>J11+P11</f>
        <v>259250.0000000001</v>
      </c>
      <c r="F13" s="41">
        <f>L11+R11</f>
        <v>538676.0000000001</v>
      </c>
      <c r="G13" s="41">
        <f>M11+S11</f>
        <v>89269.99999999997</v>
      </c>
      <c r="U13" s="23">
        <f>SUM(U8:U10)</f>
        <v>780345.6109999999</v>
      </c>
      <c r="AA13" s="23">
        <f>SUM(AA8:AA10)</f>
        <v>877604.804</v>
      </c>
      <c r="DA13" s="83"/>
      <c r="DB13" s="83"/>
      <c r="DC13" s="83"/>
      <c r="DD13" s="83"/>
      <c r="DE13" s="83"/>
    </row>
    <row r="14" spans="105:109" ht="12.75">
      <c r="DA14" s="83"/>
      <c r="DB14" s="83"/>
      <c r="DC14" s="83"/>
      <c r="DD14" s="83"/>
      <c r="DE14" s="83"/>
    </row>
  </sheetData>
  <sheetProtection/>
  <printOptions/>
  <pageMargins left="0.75" right="0.75" top="1" bottom="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710937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2020-02-10T21:24:44Z</cp:lastPrinted>
  <dcterms:created xsi:type="dcterms:W3CDTF">1998-02-23T20:58:01Z</dcterms:created>
  <dcterms:modified xsi:type="dcterms:W3CDTF">2021-04-05T15:07:48Z</dcterms:modified>
  <cp:category/>
  <cp:version/>
  <cp:contentType/>
  <cp:contentStatus/>
</cp:coreProperties>
</file>