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tabRatio="708" activeTab="0"/>
  </bookViews>
  <sheets>
    <sheet name="2010C" sheetId="1" r:id="rId1"/>
    <sheet name="2010C Academic" sheetId="2" r:id="rId2"/>
    <sheet name="2011B" sheetId="3" r:id="rId3"/>
    <sheet name="2011B Academic" sheetId="4" r:id="rId4"/>
    <sheet name="2021A" sheetId="5" r:id="rId5"/>
    <sheet name="2021A Academic" sheetId="6" r:id="rId6"/>
    <sheet name="Percentage" sheetId="7" r:id="rId7"/>
  </sheets>
  <definedNames>
    <definedName name="_xlnm.Print_Titles" localSheetId="0">'2010C'!$A:$A</definedName>
    <definedName name="_xlnm.Print_Titles" localSheetId="1">'2010C Academic'!$A:$A</definedName>
    <definedName name="_xlnm.Print_Titles" localSheetId="2">'2011B'!$A:$A</definedName>
    <definedName name="_xlnm.Print_Titles" localSheetId="3">'2011B Academic'!$A:$A</definedName>
  </definedNames>
  <calcPr fullCalcOnLoad="1"/>
</workbook>
</file>

<file path=xl/sharedStrings.xml><?xml version="1.0" encoding="utf-8"?>
<sst xmlns="http://schemas.openxmlformats.org/spreadsheetml/2006/main" count="1887" uniqueCount="185">
  <si>
    <t>Percent</t>
  </si>
  <si>
    <t>Inst</t>
  </si>
  <si>
    <t>Type</t>
  </si>
  <si>
    <t>Project</t>
  </si>
  <si>
    <t>Total</t>
  </si>
  <si>
    <t>UMCP</t>
  </si>
  <si>
    <t>by project</t>
  </si>
  <si>
    <t>Total dollars:</t>
  </si>
  <si>
    <t>Percent by Institution:</t>
  </si>
  <si>
    <t>Payment</t>
  </si>
  <si>
    <t>Date</t>
  </si>
  <si>
    <t>Principal</t>
  </si>
  <si>
    <t>Interest</t>
  </si>
  <si>
    <t>18th Aux</t>
  </si>
  <si>
    <t xml:space="preserve">  Debt Svc from Earnings and Accrued Interest</t>
  </si>
  <si>
    <t>Stamp Student Union</t>
  </si>
  <si>
    <t>2003 Series A Bonds</t>
  </si>
  <si>
    <t>UMB</t>
  </si>
  <si>
    <t>New Dental School</t>
  </si>
  <si>
    <t>22th Acad</t>
  </si>
  <si>
    <t>UMES</t>
  </si>
  <si>
    <t>Utilities Upgrade/Site Improve</t>
  </si>
  <si>
    <t>CSC</t>
  </si>
  <si>
    <t>Upgrade Utilities/Security Sys</t>
  </si>
  <si>
    <t>Facilities Renewal</t>
  </si>
  <si>
    <t>UMBC</t>
  </si>
  <si>
    <t>UMCES</t>
  </si>
  <si>
    <t>BSU</t>
  </si>
  <si>
    <t>FSU</t>
  </si>
  <si>
    <t>SU</t>
  </si>
  <si>
    <t>TU</t>
  </si>
  <si>
    <t>UB</t>
  </si>
  <si>
    <t>21,22th Acad</t>
  </si>
  <si>
    <t>21th Acad</t>
  </si>
  <si>
    <t>Eqip Information Tech Bldg</t>
  </si>
  <si>
    <t>Aquaculture Building</t>
  </si>
  <si>
    <t>Equip Compton Sci Center</t>
  </si>
  <si>
    <t>Health/Human Service Bldg</t>
  </si>
  <si>
    <t>20th Acad</t>
  </si>
  <si>
    <t>Hornbake/McKeldin Libraries</t>
  </si>
  <si>
    <t>Howard Hall PH IV</t>
  </si>
  <si>
    <t>Social Sci/Education/Health</t>
  </si>
  <si>
    <t>20,21,22th Acad</t>
  </si>
  <si>
    <t>Emergency Fund Projects</t>
  </si>
  <si>
    <t>19,20th Acad</t>
  </si>
  <si>
    <t>19th Acad</t>
  </si>
  <si>
    <t>7800 York Road Renovation</t>
  </si>
  <si>
    <t>19,20,21,22th Acad</t>
  </si>
  <si>
    <t>18th Acad</t>
  </si>
  <si>
    <t>17th Acad</t>
  </si>
  <si>
    <t>Performing Arts Center</t>
  </si>
  <si>
    <t>School of Nursing Equipment</t>
  </si>
  <si>
    <t>School of Law:Marshall Libr</t>
  </si>
  <si>
    <t>15th Acad</t>
  </si>
  <si>
    <t>Steam Plant Improvements</t>
  </si>
  <si>
    <t>17,18,19,20,21,22 Acad</t>
  </si>
  <si>
    <t>22th Aux</t>
  </si>
  <si>
    <t>New Parking Lot</t>
  </si>
  <si>
    <t>Resident Hall Renovations</t>
  </si>
  <si>
    <t>Dining Hall: HVAC Upgrade</t>
  </si>
  <si>
    <t>New Student Center</t>
  </si>
  <si>
    <t>USMO</t>
  </si>
  <si>
    <t>21th Aux</t>
  </si>
  <si>
    <t>Health Center Addition/Renov</t>
  </si>
  <si>
    <t>Queen Anne's Hall Renovation</t>
  </si>
  <si>
    <t>New Campus Center Bldg</t>
  </si>
  <si>
    <t>New Recreation &amp; Athletic Fac</t>
  </si>
  <si>
    <t>UMUC</t>
  </si>
  <si>
    <t>Hotel Addition at Inn &amp; Conference</t>
  </si>
  <si>
    <t>Land Acquisition at Shady Grove Parking</t>
  </si>
  <si>
    <t>20th Aux</t>
  </si>
  <si>
    <t>South Campus Parking Garage #5</t>
  </si>
  <si>
    <t>Saratoga Street Garage</t>
  </si>
  <si>
    <t>Murphy Hall Annex Renovation</t>
  </si>
  <si>
    <t>New Dining Hall</t>
  </si>
  <si>
    <t>Prettyman/Scarborough HVAC/Fire Protection</t>
  </si>
  <si>
    <t>Interim Fitness Center</t>
  </si>
  <si>
    <t>20,22th Aux</t>
  </si>
  <si>
    <t>19th Aux</t>
  </si>
  <si>
    <t>Housing Cetral Utility Plant</t>
  </si>
  <si>
    <t>7800 York Road Garage</t>
  </si>
  <si>
    <t>North Campus Parking Garage #4</t>
  </si>
  <si>
    <t>New Residence Hall</t>
  </si>
  <si>
    <t>16th Aux</t>
  </si>
  <si>
    <t>Student Service Center</t>
  </si>
  <si>
    <t xml:space="preserve">           Total Academic Projects - 2003A</t>
  </si>
  <si>
    <t xml:space="preserve">       UMCP Facilities Renewal (Academic)</t>
  </si>
  <si>
    <t xml:space="preserve">   UMCP Hornbake &amp; McKeldin Libr (Academic)</t>
  </si>
  <si>
    <t xml:space="preserve">    UMCP Performing Arts Center (Academic)</t>
  </si>
  <si>
    <t xml:space="preserve">  UMCP Steam Plant Improvement (Academic)</t>
  </si>
  <si>
    <t xml:space="preserve">        UMB Facilities Renewal (Academic)</t>
  </si>
  <si>
    <t xml:space="preserve">        UMB New Dental School (Academic)</t>
  </si>
  <si>
    <t xml:space="preserve">        UMB Howard Hall PH IV (Academic)</t>
  </si>
  <si>
    <t xml:space="preserve">     UMB School of Nursing Equip (Academic)</t>
  </si>
  <si>
    <t xml:space="preserve">  UMB School of Law: Marshall Libr (Academic)</t>
  </si>
  <si>
    <t xml:space="preserve">    UMB Emergency Fund Projects (Academic)</t>
  </si>
  <si>
    <t xml:space="preserve">       UMES Facilities Renewal (Academic)</t>
  </si>
  <si>
    <t xml:space="preserve">        UMES Utilities Upgrade (Academic)</t>
  </si>
  <si>
    <t xml:space="preserve"> UMES Social Sci/Education/Health (Academic)</t>
  </si>
  <si>
    <t xml:space="preserve">        UMBC Facilities Renewal (Academic)</t>
  </si>
  <si>
    <t xml:space="preserve"> UMBC Equip Information Tech Bldg (Academic)</t>
  </si>
  <si>
    <t xml:space="preserve">     UMCES Facilities Renewal (Academic)</t>
  </si>
  <si>
    <t xml:space="preserve">     UMCES Aquaculture Building (Academic)</t>
  </si>
  <si>
    <t xml:space="preserve">     UMCES Emergency Projects (Academic)</t>
  </si>
  <si>
    <t xml:space="preserve">         BSU Facilities Renewal (Academic)</t>
  </si>
  <si>
    <t xml:space="preserve">         BSU Emergency Projects (Academic)</t>
  </si>
  <si>
    <t xml:space="preserve">         CSC Facilities Renewal (Academic)</t>
  </si>
  <si>
    <t xml:space="preserve">         CSC Upgrade Utilities (Academic)</t>
  </si>
  <si>
    <t xml:space="preserve">   CSC Health/Human Service Bldg (Academic)</t>
  </si>
  <si>
    <t xml:space="preserve">         FSU Facilities Renewal (Academic)</t>
  </si>
  <si>
    <t>FSU Equip Compton Science Center (Academic)</t>
  </si>
  <si>
    <t xml:space="preserve">          SU Facilities Renewal (Academic)</t>
  </si>
  <si>
    <t xml:space="preserve">          SU Emergency Projects (Academic)</t>
  </si>
  <si>
    <t xml:space="preserve">          TU Facilities Renewal (Academic)</t>
  </si>
  <si>
    <t xml:space="preserve">        TU 7800 York Road Renov (Academic)</t>
  </si>
  <si>
    <t xml:space="preserve">          UB Facilities Renewal (Academic)</t>
  </si>
  <si>
    <t xml:space="preserve">           Total Auxiliary Projects - 2003A</t>
  </si>
  <si>
    <t xml:space="preserve">     UMCP Health Center Addition (Auxiliary)</t>
  </si>
  <si>
    <t>UMCP South Campus Parking Garage (Auxiliary)</t>
  </si>
  <si>
    <t xml:space="preserve">      UMCP Stamp Student Union (Auxiliary)</t>
  </si>
  <si>
    <t xml:space="preserve">      UMCP North Campus Parking (Auxiliary)</t>
  </si>
  <si>
    <t xml:space="preserve">        UMB Pine Street Annex (Auxiliary)</t>
  </si>
  <si>
    <t xml:space="preserve">        UMB New Campus Center  (Auxiliary)</t>
  </si>
  <si>
    <t xml:space="preserve">      UMB Saratoga Street Garage  (Auxiliary)</t>
  </si>
  <si>
    <t xml:space="preserve">       UMES Murphy Hall Annex  (Auxiliary)</t>
  </si>
  <si>
    <t xml:space="preserve">       UMES New Residence Hall  (Auxiliary)</t>
  </si>
  <si>
    <t xml:space="preserve">     UMES Student Service Center  (Auxiliary)</t>
  </si>
  <si>
    <t xml:space="preserve">       UMBC New Parking Lot  (Auxiliary)</t>
  </si>
  <si>
    <t xml:space="preserve">    UMBC Resident Hall Renovation  (Auxiliary)</t>
  </si>
  <si>
    <t xml:space="preserve">  UMBC Dining Hall: HVAC Upgrade  (Auxiliary)</t>
  </si>
  <si>
    <t xml:space="preserve">  UMBC New Recreation &amp; Athletic (Auxiliary)</t>
  </si>
  <si>
    <t xml:space="preserve">  UMBC Housing Central Utility Plant (Auxiliary)</t>
  </si>
  <si>
    <t>USMO Land Acq/Shady Grove Parking(Auxiliary)</t>
  </si>
  <si>
    <t xml:space="preserve">              CSC New Dining Hall (Auxiliary)</t>
  </si>
  <si>
    <t xml:space="preserve">    TU Prettyman/Scarborough HVAC (Auxiliary)</t>
  </si>
  <si>
    <t xml:space="preserve">       TU Interim Fitness Center (Auxiliary)</t>
  </si>
  <si>
    <t xml:space="preserve">       TU 7800 York Road Garage (Auxiliary)</t>
  </si>
  <si>
    <t xml:space="preserve">          UB New Student Center (Auxiliary)</t>
  </si>
  <si>
    <t>Engineering/Applied Sciences Building</t>
  </si>
  <si>
    <t>Temporary Building #2/Pine Street Annex</t>
  </si>
  <si>
    <t>Par Amount</t>
  </si>
  <si>
    <t>Net Premium/OID</t>
  </si>
  <si>
    <t xml:space="preserve"> UMCP Engineering/Applied Sci Bldg (Academic)</t>
  </si>
  <si>
    <t>Shady Grove Parking Lot 2</t>
  </si>
  <si>
    <t xml:space="preserve">  USMO Shady Grove Parking Lot 2 (Auxiliary)</t>
  </si>
  <si>
    <t>22, 24th Acad</t>
  </si>
  <si>
    <t>Chemical/Nuclear Engineering</t>
  </si>
  <si>
    <t>15,17,18,19,20,21,22,24 Acad</t>
  </si>
  <si>
    <t>18,19,20,21,22, 24th Acad</t>
  </si>
  <si>
    <t>19,21,22th Acad</t>
  </si>
  <si>
    <t>USM</t>
  </si>
  <si>
    <t>15, 19th Acad</t>
  </si>
  <si>
    <t>21, 22th Aux</t>
  </si>
  <si>
    <t>21,22,24th Aux</t>
  </si>
  <si>
    <t>18,21,22,24th Acad</t>
  </si>
  <si>
    <t>19,20,21,22,24th Acad</t>
  </si>
  <si>
    <t>cost of issue</t>
  </si>
  <si>
    <t>disbursement</t>
  </si>
  <si>
    <t>pay debt service from earning</t>
  </si>
  <si>
    <t>Interest Earning in FY04</t>
  </si>
  <si>
    <t>Interest Earning in FY05</t>
  </si>
  <si>
    <t>Different</t>
  </si>
  <si>
    <t>Different transfer from 2003B</t>
  </si>
  <si>
    <t>Different transfer from 2004B</t>
  </si>
  <si>
    <t xml:space="preserve">       UMCP Chemical/Nuclear Eng (Academic)</t>
  </si>
  <si>
    <t xml:space="preserve">       USM Emergency Projects (Academic)</t>
  </si>
  <si>
    <t xml:space="preserve">   UMCP Queen Anne's Hall Renov (Auxiliary)</t>
  </si>
  <si>
    <t>17,18,19th Acad</t>
  </si>
  <si>
    <t>Amort of</t>
  </si>
  <si>
    <t>Premium</t>
  </si>
  <si>
    <t>Loss on Refunding</t>
  </si>
  <si>
    <t xml:space="preserve">                University System of Maryland</t>
  </si>
  <si>
    <t xml:space="preserve">            2003 Series A Bond Funded Projects</t>
  </si>
  <si>
    <t xml:space="preserve">Amort of </t>
  </si>
  <si>
    <t xml:space="preserve">  USM (Paid off by UMUC) (Auxiliary)</t>
  </si>
  <si>
    <t>Distribution of Debt Services after 2010C Bond Issue</t>
  </si>
  <si>
    <t>Revised 2003A debt after 2010C</t>
  </si>
  <si>
    <t>2003A Refinanced on 2010C</t>
  </si>
  <si>
    <t>Distribution of Debt Services after 2011B Bond Issue</t>
  </si>
  <si>
    <t>Revised 2003A debt after 2011B</t>
  </si>
  <si>
    <t>2003A Refinanced on 2011B</t>
  </si>
  <si>
    <t>Gain on Refunding</t>
  </si>
  <si>
    <t>Revised 2003A debt after 2021A</t>
  </si>
  <si>
    <t>Distribution of Debt Services after 2021A Bond Issue</t>
  </si>
  <si>
    <t>2003A Refinanced on 2021A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</si>
</sst>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  <numFmt numFmtId="175" formatCode="0.000%"/>
    <numFmt numFmtId="176" formatCode="#,##0.0_);[Red]\(#,##0.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2" xfId="0" applyNumberFormat="1" applyBorder="1" applyAlignment="1">
      <alignment horizontal="right"/>
    </xf>
    <xf numFmtId="40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right"/>
    </xf>
    <xf numFmtId="172" fontId="0" fillId="0" borderId="12" xfId="0" applyNumberFormat="1" applyBorder="1" applyAlignment="1">
      <alignment/>
    </xf>
    <xf numFmtId="172" fontId="0" fillId="0" borderId="12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172" fontId="0" fillId="0" borderId="13" xfId="0" applyNumberFormat="1" applyBorder="1" applyAlignment="1">
      <alignment/>
    </xf>
    <xf numFmtId="0" fontId="0" fillId="0" borderId="0" xfId="0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4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7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40" fontId="0" fillId="0" borderId="0" xfId="0" applyNumberFormat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0" xfId="0" applyNumberFormat="1" applyBorder="1" applyAlignment="1" quotePrefix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9" xfId="0" applyNumberFormat="1" applyBorder="1" applyAlignment="1">
      <alignment horizontal="center"/>
    </xf>
    <xf numFmtId="172" fontId="0" fillId="0" borderId="10" xfId="0" applyNumberFormat="1" applyBorder="1" applyAlignment="1" quotePrefix="1">
      <alignment horizontal="left"/>
    </xf>
    <xf numFmtId="172" fontId="0" fillId="0" borderId="16" xfId="0" applyNumberFormat="1" applyBorder="1" applyAlignment="1">
      <alignment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left"/>
    </xf>
    <xf numFmtId="172" fontId="0" fillId="0" borderId="14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38" fontId="0" fillId="0" borderId="13" xfId="0" applyNumberFormat="1" applyBorder="1" applyAlignment="1">
      <alignment/>
    </xf>
    <xf numFmtId="172" fontId="0" fillId="0" borderId="20" xfId="0" applyNumberFormat="1" applyBorder="1" applyAlignment="1">
      <alignment/>
    </xf>
    <xf numFmtId="175" fontId="0" fillId="0" borderId="15" xfId="0" applyNumberFormat="1" applyBorder="1" applyAlignment="1">
      <alignment horizontal="center"/>
    </xf>
    <xf numFmtId="38" fontId="0" fillId="0" borderId="10" xfId="0" applyNumberFormat="1" applyBorder="1" applyAlignment="1">
      <alignment horizontal="left"/>
    </xf>
    <xf numFmtId="38" fontId="0" fillId="0" borderId="19" xfId="0" applyNumberFormat="1" applyBorder="1" applyAlignment="1">
      <alignment horizontal="right"/>
    </xf>
    <xf numFmtId="38" fontId="0" fillId="0" borderId="19" xfId="0" applyNumberFormat="1" applyBorder="1" applyAlignment="1">
      <alignment horizontal="center"/>
    </xf>
    <xf numFmtId="40" fontId="0" fillId="0" borderId="0" xfId="0" applyNumberFormat="1" applyBorder="1" applyAlignment="1">
      <alignment horizontal="left"/>
    </xf>
    <xf numFmtId="172" fontId="0" fillId="0" borderId="0" xfId="0" applyNumberFormat="1" applyAlignment="1">
      <alignment horizontal="right"/>
    </xf>
    <xf numFmtId="172" fontId="0" fillId="0" borderId="21" xfId="0" applyNumberFormat="1" applyBorder="1" applyAlignment="1">
      <alignment/>
    </xf>
    <xf numFmtId="175" fontId="0" fillId="0" borderId="0" xfId="0" applyNumberFormat="1" applyBorder="1" applyAlignment="1">
      <alignment/>
    </xf>
    <xf numFmtId="38" fontId="0" fillId="0" borderId="20" xfId="0" applyNumberFormat="1" applyBorder="1" applyAlignment="1">
      <alignment/>
    </xf>
    <xf numFmtId="38" fontId="0" fillId="33" borderId="10" xfId="0" applyNumberFormat="1" applyFill="1" applyBorder="1" applyAlignment="1">
      <alignment horizontal="centerContinuous"/>
    </xf>
    <xf numFmtId="38" fontId="0" fillId="33" borderId="15" xfId="0" applyNumberFormat="1" applyFill="1" applyBorder="1" applyAlignment="1">
      <alignment horizontal="centerContinuous"/>
    </xf>
    <xf numFmtId="38" fontId="0" fillId="33" borderId="16" xfId="0" applyNumberFormat="1" applyFill="1" applyBorder="1" applyAlignment="1">
      <alignment horizontal="centerContinuous"/>
    </xf>
    <xf numFmtId="38" fontId="0" fillId="0" borderId="10" xfId="0" applyNumberFormat="1" applyBorder="1" applyAlignment="1">
      <alignment horizontal="centerContinuous"/>
    </xf>
    <xf numFmtId="38" fontId="0" fillId="0" borderId="15" xfId="0" applyNumberFormat="1" applyBorder="1" applyAlignment="1">
      <alignment horizontal="centerContinuous"/>
    </xf>
    <xf numFmtId="38" fontId="0" fillId="0" borderId="16" xfId="0" applyNumberFormat="1" applyBorder="1" applyAlignment="1">
      <alignment horizontal="centerContinuous"/>
    </xf>
    <xf numFmtId="38" fontId="0" fillId="33" borderId="10" xfId="0" applyNumberFormat="1" applyFill="1" applyBorder="1" applyAlignment="1">
      <alignment horizontal="left"/>
    </xf>
    <xf numFmtId="41" fontId="0" fillId="0" borderId="0" xfId="0" applyNumberFormat="1" applyAlignment="1">
      <alignment horizontal="right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0" xfId="0" applyNumberFormat="1" applyBorder="1" applyAlignment="1">
      <alignment horizontal="right"/>
    </xf>
    <xf numFmtId="41" fontId="0" fillId="0" borderId="20" xfId="0" applyNumberFormat="1" applyBorder="1" applyAlignment="1">
      <alignment horizontal="right"/>
    </xf>
    <xf numFmtId="3" fontId="1" fillId="0" borderId="10" xfId="0" applyNumberFormat="1" applyFont="1" applyBorder="1" applyAlignment="1" quotePrefix="1">
      <alignment horizontal="left"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8" fontId="1" fillId="0" borderId="18" xfId="0" applyNumberFormat="1" applyFont="1" applyBorder="1" applyAlignment="1">
      <alignment horizontal="center"/>
    </xf>
    <xf numFmtId="172" fontId="1" fillId="0" borderId="10" xfId="0" applyNumberFormat="1" applyFont="1" applyBorder="1" applyAlignment="1" quotePrefix="1">
      <alignment horizontal="left"/>
    </xf>
    <xf numFmtId="172" fontId="1" fillId="0" borderId="15" xfId="0" applyNumberFormat="1" applyFont="1" applyBorder="1" applyAlignment="1">
      <alignment/>
    </xf>
    <xf numFmtId="172" fontId="1" fillId="0" borderId="16" xfId="0" applyNumberFormat="1" applyFont="1" applyBorder="1" applyAlignment="1">
      <alignment/>
    </xf>
    <xf numFmtId="3" fontId="1" fillId="0" borderId="18" xfId="0" applyNumberFormat="1" applyFont="1" applyBorder="1" applyAlignment="1">
      <alignment horizontal="center"/>
    </xf>
    <xf numFmtId="4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1" fontId="1" fillId="0" borderId="0" xfId="0" applyNumberFormat="1" applyFont="1" applyAlignment="1">
      <alignment horizontal="right"/>
    </xf>
    <xf numFmtId="38" fontId="1" fillId="0" borderId="0" xfId="0" applyNumberFormat="1" applyFont="1" applyAlignment="1">
      <alignment/>
    </xf>
    <xf numFmtId="38" fontId="1" fillId="0" borderId="0" xfId="0" applyNumberFormat="1" applyFont="1" applyBorder="1" applyAlignment="1">
      <alignment horizontal="right"/>
    </xf>
    <xf numFmtId="38" fontId="1" fillId="0" borderId="20" xfId="0" applyNumberFormat="1" applyFont="1" applyBorder="1" applyAlignment="1">
      <alignment horizontal="right"/>
    </xf>
    <xf numFmtId="38" fontId="0" fillId="0" borderId="17" xfId="0" applyNumberFormat="1" applyBorder="1" applyAlignment="1">
      <alignment horizontal="center"/>
    </xf>
    <xf numFmtId="38" fontId="42" fillId="0" borderId="18" xfId="0" applyNumberFormat="1" applyFont="1" applyBorder="1" applyAlignment="1">
      <alignment horizontal="center"/>
    </xf>
    <xf numFmtId="38" fontId="42" fillId="0" borderId="17" xfId="0" applyNumberFormat="1" applyFont="1" applyBorder="1" applyAlignment="1">
      <alignment horizontal="center"/>
    </xf>
    <xf numFmtId="38" fontId="0" fillId="0" borderId="0" xfId="0" applyNumberFormat="1" applyFont="1" applyAlignment="1">
      <alignment horizontal="left"/>
    </xf>
    <xf numFmtId="38" fontId="0" fillId="33" borderId="10" xfId="0" applyNumberFormat="1" applyFont="1" applyFill="1" applyBorder="1" applyAlignment="1">
      <alignment horizontal="centerContinuous"/>
    </xf>
    <xf numFmtId="38" fontId="0" fillId="0" borderId="10" xfId="0" applyNumberFormat="1" applyFont="1" applyBorder="1" applyAlignment="1">
      <alignment horizontal="centerContinuous"/>
    </xf>
    <xf numFmtId="38" fontId="0" fillId="33" borderId="10" xfId="0" applyNumberFormat="1" applyFont="1" applyFill="1" applyBorder="1" applyAlignment="1">
      <alignment horizontal="left"/>
    </xf>
    <xf numFmtId="38" fontId="43" fillId="0" borderId="18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57"/>
  <sheetViews>
    <sheetView tabSelected="1"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9" sqref="C19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3" customWidth="1"/>
    <col min="7" max="7" width="16.28125" style="33" customWidth="1"/>
    <col min="8" max="8" width="3.7109375" style="33" customWidth="1"/>
    <col min="9" max="12" width="13.7109375" style="33" customWidth="1"/>
    <col min="13" max="13" width="16.00390625" style="33" customWidth="1"/>
    <col min="14" max="14" width="3.7109375" style="33" customWidth="1"/>
    <col min="15" max="18" width="13.7109375" style="0" customWidth="1"/>
    <col min="19" max="19" width="15.7109375" style="0" customWidth="1"/>
    <col min="20" max="20" width="3.7109375" style="33" customWidth="1"/>
    <col min="21" max="24" width="13.7109375" style="0" customWidth="1"/>
    <col min="25" max="25" width="15.00390625" style="0" customWidth="1"/>
    <col min="26" max="26" width="3.7109375" style="0" customWidth="1"/>
    <col min="27" max="31" width="13.7109375" style="0" customWidth="1"/>
    <col min="32" max="32" width="3.7109375" style="0" customWidth="1"/>
    <col min="33" max="37" width="13.7109375" style="0" customWidth="1"/>
    <col min="38" max="38" width="3.7109375" style="0" customWidth="1"/>
    <col min="39" max="43" width="13.7109375" style="0" customWidth="1"/>
    <col min="44" max="44" width="3.7109375" style="20" customWidth="1"/>
    <col min="45" max="49" width="13.7109375" style="20" customWidth="1"/>
    <col min="50" max="50" width="3.7109375" style="20" customWidth="1"/>
    <col min="51" max="55" width="13.7109375" style="20" customWidth="1"/>
    <col min="56" max="56" width="3.7109375" style="20" customWidth="1"/>
    <col min="57" max="61" width="13.7109375" style="20" customWidth="1"/>
    <col min="62" max="62" width="3.7109375" style="20" customWidth="1"/>
    <col min="63" max="67" width="13.7109375" style="20" customWidth="1"/>
    <col min="68" max="68" width="3.7109375" style="20" customWidth="1"/>
    <col min="69" max="73" width="13.7109375" style="20" customWidth="1"/>
    <col min="74" max="74" width="3.7109375" style="20" customWidth="1"/>
    <col min="75" max="79" width="13.7109375" style="20" customWidth="1"/>
    <col min="80" max="80" width="3.7109375" style="20" customWidth="1"/>
    <col min="81" max="85" width="13.7109375" style="20" customWidth="1"/>
    <col min="86" max="86" width="3.7109375" style="20" customWidth="1"/>
    <col min="87" max="91" width="13.7109375" style="20" customWidth="1"/>
    <col min="92" max="92" width="3.7109375" style="20" customWidth="1"/>
    <col min="93" max="97" width="13.7109375" style="20" customWidth="1"/>
    <col min="98" max="98" width="3.7109375" style="20" customWidth="1"/>
    <col min="99" max="103" width="13.7109375" style="20" customWidth="1"/>
    <col min="104" max="104" width="3.7109375" style="20" customWidth="1"/>
    <col min="105" max="109" width="13.7109375" style="20" customWidth="1"/>
    <col min="110" max="110" width="3.7109375" style="20" customWidth="1"/>
    <col min="111" max="115" width="13.7109375" style="20" customWidth="1"/>
    <col min="116" max="116" width="3.7109375" style="20" customWidth="1"/>
    <col min="117" max="121" width="13.7109375" style="91" customWidth="1"/>
    <col min="122" max="122" width="3.7109375" style="20" customWidth="1"/>
    <col min="123" max="127" width="13.7109375" style="20" customWidth="1"/>
    <col min="128" max="128" width="3.7109375" style="20" customWidth="1"/>
    <col min="129" max="133" width="13.7109375" style="20" customWidth="1"/>
    <col min="134" max="134" width="3.7109375" style="20" customWidth="1"/>
    <col min="135" max="139" width="13.7109375" style="20" customWidth="1"/>
    <col min="140" max="140" width="3.7109375" style="20" customWidth="1"/>
    <col min="141" max="145" width="13.7109375" style="20" customWidth="1"/>
    <col min="146" max="146" width="3.7109375" style="20" customWidth="1"/>
    <col min="147" max="151" width="13.7109375" style="20" customWidth="1"/>
    <col min="152" max="152" width="3.7109375" style="20" customWidth="1"/>
    <col min="153" max="157" width="13.7109375" style="20" customWidth="1"/>
    <col min="158" max="158" width="3.7109375" style="20" customWidth="1"/>
    <col min="159" max="163" width="13.7109375" style="20" customWidth="1"/>
    <col min="164" max="164" width="3.7109375" style="20" customWidth="1"/>
    <col min="165" max="168" width="13.7109375" style="20" customWidth="1"/>
  </cols>
  <sheetData>
    <row r="1" spans="1:168" ht="12.75">
      <c r="A1" s="44"/>
      <c r="B1" s="30"/>
      <c r="C1" s="43"/>
      <c r="D1" s="45"/>
      <c r="E1" s="45" t="s">
        <v>171</v>
      </c>
      <c r="G1" s="45"/>
      <c r="H1" s="45"/>
      <c r="I1" s="36"/>
      <c r="K1" s="45"/>
      <c r="O1" s="45" t="s">
        <v>171</v>
      </c>
      <c r="P1" s="33"/>
      <c r="Q1" s="33"/>
      <c r="R1" s="33"/>
      <c r="S1" s="33"/>
      <c r="U1" s="33"/>
      <c r="V1" s="33"/>
      <c r="W1" s="45"/>
      <c r="X1" s="33"/>
      <c r="Y1" s="33"/>
      <c r="Z1" s="33"/>
      <c r="AA1" s="45" t="s">
        <v>171</v>
      </c>
      <c r="AB1" s="33"/>
      <c r="AC1" s="33"/>
      <c r="AD1" s="33"/>
      <c r="AH1" s="33"/>
      <c r="AI1" s="45"/>
      <c r="AM1" s="45" t="s">
        <v>171</v>
      </c>
      <c r="AR1"/>
      <c r="AS1"/>
      <c r="AT1"/>
      <c r="AU1" s="45"/>
      <c r="AV1"/>
      <c r="AW1"/>
      <c r="AY1" s="45" t="s">
        <v>171</v>
      </c>
      <c r="BG1" s="45"/>
      <c r="BK1" s="45" t="s">
        <v>171</v>
      </c>
      <c r="BS1" s="45"/>
      <c r="BW1" s="45" t="s">
        <v>171</v>
      </c>
      <c r="CE1" s="45"/>
      <c r="CI1" s="45" t="s">
        <v>171</v>
      </c>
      <c r="CQ1" s="45"/>
      <c r="CU1" s="45" t="s">
        <v>171</v>
      </c>
      <c r="DC1" s="45"/>
      <c r="DG1" s="45" t="s">
        <v>171</v>
      </c>
      <c r="DM1" s="20"/>
      <c r="DN1" s="20"/>
      <c r="DO1" s="45"/>
      <c r="DP1" s="20"/>
      <c r="DQ1" s="20"/>
      <c r="DS1" s="45" t="s">
        <v>171</v>
      </c>
      <c r="EA1" s="45"/>
      <c r="ED1" s="45" t="s">
        <v>171</v>
      </c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</row>
    <row r="2" spans="1:168" ht="12.75">
      <c r="A2" s="44"/>
      <c r="B2" s="30"/>
      <c r="C2" s="43"/>
      <c r="D2" s="45"/>
      <c r="E2" s="43" t="s">
        <v>175</v>
      </c>
      <c r="G2" s="45"/>
      <c r="H2" s="45"/>
      <c r="I2" s="36"/>
      <c r="K2" s="45"/>
      <c r="O2" s="43" t="str">
        <f>E2</f>
        <v>Distribution of Debt Services after 2010C Bond Issue</v>
      </c>
      <c r="P2" s="33"/>
      <c r="Q2" s="33"/>
      <c r="R2" s="33"/>
      <c r="S2" s="33"/>
      <c r="U2" s="33"/>
      <c r="V2" s="33"/>
      <c r="W2" s="45"/>
      <c r="X2" s="33"/>
      <c r="Y2" s="33"/>
      <c r="Z2" s="33"/>
      <c r="AA2" s="43" t="str">
        <f>O2</f>
        <v>Distribution of Debt Services after 2010C Bond Issue</v>
      </c>
      <c r="AB2" s="33"/>
      <c r="AC2" s="33"/>
      <c r="AD2" s="33"/>
      <c r="AH2" s="33"/>
      <c r="AI2" s="45"/>
      <c r="AM2" s="43" t="str">
        <f>AA2</f>
        <v>Distribution of Debt Services after 2010C Bond Issue</v>
      </c>
      <c r="AR2"/>
      <c r="AS2"/>
      <c r="AT2"/>
      <c r="AU2" s="45"/>
      <c r="AV2"/>
      <c r="AW2"/>
      <c r="AY2" s="43" t="str">
        <f>AM2</f>
        <v>Distribution of Debt Services after 2010C Bond Issue</v>
      </c>
      <c r="BG2" s="45"/>
      <c r="BK2" s="43" t="str">
        <f>AY2</f>
        <v>Distribution of Debt Services after 2010C Bond Issue</v>
      </c>
      <c r="BS2" s="45"/>
      <c r="BW2" s="43" t="str">
        <f>BK2</f>
        <v>Distribution of Debt Services after 2010C Bond Issue</v>
      </c>
      <c r="CE2" s="45"/>
      <c r="CI2" s="43" t="str">
        <f>BW2</f>
        <v>Distribution of Debt Services after 2010C Bond Issue</v>
      </c>
      <c r="CQ2" s="45"/>
      <c r="CU2" s="43" t="str">
        <f>CI2</f>
        <v>Distribution of Debt Services after 2010C Bond Issue</v>
      </c>
      <c r="DC2" s="45"/>
      <c r="DG2" s="43" t="str">
        <f>CU2</f>
        <v>Distribution of Debt Services after 2010C Bond Issue</v>
      </c>
      <c r="DM2" s="20"/>
      <c r="DN2" s="20"/>
      <c r="DO2" s="45"/>
      <c r="DP2" s="20"/>
      <c r="DQ2" s="20"/>
      <c r="DS2" s="43" t="str">
        <f>DG2</f>
        <v>Distribution of Debt Services after 2010C Bond Issue</v>
      </c>
      <c r="EA2" s="45"/>
      <c r="ED2" s="43" t="str">
        <f>DS2</f>
        <v>Distribution of Debt Services after 2010C Bond Issue</v>
      </c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</row>
    <row r="3" spans="1:168" ht="12.75">
      <c r="A3" s="44"/>
      <c r="B3" s="30"/>
      <c r="C3" s="43"/>
      <c r="D3" s="43"/>
      <c r="E3" s="45" t="s">
        <v>172</v>
      </c>
      <c r="G3" s="43"/>
      <c r="H3" s="43"/>
      <c r="I3" s="36"/>
      <c r="K3" s="45"/>
      <c r="O3" s="45" t="s">
        <v>172</v>
      </c>
      <c r="P3" s="33"/>
      <c r="Q3" s="33"/>
      <c r="R3" s="33"/>
      <c r="S3" s="33"/>
      <c r="U3" s="33"/>
      <c r="V3" s="33"/>
      <c r="W3" s="45"/>
      <c r="X3" s="33"/>
      <c r="Y3" s="33"/>
      <c r="Z3" s="33"/>
      <c r="AA3" s="45" t="s">
        <v>172</v>
      </c>
      <c r="AB3" s="33"/>
      <c r="AC3" s="33"/>
      <c r="AD3" s="33"/>
      <c r="AF3" s="12"/>
      <c r="AH3" s="33"/>
      <c r="AI3" s="45"/>
      <c r="AM3" s="45" t="s">
        <v>172</v>
      </c>
      <c r="AR3"/>
      <c r="AS3"/>
      <c r="AT3"/>
      <c r="AU3" s="45"/>
      <c r="AV3"/>
      <c r="AW3"/>
      <c r="AY3" s="45" t="s">
        <v>172</v>
      </c>
      <c r="BG3" s="45"/>
      <c r="BK3" s="45" t="s">
        <v>172</v>
      </c>
      <c r="BS3" s="45"/>
      <c r="BW3" s="45" t="s">
        <v>172</v>
      </c>
      <c r="CE3" s="45"/>
      <c r="CI3" s="45" t="s">
        <v>172</v>
      </c>
      <c r="CQ3" s="45"/>
      <c r="CU3" s="45" t="s">
        <v>172</v>
      </c>
      <c r="DC3" s="45"/>
      <c r="DG3" s="45" t="s">
        <v>172</v>
      </c>
      <c r="DM3" s="20"/>
      <c r="DN3" s="20"/>
      <c r="DO3" s="45"/>
      <c r="DP3" s="20"/>
      <c r="DQ3" s="20"/>
      <c r="DS3" s="45" t="s">
        <v>172</v>
      </c>
      <c r="EA3" s="45"/>
      <c r="ED3" s="45" t="s">
        <v>172</v>
      </c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</row>
    <row r="4" spans="1:165" ht="12.75">
      <c r="A4" s="44"/>
      <c r="B4" s="30"/>
      <c r="FI4" s="21"/>
    </row>
    <row r="5" spans="1:169" ht="12.75">
      <c r="A5" s="22" t="s">
        <v>9</v>
      </c>
      <c r="C5" s="70" t="s">
        <v>176</v>
      </c>
      <c r="D5" s="71"/>
      <c r="E5" s="72"/>
      <c r="F5" s="41"/>
      <c r="G5" s="41"/>
      <c r="I5" s="37" t="s">
        <v>85</v>
      </c>
      <c r="J5" s="38"/>
      <c r="K5" s="39"/>
      <c r="L5" s="41"/>
      <c r="M5" s="41"/>
      <c r="O5" s="37" t="s">
        <v>116</v>
      </c>
      <c r="P5" s="38"/>
      <c r="Q5" s="39"/>
      <c r="R5" s="41"/>
      <c r="S5" s="41"/>
      <c r="U5" s="23" t="s">
        <v>117</v>
      </c>
      <c r="V5" s="24"/>
      <c r="W5" s="25"/>
      <c r="X5" s="41"/>
      <c r="Y5" s="41"/>
      <c r="AA5" s="23" t="s">
        <v>166</v>
      </c>
      <c r="AB5" s="24"/>
      <c r="AC5" s="25"/>
      <c r="AD5" s="41"/>
      <c r="AE5" s="41"/>
      <c r="AG5" s="23" t="s">
        <v>118</v>
      </c>
      <c r="AH5" s="24"/>
      <c r="AI5" s="25"/>
      <c r="AJ5" s="41"/>
      <c r="AK5" s="41"/>
      <c r="AM5" s="23" t="s">
        <v>119</v>
      </c>
      <c r="AN5" s="24"/>
      <c r="AO5" s="25"/>
      <c r="AP5" s="41"/>
      <c r="AQ5" s="41"/>
      <c r="AS5" s="23" t="s">
        <v>120</v>
      </c>
      <c r="AT5" s="24"/>
      <c r="AU5" s="25"/>
      <c r="AV5" s="41"/>
      <c r="AW5" s="41"/>
      <c r="AY5" s="23" t="s">
        <v>121</v>
      </c>
      <c r="AZ5" s="24"/>
      <c r="BA5" s="25"/>
      <c r="BB5" s="41"/>
      <c r="BC5" s="41"/>
      <c r="BE5" s="23" t="s">
        <v>122</v>
      </c>
      <c r="BF5" s="24"/>
      <c r="BG5" s="25"/>
      <c r="BH5" s="41"/>
      <c r="BI5" s="41"/>
      <c r="BK5" s="23" t="s">
        <v>123</v>
      </c>
      <c r="BL5" s="24"/>
      <c r="BM5" s="25"/>
      <c r="BN5" s="41"/>
      <c r="BO5" s="41"/>
      <c r="BQ5" s="23" t="s">
        <v>124</v>
      </c>
      <c r="BR5" s="24"/>
      <c r="BS5" s="25"/>
      <c r="BT5" s="41"/>
      <c r="BU5" s="41"/>
      <c r="BW5" s="23" t="s">
        <v>125</v>
      </c>
      <c r="BX5" s="24"/>
      <c r="BY5" s="25"/>
      <c r="BZ5" s="41"/>
      <c r="CA5" s="41"/>
      <c r="CC5" s="23" t="s">
        <v>126</v>
      </c>
      <c r="CD5" s="24"/>
      <c r="CE5" s="25"/>
      <c r="CF5" s="41"/>
      <c r="CG5" s="41"/>
      <c r="CI5" s="23" t="s">
        <v>127</v>
      </c>
      <c r="CJ5" s="24"/>
      <c r="CK5" s="25"/>
      <c r="CL5" s="41"/>
      <c r="CM5" s="41"/>
      <c r="CO5" s="23" t="s">
        <v>128</v>
      </c>
      <c r="CP5" s="24"/>
      <c r="CQ5" s="25"/>
      <c r="CR5" s="41"/>
      <c r="CS5" s="41"/>
      <c r="CU5" s="23" t="s">
        <v>129</v>
      </c>
      <c r="CV5" s="24"/>
      <c r="CW5" s="25"/>
      <c r="CX5" s="41"/>
      <c r="CY5" s="41"/>
      <c r="DA5" s="23" t="s">
        <v>130</v>
      </c>
      <c r="DB5" s="24"/>
      <c r="DC5" s="25"/>
      <c r="DD5" s="41"/>
      <c r="DE5" s="41"/>
      <c r="DG5" s="23" t="s">
        <v>131</v>
      </c>
      <c r="DH5" s="24"/>
      <c r="DI5" s="25"/>
      <c r="DJ5" s="41"/>
      <c r="DK5" s="41"/>
      <c r="DM5" s="82" t="s">
        <v>174</v>
      </c>
      <c r="DN5" s="83"/>
      <c r="DO5" s="84"/>
      <c r="DP5" s="85"/>
      <c r="DQ5" s="85"/>
      <c r="DS5" s="56" t="s">
        <v>144</v>
      </c>
      <c r="DT5" s="24"/>
      <c r="DU5" s="25"/>
      <c r="DV5" s="41"/>
      <c r="DW5" s="41"/>
      <c r="DY5" s="56" t="s">
        <v>132</v>
      </c>
      <c r="DZ5" s="24"/>
      <c r="EA5" s="25"/>
      <c r="EB5" s="41"/>
      <c r="EC5" s="41"/>
      <c r="EE5" s="56" t="s">
        <v>133</v>
      </c>
      <c r="EF5" s="24"/>
      <c r="EG5" s="25"/>
      <c r="EH5" s="41"/>
      <c r="EI5" s="41"/>
      <c r="EK5" s="56" t="s">
        <v>134</v>
      </c>
      <c r="EL5" s="24"/>
      <c r="EM5" s="25"/>
      <c r="EN5" s="41"/>
      <c r="EO5" s="41"/>
      <c r="EQ5" s="56" t="s">
        <v>135</v>
      </c>
      <c r="ER5" s="24"/>
      <c r="ES5" s="25"/>
      <c r="ET5" s="41"/>
      <c r="EU5" s="41"/>
      <c r="EW5" s="56" t="s">
        <v>136</v>
      </c>
      <c r="EX5" s="24"/>
      <c r="EY5" s="25"/>
      <c r="EZ5" s="41"/>
      <c r="FA5" s="41"/>
      <c r="FC5" s="56" t="s">
        <v>137</v>
      </c>
      <c r="FD5" s="24"/>
      <c r="FE5" s="25"/>
      <c r="FF5" s="41"/>
      <c r="FG5" s="41"/>
      <c r="FI5" s="56" t="s">
        <v>14</v>
      </c>
      <c r="FJ5" s="24"/>
      <c r="FK5" s="25"/>
      <c r="FL5" s="41"/>
      <c r="FM5" s="41"/>
    </row>
    <row r="6" spans="1:169" s="12" customFormat="1" ht="12.75">
      <c r="A6" s="46" t="s">
        <v>10</v>
      </c>
      <c r="C6" s="73" t="s">
        <v>177</v>
      </c>
      <c r="D6" s="74"/>
      <c r="E6" s="75"/>
      <c r="F6" s="41" t="s">
        <v>168</v>
      </c>
      <c r="G6" s="41" t="s">
        <v>173</v>
      </c>
      <c r="H6" s="33"/>
      <c r="I6" s="40"/>
      <c r="J6" s="67">
        <v>0.5428259</v>
      </c>
      <c r="K6" s="39"/>
      <c r="L6" s="41" t="s">
        <v>168</v>
      </c>
      <c r="M6" s="41" t="s">
        <v>173</v>
      </c>
      <c r="N6" s="33"/>
      <c r="O6" s="40"/>
      <c r="P6" s="53">
        <f>V6+AB6+AH6+AN6+AT6+AZ6+BF6+BL6+BR6+BX6+CD6+CJ6+CP6+CV6+DB6+DH6+DN6+DT6+DZ6+EF6+EL6+ER6+EX6+FD6</f>
        <v>0.4571741000000001</v>
      </c>
      <c r="Q6" s="39"/>
      <c r="R6" s="41" t="s">
        <v>168</v>
      </c>
      <c r="S6" s="41" t="s">
        <v>173</v>
      </c>
      <c r="T6" s="33"/>
      <c r="U6" s="47"/>
      <c r="V6" s="32">
        <v>0.081724</v>
      </c>
      <c r="W6" s="48"/>
      <c r="X6" s="41" t="s">
        <v>168</v>
      </c>
      <c r="Y6" s="41" t="s">
        <v>173</v>
      </c>
      <c r="AA6" s="47"/>
      <c r="AB6" s="32">
        <v>0.0595646</v>
      </c>
      <c r="AC6" s="48"/>
      <c r="AD6" s="41" t="s">
        <v>168</v>
      </c>
      <c r="AE6" s="41" t="s">
        <v>173</v>
      </c>
      <c r="AG6" s="47"/>
      <c r="AH6" s="32">
        <v>0.0315804</v>
      </c>
      <c r="AI6" s="48"/>
      <c r="AJ6" s="41" t="s">
        <v>168</v>
      </c>
      <c r="AK6" s="41" t="s">
        <v>173</v>
      </c>
      <c r="AM6" s="47"/>
      <c r="AN6" s="32">
        <v>0.022968</v>
      </c>
      <c r="AO6" s="48"/>
      <c r="AP6" s="41" t="s">
        <v>168</v>
      </c>
      <c r="AQ6" s="41" t="s">
        <v>173</v>
      </c>
      <c r="AS6" s="47"/>
      <c r="AT6" s="32">
        <v>0.0026309</v>
      </c>
      <c r="AU6" s="48"/>
      <c r="AV6" s="41" t="s">
        <v>168</v>
      </c>
      <c r="AW6" s="41" t="s">
        <v>173</v>
      </c>
      <c r="AY6" s="47"/>
      <c r="AZ6" s="32">
        <v>0.0416229</v>
      </c>
      <c r="BA6" s="48"/>
      <c r="BB6" s="41" t="s">
        <v>168</v>
      </c>
      <c r="BC6" s="41" t="s">
        <v>173</v>
      </c>
      <c r="BE6" s="47"/>
      <c r="BF6" s="32">
        <v>0.0045121</v>
      </c>
      <c r="BG6" s="48"/>
      <c r="BH6" s="41" t="s">
        <v>168</v>
      </c>
      <c r="BI6" s="41" t="s">
        <v>173</v>
      </c>
      <c r="BK6" s="47"/>
      <c r="BL6" s="32">
        <v>0.0141147</v>
      </c>
      <c r="BM6" s="48"/>
      <c r="BN6" s="41" t="s">
        <v>168</v>
      </c>
      <c r="BO6" s="41" t="s">
        <v>173</v>
      </c>
      <c r="BQ6" s="47"/>
      <c r="BR6" s="32">
        <v>0.0071579</v>
      </c>
      <c r="BS6" s="48"/>
      <c r="BT6" s="41" t="s">
        <v>168</v>
      </c>
      <c r="BU6" s="41" t="s">
        <v>173</v>
      </c>
      <c r="BW6" s="47"/>
      <c r="BX6" s="32">
        <v>0.0013901</v>
      </c>
      <c r="BY6" s="48"/>
      <c r="BZ6" s="41" t="s">
        <v>168</v>
      </c>
      <c r="CA6" s="41" t="s">
        <v>173</v>
      </c>
      <c r="CC6" s="47"/>
      <c r="CD6" s="32">
        <v>0.0055234</v>
      </c>
      <c r="CE6" s="48"/>
      <c r="CF6" s="41" t="s">
        <v>168</v>
      </c>
      <c r="CG6" s="41" t="s">
        <v>173</v>
      </c>
      <c r="CI6" s="47"/>
      <c r="CJ6" s="32">
        <v>0.0134713</v>
      </c>
      <c r="CK6" s="48"/>
      <c r="CL6" s="41" t="s">
        <v>168</v>
      </c>
      <c r="CM6" s="41" t="s">
        <v>173</v>
      </c>
      <c r="CO6" s="47"/>
      <c r="CP6" s="32">
        <v>0.0301524</v>
      </c>
      <c r="CQ6" s="48"/>
      <c r="CR6" s="41" t="s">
        <v>168</v>
      </c>
      <c r="CS6" s="41" t="s">
        <v>173</v>
      </c>
      <c r="CU6" s="47"/>
      <c r="CV6" s="32">
        <v>0.0045619</v>
      </c>
      <c r="CW6" s="48"/>
      <c r="CX6" s="41" t="s">
        <v>168</v>
      </c>
      <c r="CY6" s="41" t="s">
        <v>173</v>
      </c>
      <c r="DA6" s="47"/>
      <c r="DB6" s="32">
        <v>0.0131079</v>
      </c>
      <c r="DC6" s="48"/>
      <c r="DD6" s="41" t="s">
        <v>168</v>
      </c>
      <c r="DE6" s="41" t="s">
        <v>173</v>
      </c>
      <c r="DG6" s="47"/>
      <c r="DH6" s="32">
        <v>0.0005051</v>
      </c>
      <c r="DI6" s="48"/>
      <c r="DJ6" s="41" t="s">
        <v>168</v>
      </c>
      <c r="DK6" s="41" t="s">
        <v>173</v>
      </c>
      <c r="DM6" s="86"/>
      <c r="DN6" s="87">
        <v>0.0276518</v>
      </c>
      <c r="DO6" s="88"/>
      <c r="DP6" s="85" t="s">
        <v>168</v>
      </c>
      <c r="DQ6" s="85" t="s">
        <v>173</v>
      </c>
      <c r="DS6" s="47"/>
      <c r="DT6" s="32">
        <v>0.0043534</v>
      </c>
      <c r="DU6" s="48"/>
      <c r="DV6" s="41" t="s">
        <v>168</v>
      </c>
      <c r="DW6" s="41" t="s">
        <v>173</v>
      </c>
      <c r="DY6" s="47"/>
      <c r="DZ6" s="32">
        <v>0.0224029</v>
      </c>
      <c r="EA6" s="48"/>
      <c r="EB6" s="41" t="s">
        <v>168</v>
      </c>
      <c r="EC6" s="41" t="s">
        <v>173</v>
      </c>
      <c r="EE6" s="47"/>
      <c r="EF6" s="32">
        <v>0.0063958</v>
      </c>
      <c r="EG6" s="48"/>
      <c r="EH6" s="41" t="s">
        <v>168</v>
      </c>
      <c r="EI6" s="41" t="s">
        <v>173</v>
      </c>
      <c r="EK6" s="47"/>
      <c r="EL6" s="32">
        <v>6.42E-05</v>
      </c>
      <c r="EM6" s="48"/>
      <c r="EN6" s="41" t="s">
        <v>168</v>
      </c>
      <c r="EO6" s="41" t="s">
        <v>173</v>
      </c>
      <c r="EQ6" s="47"/>
      <c r="ER6" s="32">
        <v>0.0001192</v>
      </c>
      <c r="ES6" s="48"/>
      <c r="ET6" s="41" t="s">
        <v>168</v>
      </c>
      <c r="EU6" s="41" t="s">
        <v>173</v>
      </c>
      <c r="EW6" s="47"/>
      <c r="EX6" s="32">
        <v>0.0215476</v>
      </c>
      <c r="EY6" s="48"/>
      <c r="EZ6" s="41" t="s">
        <v>168</v>
      </c>
      <c r="FA6" s="41" t="s">
        <v>173</v>
      </c>
      <c r="FC6" s="47"/>
      <c r="FD6" s="32">
        <v>0.0400516</v>
      </c>
      <c r="FE6" s="48"/>
      <c r="FF6" s="41" t="s">
        <v>168</v>
      </c>
      <c r="FG6" s="41" t="s">
        <v>173</v>
      </c>
      <c r="FI6" s="47"/>
      <c r="FJ6" s="32"/>
      <c r="FK6" s="48"/>
      <c r="FL6" s="41" t="s">
        <v>168</v>
      </c>
      <c r="FM6" s="41" t="s">
        <v>173</v>
      </c>
    </row>
    <row r="7" spans="1:169" ht="12.75">
      <c r="A7" s="26"/>
      <c r="C7" s="41" t="s">
        <v>11</v>
      </c>
      <c r="D7" s="41" t="s">
        <v>12</v>
      </c>
      <c r="E7" s="41" t="s">
        <v>4</v>
      </c>
      <c r="F7" s="41" t="s">
        <v>169</v>
      </c>
      <c r="G7" s="41" t="s">
        <v>170</v>
      </c>
      <c r="I7" s="41" t="s">
        <v>11</v>
      </c>
      <c r="J7" s="41" t="s">
        <v>12</v>
      </c>
      <c r="K7" s="41" t="s">
        <v>4</v>
      </c>
      <c r="L7" s="41" t="s">
        <v>169</v>
      </c>
      <c r="M7" s="41" t="s">
        <v>170</v>
      </c>
      <c r="O7" s="41" t="s">
        <v>11</v>
      </c>
      <c r="P7" s="41" t="s">
        <v>12</v>
      </c>
      <c r="Q7" s="41" t="s">
        <v>4</v>
      </c>
      <c r="R7" s="41" t="s">
        <v>169</v>
      </c>
      <c r="S7" s="41" t="s">
        <v>170</v>
      </c>
      <c r="U7" s="27" t="s">
        <v>11</v>
      </c>
      <c r="V7" s="27" t="s">
        <v>12</v>
      </c>
      <c r="W7" s="27" t="s">
        <v>4</v>
      </c>
      <c r="X7" s="41" t="s">
        <v>169</v>
      </c>
      <c r="Y7" s="41" t="s">
        <v>170</v>
      </c>
      <c r="AA7" s="27" t="s">
        <v>11</v>
      </c>
      <c r="AB7" s="27" t="s">
        <v>12</v>
      </c>
      <c r="AC7" s="27" t="s">
        <v>4</v>
      </c>
      <c r="AD7" s="41" t="s">
        <v>169</v>
      </c>
      <c r="AE7" s="41" t="s">
        <v>170</v>
      </c>
      <c r="AG7" s="27" t="s">
        <v>11</v>
      </c>
      <c r="AH7" s="27" t="s">
        <v>12</v>
      </c>
      <c r="AI7" s="27" t="s">
        <v>4</v>
      </c>
      <c r="AJ7" s="41" t="s">
        <v>169</v>
      </c>
      <c r="AK7" s="41" t="s">
        <v>170</v>
      </c>
      <c r="AM7" s="27" t="s">
        <v>11</v>
      </c>
      <c r="AN7" s="27" t="s">
        <v>12</v>
      </c>
      <c r="AO7" s="27" t="s">
        <v>4</v>
      </c>
      <c r="AP7" s="41" t="s">
        <v>169</v>
      </c>
      <c r="AQ7" s="41" t="s">
        <v>170</v>
      </c>
      <c r="AS7" s="27" t="s">
        <v>11</v>
      </c>
      <c r="AT7" s="27" t="s">
        <v>12</v>
      </c>
      <c r="AU7" s="27" t="s">
        <v>4</v>
      </c>
      <c r="AV7" s="41" t="s">
        <v>169</v>
      </c>
      <c r="AW7" s="41" t="s">
        <v>170</v>
      </c>
      <c r="AY7" s="27" t="s">
        <v>11</v>
      </c>
      <c r="AZ7" s="27" t="s">
        <v>12</v>
      </c>
      <c r="BA7" s="27" t="s">
        <v>4</v>
      </c>
      <c r="BB7" s="41" t="s">
        <v>169</v>
      </c>
      <c r="BC7" s="41" t="s">
        <v>170</v>
      </c>
      <c r="BE7" s="27" t="s">
        <v>11</v>
      </c>
      <c r="BF7" s="27" t="s">
        <v>12</v>
      </c>
      <c r="BG7" s="27" t="s">
        <v>4</v>
      </c>
      <c r="BH7" s="41" t="s">
        <v>169</v>
      </c>
      <c r="BI7" s="41" t="s">
        <v>170</v>
      </c>
      <c r="BK7" s="27" t="s">
        <v>11</v>
      </c>
      <c r="BL7" s="27" t="s">
        <v>12</v>
      </c>
      <c r="BM7" s="27" t="s">
        <v>4</v>
      </c>
      <c r="BN7" s="41" t="s">
        <v>169</v>
      </c>
      <c r="BO7" s="41" t="s">
        <v>170</v>
      </c>
      <c r="BQ7" s="27" t="s">
        <v>11</v>
      </c>
      <c r="BR7" s="27" t="s">
        <v>12</v>
      </c>
      <c r="BS7" s="27" t="s">
        <v>4</v>
      </c>
      <c r="BT7" s="41" t="s">
        <v>169</v>
      </c>
      <c r="BU7" s="41" t="s">
        <v>170</v>
      </c>
      <c r="BW7" s="27" t="s">
        <v>11</v>
      </c>
      <c r="BX7" s="27" t="s">
        <v>12</v>
      </c>
      <c r="BY7" s="27" t="s">
        <v>4</v>
      </c>
      <c r="BZ7" s="41" t="s">
        <v>169</v>
      </c>
      <c r="CA7" s="41" t="s">
        <v>170</v>
      </c>
      <c r="CC7" s="27" t="s">
        <v>11</v>
      </c>
      <c r="CD7" s="27" t="s">
        <v>12</v>
      </c>
      <c r="CE7" s="27" t="s">
        <v>4</v>
      </c>
      <c r="CF7" s="41" t="s">
        <v>169</v>
      </c>
      <c r="CG7" s="41" t="s">
        <v>170</v>
      </c>
      <c r="CI7" s="27" t="s">
        <v>11</v>
      </c>
      <c r="CJ7" s="27" t="s">
        <v>12</v>
      </c>
      <c r="CK7" s="27" t="s">
        <v>4</v>
      </c>
      <c r="CL7" s="41" t="s">
        <v>169</v>
      </c>
      <c r="CM7" s="41" t="s">
        <v>170</v>
      </c>
      <c r="CO7" s="27" t="s">
        <v>11</v>
      </c>
      <c r="CP7" s="27" t="s">
        <v>12</v>
      </c>
      <c r="CQ7" s="27" t="s">
        <v>4</v>
      </c>
      <c r="CR7" s="41" t="s">
        <v>169</v>
      </c>
      <c r="CS7" s="41" t="s">
        <v>170</v>
      </c>
      <c r="CU7" s="27" t="s">
        <v>11</v>
      </c>
      <c r="CV7" s="27" t="s">
        <v>12</v>
      </c>
      <c r="CW7" s="27" t="s">
        <v>4</v>
      </c>
      <c r="CX7" s="41" t="s">
        <v>169</v>
      </c>
      <c r="CY7" s="41" t="s">
        <v>170</v>
      </c>
      <c r="DA7" s="27" t="s">
        <v>11</v>
      </c>
      <c r="DB7" s="27" t="s">
        <v>12</v>
      </c>
      <c r="DC7" s="27" t="s">
        <v>4</v>
      </c>
      <c r="DD7" s="41" t="s">
        <v>169</v>
      </c>
      <c r="DE7" s="41" t="s">
        <v>170</v>
      </c>
      <c r="DG7" s="27" t="s">
        <v>11</v>
      </c>
      <c r="DH7" s="27" t="s">
        <v>12</v>
      </c>
      <c r="DI7" s="27" t="s">
        <v>4</v>
      </c>
      <c r="DJ7" s="41" t="s">
        <v>169</v>
      </c>
      <c r="DK7" s="41" t="s">
        <v>170</v>
      </c>
      <c r="DM7" s="89" t="s">
        <v>11</v>
      </c>
      <c r="DN7" s="89" t="s">
        <v>12</v>
      </c>
      <c r="DO7" s="89" t="s">
        <v>4</v>
      </c>
      <c r="DP7" s="85" t="s">
        <v>169</v>
      </c>
      <c r="DQ7" s="85" t="s">
        <v>170</v>
      </c>
      <c r="DS7" s="27" t="s">
        <v>11</v>
      </c>
      <c r="DT7" s="27" t="s">
        <v>12</v>
      </c>
      <c r="DU7" s="27" t="s">
        <v>4</v>
      </c>
      <c r="DV7" s="41" t="s">
        <v>169</v>
      </c>
      <c r="DW7" s="41" t="s">
        <v>170</v>
      </c>
      <c r="DY7" s="27" t="s">
        <v>11</v>
      </c>
      <c r="DZ7" s="27" t="s">
        <v>12</v>
      </c>
      <c r="EA7" s="27" t="s">
        <v>4</v>
      </c>
      <c r="EB7" s="41" t="s">
        <v>169</v>
      </c>
      <c r="EC7" s="41" t="s">
        <v>170</v>
      </c>
      <c r="EE7" s="27" t="s">
        <v>11</v>
      </c>
      <c r="EF7" s="27" t="s">
        <v>12</v>
      </c>
      <c r="EG7" s="27" t="s">
        <v>4</v>
      </c>
      <c r="EH7" s="41" t="s">
        <v>169</v>
      </c>
      <c r="EI7" s="41" t="s">
        <v>170</v>
      </c>
      <c r="EK7" s="27" t="s">
        <v>11</v>
      </c>
      <c r="EL7" s="27" t="s">
        <v>12</v>
      </c>
      <c r="EM7" s="27" t="s">
        <v>4</v>
      </c>
      <c r="EN7" s="41" t="s">
        <v>169</v>
      </c>
      <c r="EO7" s="41" t="s">
        <v>170</v>
      </c>
      <c r="EQ7" s="27" t="s">
        <v>11</v>
      </c>
      <c r="ER7" s="27" t="s">
        <v>12</v>
      </c>
      <c r="ES7" s="27" t="s">
        <v>4</v>
      </c>
      <c r="ET7" s="41" t="s">
        <v>169</v>
      </c>
      <c r="EU7" s="41" t="s">
        <v>170</v>
      </c>
      <c r="EW7" s="27" t="s">
        <v>11</v>
      </c>
      <c r="EX7" s="27" t="s">
        <v>12</v>
      </c>
      <c r="EY7" s="27" t="s">
        <v>4</v>
      </c>
      <c r="EZ7" s="41" t="s">
        <v>169</v>
      </c>
      <c r="FA7" s="41" t="s">
        <v>170</v>
      </c>
      <c r="FC7" s="27" t="s">
        <v>11</v>
      </c>
      <c r="FD7" s="27" t="s">
        <v>12</v>
      </c>
      <c r="FE7" s="27" t="s">
        <v>4</v>
      </c>
      <c r="FF7" s="41" t="s">
        <v>169</v>
      </c>
      <c r="FG7" s="41" t="s">
        <v>170</v>
      </c>
      <c r="FI7" s="27" t="s">
        <v>11</v>
      </c>
      <c r="FJ7" s="27" t="s">
        <v>12</v>
      </c>
      <c r="FK7" s="27" t="s">
        <v>4</v>
      </c>
      <c r="FL7" s="41" t="s">
        <v>169</v>
      </c>
      <c r="FM7" s="41" t="s">
        <v>170</v>
      </c>
    </row>
    <row r="8" spans="1:169" s="52" customFormat="1" ht="12.75">
      <c r="A8" s="51">
        <v>44105</v>
      </c>
      <c r="C8" s="42"/>
      <c r="D8" s="42">
        <v>120700</v>
      </c>
      <c r="E8" s="77">
        <f aca="true" t="shared" si="0" ref="E8:E15">C8+D8</f>
        <v>120700</v>
      </c>
      <c r="F8" s="77">
        <v>110239</v>
      </c>
      <c r="G8" s="77">
        <v>6590</v>
      </c>
      <c r="H8" s="79"/>
      <c r="I8" s="79">
        <f>'2010C Academic'!I8</f>
        <v>0</v>
      </c>
      <c r="J8" s="79">
        <f>'2010C Academic'!J8</f>
        <v>65519.086129999996</v>
      </c>
      <c r="K8" s="79">
        <f aca="true" t="shared" si="1" ref="K8:K15">I8+J8</f>
        <v>65519.086129999996</v>
      </c>
      <c r="L8" s="79">
        <f>'2010C Academic'!L8</f>
        <v>59840.5843901</v>
      </c>
      <c r="M8" s="79">
        <f>'2010C Academic'!M8</f>
        <v>3577.2226809999993</v>
      </c>
      <c r="N8" s="79"/>
      <c r="O8" s="78">
        <f aca="true" t="shared" si="2" ref="O8:P15">U8+AA8+AG8+AM8+AS8+AY8+BE8+BK8+BQ8+BW8+CC8+CI8+CO8+CU8+DA8+DG8+DM8+DS8+DY8+EE8+EK8+EQ8+EW8+FC8</f>
        <v>0</v>
      </c>
      <c r="P8" s="80">
        <f t="shared" si="2"/>
        <v>55180.91387</v>
      </c>
      <c r="Q8" s="78">
        <f aca="true" t="shared" si="3" ref="Q8:Q15">O8+P8</f>
        <v>55180.91387</v>
      </c>
      <c r="R8" s="78">
        <f aca="true" t="shared" si="4" ref="R8:S15">X8+AD8+AJ8+AP8+AV8+BB8+BH8+BN8+BT8+BZ8+CF8+CL8+CR8+CX8+DD8+DJ8+DP8+DV8+EB8+EH8+EN8+ET8+EZ8+FF8+FL8</f>
        <v>50398.41560990002</v>
      </c>
      <c r="S8" s="78">
        <f t="shared" si="4"/>
        <v>3012.7773190000007</v>
      </c>
      <c r="T8" s="79"/>
      <c r="U8" s="78"/>
      <c r="V8" s="77">
        <f aca="true" t="shared" si="5" ref="V8:V15">D8*8.1724/100</f>
        <v>9864.0868</v>
      </c>
      <c r="W8" s="78">
        <f aca="true" t="shared" si="6" ref="W8:W15">U8+V8</f>
        <v>9864.0868</v>
      </c>
      <c r="X8" s="78">
        <f aca="true" t="shared" si="7" ref="X8:X15">V$6*$F8</f>
        <v>9009.172036</v>
      </c>
      <c r="Y8" s="77">
        <f aca="true" t="shared" si="8" ref="Y8:Y15">V$6*$G8</f>
        <v>538.5611600000001</v>
      </c>
      <c r="Z8" s="79"/>
      <c r="AA8" s="78"/>
      <c r="AB8" s="78">
        <f aca="true" t="shared" si="9" ref="AB8:AB15">D8*5.95646/100</f>
        <v>7189.447219999999</v>
      </c>
      <c r="AC8" s="78">
        <f aca="true" t="shared" si="10" ref="AC8:AC15">AA8+AB8</f>
        <v>7189.447219999999</v>
      </c>
      <c r="AD8" s="78">
        <f aca="true" t="shared" si="11" ref="AD8:AD15">AB$6*$F8</f>
        <v>6566.3419394</v>
      </c>
      <c r="AE8" s="77">
        <f aca="true" t="shared" si="12" ref="AE8:AE15">AB$6*$G8</f>
        <v>392.530714</v>
      </c>
      <c r="AF8" s="79"/>
      <c r="AG8" s="78"/>
      <c r="AH8" s="78">
        <f aca="true" t="shared" si="13" ref="AH8:AH15">D8*3.15804/100</f>
        <v>3811.75428</v>
      </c>
      <c r="AI8" s="78">
        <f aca="true" t="shared" si="14" ref="AI8:AI15">AG8+AH8</f>
        <v>3811.75428</v>
      </c>
      <c r="AJ8" s="78">
        <f aca="true" t="shared" si="15" ref="AJ8:AJ15">AH$6*$F8</f>
        <v>3481.3917156</v>
      </c>
      <c r="AK8" s="77">
        <f aca="true" t="shared" si="16" ref="AK8:AK15">AH$6*$G8</f>
        <v>208.114836</v>
      </c>
      <c r="AL8" s="79"/>
      <c r="AM8" s="78"/>
      <c r="AN8" s="78">
        <f aca="true" t="shared" si="17" ref="AN8:AN15">D8*2.2968/100</f>
        <v>2772.2376</v>
      </c>
      <c r="AO8" s="78">
        <f aca="true" t="shared" si="18" ref="AO8:AO15">AM8+AN8</f>
        <v>2772.2376</v>
      </c>
      <c r="AP8" s="78">
        <f aca="true" t="shared" si="19" ref="AP8:AP15">AN$6*$F8</f>
        <v>2531.969352</v>
      </c>
      <c r="AQ8" s="77">
        <f aca="true" t="shared" si="20" ref="AQ8:AQ15">AN$6*$G8</f>
        <v>151.35912</v>
      </c>
      <c r="AR8" s="79"/>
      <c r="AS8" s="78"/>
      <c r="AT8" s="78">
        <f aca="true" t="shared" si="21" ref="AT8:AT15">D8*0.26309/100</f>
        <v>317.54963</v>
      </c>
      <c r="AU8" s="78">
        <f aca="true" t="shared" si="22" ref="AU8:AU15">AS8+AT8</f>
        <v>317.54963</v>
      </c>
      <c r="AV8" s="78">
        <f aca="true" t="shared" si="23" ref="AV8:AV15">AT$6*$F8</f>
        <v>290.02778509999996</v>
      </c>
      <c r="AW8" s="77">
        <f aca="true" t="shared" si="24" ref="AW8:AW15">AT$6*$G8</f>
        <v>17.337631</v>
      </c>
      <c r="AX8" s="79"/>
      <c r="AY8" s="78"/>
      <c r="AZ8" s="78">
        <f aca="true" t="shared" si="25" ref="AZ8:AZ15">D8*4.16229/100</f>
        <v>5023.884029999999</v>
      </c>
      <c r="BA8" s="78">
        <f aca="true" t="shared" si="26" ref="BA8:BA15">AY8+AZ8</f>
        <v>5023.884029999999</v>
      </c>
      <c r="BB8" s="78">
        <f aca="true" t="shared" si="27" ref="BB8:BB15">AZ$6*$F8</f>
        <v>4588.4668731</v>
      </c>
      <c r="BC8" s="77">
        <f aca="true" t="shared" si="28" ref="BC8:BC15">AZ$6*$G8</f>
        <v>274.29491099999996</v>
      </c>
      <c r="BD8" s="79"/>
      <c r="BE8" s="78"/>
      <c r="BF8" s="78">
        <f aca="true" t="shared" si="29" ref="BF8:BF15">D8*0.45121/100</f>
        <v>544.61047</v>
      </c>
      <c r="BG8" s="78">
        <f aca="true" t="shared" si="30" ref="BG8:BG15">BE8+BF8</f>
        <v>544.61047</v>
      </c>
      <c r="BH8" s="78">
        <f aca="true" t="shared" si="31" ref="BH8:BH15">BF$6*$F8</f>
        <v>497.4093919</v>
      </c>
      <c r="BI8" s="77">
        <f aca="true" t="shared" si="32" ref="BI8:BI15">BF$6*$G8</f>
        <v>29.734738999999998</v>
      </c>
      <c r="BJ8" s="79"/>
      <c r="BK8" s="78"/>
      <c r="BL8" s="78">
        <f aca="true" t="shared" si="33" ref="BL8:BL15">D8*1.41147/100</f>
        <v>1703.64429</v>
      </c>
      <c r="BM8" s="78">
        <f aca="true" t="shared" si="34" ref="BM8:BM15">BK8+BL8</f>
        <v>1703.64429</v>
      </c>
      <c r="BN8" s="78">
        <f aca="true" t="shared" si="35" ref="BN8:BN15">BL$6*$F8</f>
        <v>1555.9904133</v>
      </c>
      <c r="BO8" s="77">
        <f aca="true" t="shared" si="36" ref="BO8:BO15">BL$6*$G8</f>
        <v>93.015873</v>
      </c>
      <c r="BP8" s="79"/>
      <c r="BQ8" s="78"/>
      <c r="BR8" s="78">
        <f aca="true" t="shared" si="37" ref="BR8:BR15">D8*0.71579/100</f>
        <v>863.95853</v>
      </c>
      <c r="BS8" s="78">
        <f aca="true" t="shared" si="38" ref="BS8:BS15">BQ8+BR8</f>
        <v>863.95853</v>
      </c>
      <c r="BT8" s="78">
        <f aca="true" t="shared" si="39" ref="BT8:BT15">BR$6*$F8</f>
        <v>789.0797381</v>
      </c>
      <c r="BU8" s="77">
        <f aca="true" t="shared" si="40" ref="BU8:BU15">BR$6*$G8</f>
        <v>47.170561</v>
      </c>
      <c r="BV8" s="79"/>
      <c r="BW8" s="78"/>
      <c r="BX8" s="78">
        <f aca="true" t="shared" si="41" ref="BX8:BX15">D8*0.13901/100</f>
        <v>167.78507</v>
      </c>
      <c r="BY8" s="78">
        <f aca="true" t="shared" si="42" ref="BY8:BY15">BW8+BX8</f>
        <v>167.78507</v>
      </c>
      <c r="BZ8" s="78">
        <f aca="true" t="shared" si="43" ref="BZ8:BZ15">BX$6*$F8</f>
        <v>153.2432339</v>
      </c>
      <c r="CA8" s="77">
        <f aca="true" t="shared" si="44" ref="CA8:CA15">BX$6*$G8</f>
        <v>9.160759</v>
      </c>
      <c r="CB8" s="79"/>
      <c r="CC8" s="78"/>
      <c r="CD8" s="78">
        <f aca="true" t="shared" si="45" ref="CD8:CD15">D8*0.55234/100</f>
        <v>666.67438</v>
      </c>
      <c r="CE8" s="78">
        <f aca="true" t="shared" si="46" ref="CE8:CE15">CC8+CD8</f>
        <v>666.67438</v>
      </c>
      <c r="CF8" s="78">
        <f aca="true" t="shared" si="47" ref="CF8:CF15">CD$6*$F8</f>
        <v>608.8940926</v>
      </c>
      <c r="CG8" s="77">
        <f aca="true" t="shared" si="48" ref="CG8:CG15">CD$6*$G8</f>
        <v>36.399206</v>
      </c>
      <c r="CH8" s="79"/>
      <c r="CI8" s="78"/>
      <c r="CJ8" s="78">
        <f aca="true" t="shared" si="49" ref="CJ8:CJ15">D8*1.34713/100</f>
        <v>1625.9859099999999</v>
      </c>
      <c r="CK8" s="78">
        <f aca="true" t="shared" si="50" ref="CK8:CK15">CI8+CJ8</f>
        <v>1625.9859099999999</v>
      </c>
      <c r="CL8" s="78">
        <f aca="true" t="shared" si="51" ref="CL8:CL15">CJ$6*$F8</f>
        <v>1485.0626407</v>
      </c>
      <c r="CM8" s="77">
        <f aca="true" t="shared" si="52" ref="CM8:CM15">CJ$6*$G8</f>
        <v>88.775867</v>
      </c>
      <c r="CN8" s="79"/>
      <c r="CO8" s="78"/>
      <c r="CP8" s="78">
        <f aca="true" t="shared" si="53" ref="CP8:CP15">D8*3.01524/100</f>
        <v>3639.39468</v>
      </c>
      <c r="CQ8" s="78">
        <f aca="true" t="shared" si="54" ref="CQ8:CQ15">CO8+CP8</f>
        <v>3639.39468</v>
      </c>
      <c r="CR8" s="78">
        <f aca="true" t="shared" si="55" ref="CR8:CR15">CP$6*$F8</f>
        <v>3323.9704236</v>
      </c>
      <c r="CS8" s="77">
        <f aca="true" t="shared" si="56" ref="CS8:CS15">CP$6*$G8</f>
        <v>198.704316</v>
      </c>
      <c r="CT8" s="79"/>
      <c r="CU8" s="78"/>
      <c r="CV8" s="78">
        <f aca="true" t="shared" si="57" ref="CV8:CV15">D8*0.45619/100</f>
        <v>550.6213300000001</v>
      </c>
      <c r="CW8" s="78">
        <f aca="true" t="shared" si="58" ref="CW8:CW15">CU8+CV8</f>
        <v>550.6213300000001</v>
      </c>
      <c r="CX8" s="78">
        <f aca="true" t="shared" si="59" ref="CX8:CX15">CV$6*$F8</f>
        <v>502.89929409999996</v>
      </c>
      <c r="CY8" s="77">
        <f aca="true" t="shared" si="60" ref="CY8:CY15">CV$6*$G8</f>
        <v>30.062921</v>
      </c>
      <c r="CZ8" s="79"/>
      <c r="DA8" s="78"/>
      <c r="DB8" s="78">
        <f aca="true" t="shared" si="61" ref="DB8:DB15">D8*1.31079/100</f>
        <v>1582.1235299999998</v>
      </c>
      <c r="DC8" s="78">
        <f aca="true" t="shared" si="62" ref="DC8:DC15">DA8+DB8</f>
        <v>1582.1235299999998</v>
      </c>
      <c r="DD8" s="78">
        <f aca="true" t="shared" si="63" ref="DD8:DD15">DB$6*$F8</f>
        <v>1445.0017881</v>
      </c>
      <c r="DE8" s="77">
        <f aca="true" t="shared" si="64" ref="DE8:DE15">DB$6*$G8</f>
        <v>86.381061</v>
      </c>
      <c r="DF8" s="79"/>
      <c r="DG8" s="78"/>
      <c r="DH8" s="78">
        <f aca="true" t="shared" si="65" ref="DH8:DH15">D8*0.05051/100</f>
        <v>60.96557</v>
      </c>
      <c r="DI8" s="78">
        <f aca="true" t="shared" si="66" ref="DI8:DI15">DG8+DH8</f>
        <v>60.96557</v>
      </c>
      <c r="DJ8" s="78">
        <f aca="true" t="shared" si="67" ref="DJ8:DJ15">DH$6*$F8</f>
        <v>55.6817189</v>
      </c>
      <c r="DK8" s="77">
        <f aca="true" t="shared" si="68" ref="DK8:DK15">DH$6*$G8</f>
        <v>3.3286089999999997</v>
      </c>
      <c r="DL8" s="79"/>
      <c r="DM8" s="90"/>
      <c r="DN8" s="90">
        <f aca="true" t="shared" si="69" ref="DN8:DN15">D8*2.76518/100</f>
        <v>3337.5722600000004</v>
      </c>
      <c r="DO8" s="90">
        <f aca="true" t="shared" si="70" ref="DO8:DO15">DM8+DN8</f>
        <v>3337.5722600000004</v>
      </c>
      <c r="DP8" s="90">
        <f aca="true" t="shared" si="71" ref="DP8:DP15">DN$6*$F8</f>
        <v>3048.3067802</v>
      </c>
      <c r="DQ8" s="92">
        <f aca="true" t="shared" si="72" ref="DQ8:DQ15">DN$6*$G8</f>
        <v>182.22536200000002</v>
      </c>
      <c r="DR8" s="79"/>
      <c r="DS8" s="78"/>
      <c r="DT8" s="78">
        <f aca="true" t="shared" si="73" ref="DT8:DT15">D8*0.43534/100</f>
        <v>525.45538</v>
      </c>
      <c r="DU8" s="78">
        <f aca="true" t="shared" si="74" ref="DU8:DU15">DS8+DT8</f>
        <v>525.45538</v>
      </c>
      <c r="DV8" s="78">
        <f aca="true" t="shared" si="75" ref="DV8:DV15">DT$6*$F8</f>
        <v>479.91446260000004</v>
      </c>
      <c r="DW8" s="77">
        <f aca="true" t="shared" si="76" ref="DW8:DW15">DT$6*$G8</f>
        <v>28.688906000000003</v>
      </c>
      <c r="DX8" s="79"/>
      <c r="DY8" s="78"/>
      <c r="DZ8" s="78">
        <f aca="true" t="shared" si="77" ref="DZ8:DZ15">D8*2.24029/100</f>
        <v>2704.03003</v>
      </c>
      <c r="EA8" s="78">
        <f aca="true" t="shared" si="78" ref="EA8:EA15">DY8+DZ8</f>
        <v>2704.03003</v>
      </c>
      <c r="EB8" s="78">
        <f aca="true" t="shared" si="79" ref="EB8:EB15">DZ$6*$F8</f>
        <v>2469.6732931</v>
      </c>
      <c r="EC8" s="77">
        <f aca="true" t="shared" si="80" ref="EC8:EC15">DZ$6*$G8</f>
        <v>147.635111</v>
      </c>
      <c r="ED8" s="79"/>
      <c r="EE8" s="78"/>
      <c r="EF8" s="78">
        <f aca="true" t="shared" si="81" ref="EF8:EF15">D8*0.63958/100</f>
        <v>771.9730600000001</v>
      </c>
      <c r="EG8" s="78">
        <f aca="true" t="shared" si="82" ref="EG8:EG15">EE8+EF8</f>
        <v>771.9730600000001</v>
      </c>
      <c r="EH8" s="78">
        <f aca="true" t="shared" si="83" ref="EH8:EH15">EF$6*$F8</f>
        <v>705.0665962</v>
      </c>
      <c r="EI8" s="77">
        <f aca="true" t="shared" si="84" ref="EI8:EI15">EF$6*$G8</f>
        <v>42.148322</v>
      </c>
      <c r="EJ8" s="79"/>
      <c r="EK8" s="78"/>
      <c r="EL8" s="78">
        <f aca="true" t="shared" si="85" ref="EL8:EL15">D8*0.00642/100</f>
        <v>7.74894</v>
      </c>
      <c r="EM8" s="78">
        <f aca="true" t="shared" si="86" ref="EM8:EM15">EK8+EL8</f>
        <v>7.74894</v>
      </c>
      <c r="EN8" s="78">
        <f aca="true" t="shared" si="87" ref="EN8:EN15">EL$6*$F8</f>
        <v>7.0773438</v>
      </c>
      <c r="EO8" s="77">
        <f aca="true" t="shared" si="88" ref="EO8:EO15">EL$6*$G8</f>
        <v>0.423078</v>
      </c>
      <c r="EP8" s="79"/>
      <c r="EQ8" s="78"/>
      <c r="ER8" s="78">
        <f aca="true" t="shared" si="89" ref="ER8:ER15">D8*0.01192/100</f>
        <v>14.38744</v>
      </c>
      <c r="ES8" s="78">
        <f aca="true" t="shared" si="90" ref="ES8:ES15">EQ8+ER8</f>
        <v>14.38744</v>
      </c>
      <c r="ET8" s="78">
        <f aca="true" t="shared" si="91" ref="ET8:ET15">ER$6*$F8</f>
        <v>13.1404888</v>
      </c>
      <c r="EU8" s="77">
        <f aca="true" t="shared" si="92" ref="EU8:EU15">ER$6*$G8</f>
        <v>0.785528</v>
      </c>
      <c r="EV8" s="79"/>
      <c r="EW8" s="78"/>
      <c r="EX8" s="78">
        <f aca="true" t="shared" si="93" ref="EX8:EX15">D8*2.15476/100</f>
        <v>2600.79532</v>
      </c>
      <c r="EY8" s="78">
        <f aca="true" t="shared" si="94" ref="EY8:EY15">EW8+EX8</f>
        <v>2600.79532</v>
      </c>
      <c r="EZ8" s="78">
        <f aca="true" t="shared" si="95" ref="EZ8:EZ15">EX$6*$F8</f>
        <v>2375.3858764</v>
      </c>
      <c r="FA8" s="77">
        <f aca="true" t="shared" si="96" ref="FA8:FA15">EX$6*$G8</f>
        <v>141.998684</v>
      </c>
      <c r="FB8" s="79"/>
      <c r="FC8" s="78"/>
      <c r="FD8" s="78">
        <f aca="true" t="shared" si="97" ref="FD8:FD15">D8*4.00516/100</f>
        <v>4834.228120000001</v>
      </c>
      <c r="FE8" s="78">
        <f aca="true" t="shared" si="98" ref="FE8:FE15">FC8+FD8</f>
        <v>4834.228120000001</v>
      </c>
      <c r="FF8" s="78">
        <f aca="true" t="shared" si="99" ref="FF8:FF15">FD$6*$F8</f>
        <v>4415.2483323999995</v>
      </c>
      <c r="FG8" s="77">
        <f aca="true" t="shared" si="100" ref="FG8:FG15">FD$6*$G8</f>
        <v>263.940044</v>
      </c>
      <c r="FH8" s="79"/>
      <c r="FI8" s="80"/>
      <c r="FJ8" s="78"/>
      <c r="FK8" s="78"/>
      <c r="FL8" s="78"/>
      <c r="FM8" s="77">
        <f aca="true" t="shared" si="101" ref="FM8:FM15">FJ$6*$G8</f>
        <v>0</v>
      </c>
    </row>
    <row r="9" spans="1:169" s="52" customFormat="1" ht="12.75">
      <c r="A9" s="51">
        <v>44287</v>
      </c>
      <c r="C9" s="42">
        <v>6035000</v>
      </c>
      <c r="D9" s="42">
        <v>120700</v>
      </c>
      <c r="E9" s="77">
        <f t="shared" si="0"/>
        <v>6155700</v>
      </c>
      <c r="F9" s="77">
        <v>110238</v>
      </c>
      <c r="G9" s="77">
        <v>6587</v>
      </c>
      <c r="H9" s="79"/>
      <c r="I9" s="79">
        <f>'2010C Academic'!I9</f>
        <v>3275954.3065000004</v>
      </c>
      <c r="J9" s="79">
        <f>'2010C Academic'!J9</f>
        <v>65519.086129999996</v>
      </c>
      <c r="K9" s="79">
        <f t="shared" si="1"/>
        <v>3341473.3926300006</v>
      </c>
      <c r="L9" s="79">
        <f>'2010C Academic'!L9</f>
        <v>59840.04156420001</v>
      </c>
      <c r="M9" s="79">
        <f>'2010C Academic'!M9</f>
        <v>3575.5942032999997</v>
      </c>
      <c r="N9" s="79"/>
      <c r="O9" s="78">
        <f t="shared" si="2"/>
        <v>2759045.6934999996</v>
      </c>
      <c r="P9" s="80">
        <f t="shared" si="2"/>
        <v>55180.91387</v>
      </c>
      <c r="Q9" s="78">
        <f t="shared" si="3"/>
        <v>2814226.6073699994</v>
      </c>
      <c r="R9" s="78">
        <f t="shared" si="4"/>
        <v>50397.9584358</v>
      </c>
      <c r="S9" s="78">
        <f t="shared" si="4"/>
        <v>3011.4057966999994</v>
      </c>
      <c r="T9" s="79"/>
      <c r="U9" s="78">
        <f aca="true" t="shared" si="102" ref="U9:U15">C9*8.1724/100</f>
        <v>493204.34</v>
      </c>
      <c r="V9" s="77">
        <f t="shared" si="5"/>
        <v>9864.0868</v>
      </c>
      <c r="W9" s="78">
        <f t="shared" si="6"/>
        <v>503068.4268</v>
      </c>
      <c r="X9" s="78">
        <f t="shared" si="7"/>
        <v>9009.090312</v>
      </c>
      <c r="Y9" s="77">
        <f t="shared" si="8"/>
        <v>538.3159880000001</v>
      </c>
      <c r="Z9" s="79"/>
      <c r="AA9" s="78">
        <f aca="true" t="shared" si="103" ref="AA9:AA15">C9*5.95646/100</f>
        <v>359472.36100000003</v>
      </c>
      <c r="AB9" s="78">
        <f t="shared" si="9"/>
        <v>7189.447219999999</v>
      </c>
      <c r="AC9" s="78">
        <f t="shared" si="10"/>
        <v>366661.80822</v>
      </c>
      <c r="AD9" s="78">
        <f t="shared" si="11"/>
        <v>6566.2823748</v>
      </c>
      <c r="AE9" s="77">
        <f t="shared" si="12"/>
        <v>392.3520202</v>
      </c>
      <c r="AF9" s="79"/>
      <c r="AG9" s="78">
        <f aca="true" t="shared" si="104" ref="AG9:AG15">C9*3.15804/100</f>
        <v>190587.71400000004</v>
      </c>
      <c r="AH9" s="78">
        <f t="shared" si="13"/>
        <v>3811.75428</v>
      </c>
      <c r="AI9" s="78">
        <f t="shared" si="14"/>
        <v>194399.46828000003</v>
      </c>
      <c r="AJ9" s="78">
        <f t="shared" si="15"/>
        <v>3481.3601352</v>
      </c>
      <c r="AK9" s="77">
        <f t="shared" si="16"/>
        <v>208.0200948</v>
      </c>
      <c r="AL9" s="79"/>
      <c r="AM9" s="78">
        <f aca="true" t="shared" si="105" ref="AM9:AM15">C9*2.2968/100</f>
        <v>138611.88</v>
      </c>
      <c r="AN9" s="78">
        <f t="shared" si="17"/>
        <v>2772.2376</v>
      </c>
      <c r="AO9" s="78">
        <f t="shared" si="18"/>
        <v>141384.1176</v>
      </c>
      <c r="AP9" s="78">
        <f t="shared" si="19"/>
        <v>2531.946384</v>
      </c>
      <c r="AQ9" s="77">
        <f t="shared" si="20"/>
        <v>151.290216</v>
      </c>
      <c r="AR9" s="79"/>
      <c r="AS9" s="78">
        <f aca="true" t="shared" si="106" ref="AS9:AS15">C9*0.26309/100</f>
        <v>15877.4815</v>
      </c>
      <c r="AT9" s="78">
        <f t="shared" si="21"/>
        <v>317.54963</v>
      </c>
      <c r="AU9" s="78">
        <f t="shared" si="22"/>
        <v>16195.03113</v>
      </c>
      <c r="AV9" s="78">
        <f t="shared" si="23"/>
        <v>290.0251542</v>
      </c>
      <c r="AW9" s="77">
        <f t="shared" si="24"/>
        <v>17.3297383</v>
      </c>
      <c r="AX9" s="79"/>
      <c r="AY9" s="78">
        <f aca="true" t="shared" si="107" ref="AY9:AY15">C9*4.16229/100</f>
        <v>251194.2015</v>
      </c>
      <c r="AZ9" s="78">
        <f t="shared" si="25"/>
        <v>5023.884029999999</v>
      </c>
      <c r="BA9" s="78">
        <f t="shared" si="26"/>
        <v>256218.08552999998</v>
      </c>
      <c r="BB9" s="78">
        <f t="shared" si="27"/>
        <v>4588.4252502</v>
      </c>
      <c r="BC9" s="77">
        <f t="shared" si="28"/>
        <v>274.1700423</v>
      </c>
      <c r="BD9" s="79"/>
      <c r="BE9" s="78">
        <f aca="true" t="shared" si="108" ref="BE9:BE15">C9*0.45121/100</f>
        <v>27230.5235</v>
      </c>
      <c r="BF9" s="78">
        <f t="shared" si="29"/>
        <v>544.61047</v>
      </c>
      <c r="BG9" s="78">
        <f t="shared" si="30"/>
        <v>27775.13397</v>
      </c>
      <c r="BH9" s="78">
        <f t="shared" si="31"/>
        <v>497.4048798</v>
      </c>
      <c r="BI9" s="77">
        <f t="shared" si="32"/>
        <v>29.7212027</v>
      </c>
      <c r="BJ9" s="79"/>
      <c r="BK9" s="78">
        <f aca="true" t="shared" si="109" ref="BK9:BK15">C9*1.41147/100</f>
        <v>85182.21449999999</v>
      </c>
      <c r="BL9" s="78">
        <f t="shared" si="33"/>
        <v>1703.64429</v>
      </c>
      <c r="BM9" s="78">
        <f t="shared" si="34"/>
        <v>86885.85878999998</v>
      </c>
      <c r="BN9" s="78">
        <f t="shared" si="35"/>
        <v>1555.9762986</v>
      </c>
      <c r="BO9" s="77">
        <f t="shared" si="36"/>
        <v>92.9735289</v>
      </c>
      <c r="BP9" s="79"/>
      <c r="BQ9" s="78">
        <f aca="true" t="shared" si="110" ref="BQ9:BQ15">C9*0.71579/100</f>
        <v>43197.9265</v>
      </c>
      <c r="BR9" s="78">
        <f t="shared" si="37"/>
        <v>863.95853</v>
      </c>
      <c r="BS9" s="78">
        <f t="shared" si="38"/>
        <v>44061.885030000005</v>
      </c>
      <c r="BT9" s="78">
        <f t="shared" si="39"/>
        <v>789.0725802</v>
      </c>
      <c r="BU9" s="77">
        <f t="shared" si="40"/>
        <v>47.1490873</v>
      </c>
      <c r="BV9" s="79"/>
      <c r="BW9" s="78">
        <f aca="true" t="shared" si="111" ref="BW9:BW15">C9*0.13901/100</f>
        <v>8389.253499999999</v>
      </c>
      <c r="BX9" s="78">
        <f t="shared" si="41"/>
        <v>167.78507</v>
      </c>
      <c r="BY9" s="78">
        <f t="shared" si="42"/>
        <v>8557.038569999999</v>
      </c>
      <c r="BZ9" s="78">
        <f t="shared" si="43"/>
        <v>153.2418438</v>
      </c>
      <c r="CA9" s="77">
        <f t="shared" si="44"/>
        <v>9.1565887</v>
      </c>
      <c r="CB9" s="79"/>
      <c r="CC9" s="78">
        <f aca="true" t="shared" si="112" ref="CC9:CC15">C9*0.55234/100</f>
        <v>33333.719000000005</v>
      </c>
      <c r="CD9" s="78">
        <f t="shared" si="45"/>
        <v>666.67438</v>
      </c>
      <c r="CE9" s="78">
        <f t="shared" si="46"/>
        <v>34000.39338</v>
      </c>
      <c r="CF9" s="78">
        <f t="shared" si="47"/>
        <v>608.8885692</v>
      </c>
      <c r="CG9" s="77">
        <f t="shared" si="48"/>
        <v>36.3826358</v>
      </c>
      <c r="CH9" s="79"/>
      <c r="CI9" s="78">
        <f aca="true" t="shared" si="113" ref="CI9:CI15">C9*1.34713/100</f>
        <v>81299.2955</v>
      </c>
      <c r="CJ9" s="78">
        <f t="shared" si="49"/>
        <v>1625.9859099999999</v>
      </c>
      <c r="CK9" s="78">
        <f t="shared" si="50"/>
        <v>82925.28141</v>
      </c>
      <c r="CL9" s="78">
        <f t="shared" si="51"/>
        <v>1485.0491694</v>
      </c>
      <c r="CM9" s="77">
        <f t="shared" si="52"/>
        <v>88.7354531</v>
      </c>
      <c r="CN9" s="79"/>
      <c r="CO9" s="78">
        <f aca="true" t="shared" si="114" ref="CO9:CO15">C9*3.01524/100</f>
        <v>181969.734</v>
      </c>
      <c r="CP9" s="78">
        <f t="shared" si="53"/>
        <v>3639.39468</v>
      </c>
      <c r="CQ9" s="78">
        <f t="shared" si="54"/>
        <v>185609.12868</v>
      </c>
      <c r="CR9" s="78">
        <f t="shared" si="55"/>
        <v>3323.9402712</v>
      </c>
      <c r="CS9" s="77">
        <f t="shared" si="56"/>
        <v>198.6138588</v>
      </c>
      <c r="CT9" s="79"/>
      <c r="CU9" s="78">
        <f aca="true" t="shared" si="115" ref="CU9:CU15">C9*0.45619/100</f>
        <v>27531.0665</v>
      </c>
      <c r="CV9" s="78">
        <f t="shared" si="57"/>
        <v>550.6213300000001</v>
      </c>
      <c r="CW9" s="78">
        <f t="shared" si="58"/>
        <v>28081.687830000003</v>
      </c>
      <c r="CX9" s="78">
        <f t="shared" si="59"/>
        <v>502.89473219999996</v>
      </c>
      <c r="CY9" s="77">
        <f t="shared" si="60"/>
        <v>30.0492353</v>
      </c>
      <c r="CZ9" s="79"/>
      <c r="DA9" s="78">
        <f aca="true" t="shared" si="116" ref="DA9:DA15">C9*1.31079/100</f>
        <v>79106.1765</v>
      </c>
      <c r="DB9" s="78">
        <f t="shared" si="61"/>
        <v>1582.1235299999998</v>
      </c>
      <c r="DC9" s="78">
        <f t="shared" si="62"/>
        <v>80688.30003</v>
      </c>
      <c r="DD9" s="78">
        <f t="shared" si="63"/>
        <v>1444.9886802</v>
      </c>
      <c r="DE9" s="77">
        <f t="shared" si="64"/>
        <v>86.3417373</v>
      </c>
      <c r="DF9" s="79"/>
      <c r="DG9" s="78">
        <f aca="true" t="shared" si="117" ref="DG9:DG15">C9*0.05051/100</f>
        <v>3048.2785</v>
      </c>
      <c r="DH9" s="78">
        <f t="shared" si="65"/>
        <v>60.96557</v>
      </c>
      <c r="DI9" s="78">
        <f t="shared" si="66"/>
        <v>3109.2440699999997</v>
      </c>
      <c r="DJ9" s="78">
        <f t="shared" si="67"/>
        <v>55.681213799999995</v>
      </c>
      <c r="DK9" s="77">
        <f t="shared" si="68"/>
        <v>3.3270937</v>
      </c>
      <c r="DL9" s="79"/>
      <c r="DM9" s="90">
        <f aca="true" t="shared" si="118" ref="DM9:DM15">C9*2.76518/100</f>
        <v>166878.613</v>
      </c>
      <c r="DN9" s="90">
        <f t="shared" si="69"/>
        <v>3337.5722600000004</v>
      </c>
      <c r="DO9" s="90">
        <f t="shared" si="70"/>
        <v>170216.18526</v>
      </c>
      <c r="DP9" s="90">
        <f t="shared" si="71"/>
        <v>3048.2791284</v>
      </c>
      <c r="DQ9" s="92">
        <f t="shared" si="72"/>
        <v>182.14240660000002</v>
      </c>
      <c r="DR9" s="79"/>
      <c r="DS9" s="78">
        <f aca="true" t="shared" si="119" ref="DS9:DS15">C9*0.43534/100</f>
        <v>26272.769</v>
      </c>
      <c r="DT9" s="78">
        <f t="shared" si="73"/>
        <v>525.45538</v>
      </c>
      <c r="DU9" s="78">
        <f t="shared" si="74"/>
        <v>26798.22438</v>
      </c>
      <c r="DV9" s="78">
        <f t="shared" si="75"/>
        <v>479.9101092</v>
      </c>
      <c r="DW9" s="77">
        <f t="shared" si="76"/>
        <v>28.6758458</v>
      </c>
      <c r="DX9" s="79"/>
      <c r="DY9" s="78">
        <f aca="true" t="shared" si="120" ref="DY9:DY15">C9*2.24029/100</f>
        <v>135201.50149999998</v>
      </c>
      <c r="DZ9" s="78">
        <f t="shared" si="77"/>
        <v>2704.03003</v>
      </c>
      <c r="EA9" s="78">
        <f t="shared" si="78"/>
        <v>137905.53152999998</v>
      </c>
      <c r="EB9" s="78">
        <f t="shared" si="79"/>
        <v>2469.6508902</v>
      </c>
      <c r="EC9" s="77">
        <f t="shared" si="80"/>
        <v>147.5679023</v>
      </c>
      <c r="ED9" s="79"/>
      <c r="EE9" s="78">
        <f aca="true" t="shared" si="121" ref="EE9:EE15">C9*0.63958/100</f>
        <v>38598.653000000006</v>
      </c>
      <c r="EF9" s="78">
        <f t="shared" si="81"/>
        <v>771.9730600000001</v>
      </c>
      <c r="EG9" s="78">
        <f t="shared" si="82"/>
        <v>39370.62606</v>
      </c>
      <c r="EH9" s="78">
        <f t="shared" si="83"/>
        <v>705.0602004</v>
      </c>
      <c r="EI9" s="77">
        <f t="shared" si="84"/>
        <v>42.1291346</v>
      </c>
      <c r="EJ9" s="79"/>
      <c r="EK9" s="78">
        <f aca="true" t="shared" si="122" ref="EK9:EK15">C9*0.00642/100</f>
        <v>387.44700000000006</v>
      </c>
      <c r="EL9" s="78">
        <f t="shared" si="85"/>
        <v>7.74894</v>
      </c>
      <c r="EM9" s="78">
        <f t="shared" si="86"/>
        <v>395.19594000000006</v>
      </c>
      <c r="EN9" s="78">
        <f t="shared" si="87"/>
        <v>7.0772796</v>
      </c>
      <c r="EO9" s="77">
        <f t="shared" si="88"/>
        <v>0.4228854</v>
      </c>
      <c r="EP9" s="79"/>
      <c r="EQ9" s="78">
        <f aca="true" t="shared" si="123" ref="EQ9:EQ15">C9*0.01192/100</f>
        <v>719.372</v>
      </c>
      <c r="ER9" s="78">
        <f t="shared" si="89"/>
        <v>14.38744</v>
      </c>
      <c r="ES9" s="78">
        <f t="shared" si="90"/>
        <v>733.7594399999999</v>
      </c>
      <c r="ET9" s="78">
        <f t="shared" si="91"/>
        <v>13.1403696</v>
      </c>
      <c r="EU9" s="77">
        <f t="shared" si="92"/>
        <v>0.7851703999999999</v>
      </c>
      <c r="EV9" s="79"/>
      <c r="EW9" s="78">
        <f aca="true" t="shared" si="124" ref="EW9:EW15">C9*2.15476/100</f>
        <v>130039.766</v>
      </c>
      <c r="EX9" s="78">
        <f t="shared" si="93"/>
        <v>2600.79532</v>
      </c>
      <c r="EY9" s="78">
        <f t="shared" si="94"/>
        <v>132640.56132</v>
      </c>
      <c r="EZ9" s="78">
        <f t="shared" si="95"/>
        <v>2375.3643288</v>
      </c>
      <c r="FA9" s="77">
        <f t="shared" si="96"/>
        <v>141.9340412</v>
      </c>
      <c r="FB9" s="79"/>
      <c r="FC9" s="78">
        <f aca="true" t="shared" si="125" ref="FC9:FC15">C9*4.00516/100</f>
        <v>241711.40600000002</v>
      </c>
      <c r="FD9" s="78">
        <f t="shared" si="97"/>
        <v>4834.228120000001</v>
      </c>
      <c r="FE9" s="78">
        <f t="shared" si="98"/>
        <v>246545.63412000003</v>
      </c>
      <c r="FF9" s="78">
        <f t="shared" si="99"/>
        <v>4415.2082808</v>
      </c>
      <c r="FG9" s="77">
        <f t="shared" si="100"/>
        <v>263.8198892</v>
      </c>
      <c r="FH9" s="79"/>
      <c r="FI9" s="80"/>
      <c r="FJ9" s="78"/>
      <c r="FK9" s="78"/>
      <c r="FL9" s="78"/>
      <c r="FM9" s="77">
        <f t="shared" si="101"/>
        <v>0</v>
      </c>
    </row>
    <row r="10" spans="1:169" s="52" customFormat="1" ht="12.75" hidden="1">
      <c r="A10" s="51">
        <v>44470</v>
      </c>
      <c r="C10" s="77"/>
      <c r="D10" s="77"/>
      <c r="E10" s="77">
        <f t="shared" si="0"/>
        <v>0</v>
      </c>
      <c r="F10" s="77"/>
      <c r="G10" s="77"/>
      <c r="H10" s="79"/>
      <c r="I10" s="79">
        <f>'2010C Academic'!I10</f>
        <v>0</v>
      </c>
      <c r="J10" s="79">
        <f>'2010C Academic'!J10</f>
        <v>0</v>
      </c>
      <c r="K10" s="79">
        <f t="shared" si="1"/>
        <v>0</v>
      </c>
      <c r="L10" s="79">
        <f>'2010C Academic'!L10</f>
        <v>0</v>
      </c>
      <c r="M10" s="79">
        <f>'2010C Academic'!M10</f>
        <v>0</v>
      </c>
      <c r="N10" s="79"/>
      <c r="O10" s="78">
        <f t="shared" si="2"/>
        <v>0</v>
      </c>
      <c r="P10" s="80">
        <f t="shared" si="2"/>
        <v>0</v>
      </c>
      <c r="Q10" s="78">
        <f t="shared" si="3"/>
        <v>0</v>
      </c>
      <c r="R10" s="78">
        <f t="shared" si="4"/>
        <v>0</v>
      </c>
      <c r="S10" s="78">
        <f t="shared" si="4"/>
        <v>0</v>
      </c>
      <c r="T10" s="79"/>
      <c r="U10" s="78"/>
      <c r="V10" s="77">
        <f t="shared" si="5"/>
        <v>0</v>
      </c>
      <c r="W10" s="78">
        <f t="shared" si="6"/>
        <v>0</v>
      </c>
      <c r="X10" s="78">
        <f t="shared" si="7"/>
        <v>0</v>
      </c>
      <c r="Y10" s="77">
        <f t="shared" si="8"/>
        <v>0</v>
      </c>
      <c r="Z10" s="79"/>
      <c r="AA10" s="78"/>
      <c r="AB10" s="78">
        <f t="shared" si="9"/>
        <v>0</v>
      </c>
      <c r="AC10" s="78">
        <f t="shared" si="10"/>
        <v>0</v>
      </c>
      <c r="AD10" s="78">
        <f t="shared" si="11"/>
        <v>0</v>
      </c>
      <c r="AE10" s="77">
        <f t="shared" si="12"/>
        <v>0</v>
      </c>
      <c r="AF10" s="79"/>
      <c r="AG10" s="78"/>
      <c r="AH10" s="78">
        <f t="shared" si="13"/>
        <v>0</v>
      </c>
      <c r="AI10" s="78">
        <f t="shared" si="14"/>
        <v>0</v>
      </c>
      <c r="AJ10" s="78">
        <f t="shared" si="15"/>
        <v>0</v>
      </c>
      <c r="AK10" s="77">
        <f t="shared" si="16"/>
        <v>0</v>
      </c>
      <c r="AL10" s="79"/>
      <c r="AM10" s="78"/>
      <c r="AN10" s="78">
        <f t="shared" si="17"/>
        <v>0</v>
      </c>
      <c r="AO10" s="78">
        <f t="shared" si="18"/>
        <v>0</v>
      </c>
      <c r="AP10" s="78">
        <f t="shared" si="19"/>
        <v>0</v>
      </c>
      <c r="AQ10" s="77">
        <f t="shared" si="20"/>
        <v>0</v>
      </c>
      <c r="AR10" s="79"/>
      <c r="AS10" s="78"/>
      <c r="AT10" s="78">
        <f t="shared" si="21"/>
        <v>0</v>
      </c>
      <c r="AU10" s="78">
        <f t="shared" si="22"/>
        <v>0</v>
      </c>
      <c r="AV10" s="78">
        <f t="shared" si="23"/>
        <v>0</v>
      </c>
      <c r="AW10" s="77">
        <f t="shared" si="24"/>
        <v>0</v>
      </c>
      <c r="AX10" s="79"/>
      <c r="AY10" s="78"/>
      <c r="AZ10" s="78">
        <f t="shared" si="25"/>
        <v>0</v>
      </c>
      <c r="BA10" s="78">
        <f t="shared" si="26"/>
        <v>0</v>
      </c>
      <c r="BB10" s="78">
        <f t="shared" si="27"/>
        <v>0</v>
      </c>
      <c r="BC10" s="77">
        <f t="shared" si="28"/>
        <v>0</v>
      </c>
      <c r="BD10" s="79"/>
      <c r="BE10" s="78"/>
      <c r="BF10" s="78">
        <f t="shared" si="29"/>
        <v>0</v>
      </c>
      <c r="BG10" s="78">
        <f t="shared" si="30"/>
        <v>0</v>
      </c>
      <c r="BH10" s="78">
        <f t="shared" si="31"/>
        <v>0</v>
      </c>
      <c r="BI10" s="77">
        <f t="shared" si="32"/>
        <v>0</v>
      </c>
      <c r="BJ10" s="79"/>
      <c r="BK10" s="78"/>
      <c r="BL10" s="78">
        <f t="shared" si="33"/>
        <v>0</v>
      </c>
      <c r="BM10" s="78">
        <f t="shared" si="34"/>
        <v>0</v>
      </c>
      <c r="BN10" s="78">
        <f t="shared" si="35"/>
        <v>0</v>
      </c>
      <c r="BO10" s="77">
        <f t="shared" si="36"/>
        <v>0</v>
      </c>
      <c r="BP10" s="79"/>
      <c r="BQ10" s="78"/>
      <c r="BR10" s="78">
        <f t="shared" si="37"/>
        <v>0</v>
      </c>
      <c r="BS10" s="78">
        <f t="shared" si="38"/>
        <v>0</v>
      </c>
      <c r="BT10" s="78">
        <f t="shared" si="39"/>
        <v>0</v>
      </c>
      <c r="BU10" s="77">
        <f t="shared" si="40"/>
        <v>0</v>
      </c>
      <c r="BV10" s="79"/>
      <c r="BW10" s="78"/>
      <c r="BX10" s="78">
        <f t="shared" si="41"/>
        <v>0</v>
      </c>
      <c r="BY10" s="78">
        <f t="shared" si="42"/>
        <v>0</v>
      </c>
      <c r="BZ10" s="78">
        <f t="shared" si="43"/>
        <v>0</v>
      </c>
      <c r="CA10" s="77">
        <f t="shared" si="44"/>
        <v>0</v>
      </c>
      <c r="CB10" s="79"/>
      <c r="CC10" s="78"/>
      <c r="CD10" s="78">
        <f t="shared" si="45"/>
        <v>0</v>
      </c>
      <c r="CE10" s="78">
        <f t="shared" si="46"/>
        <v>0</v>
      </c>
      <c r="CF10" s="78">
        <f t="shared" si="47"/>
        <v>0</v>
      </c>
      <c r="CG10" s="77">
        <f t="shared" si="48"/>
        <v>0</v>
      </c>
      <c r="CH10" s="79"/>
      <c r="CI10" s="78"/>
      <c r="CJ10" s="78">
        <f t="shared" si="49"/>
        <v>0</v>
      </c>
      <c r="CK10" s="78">
        <f t="shared" si="50"/>
        <v>0</v>
      </c>
      <c r="CL10" s="78">
        <f t="shared" si="51"/>
        <v>0</v>
      </c>
      <c r="CM10" s="77">
        <f t="shared" si="52"/>
        <v>0</v>
      </c>
      <c r="CN10" s="79"/>
      <c r="CO10" s="78"/>
      <c r="CP10" s="78">
        <f t="shared" si="53"/>
        <v>0</v>
      </c>
      <c r="CQ10" s="78">
        <f t="shared" si="54"/>
        <v>0</v>
      </c>
      <c r="CR10" s="78">
        <f t="shared" si="55"/>
        <v>0</v>
      </c>
      <c r="CS10" s="77">
        <f t="shared" si="56"/>
        <v>0</v>
      </c>
      <c r="CT10" s="79"/>
      <c r="CU10" s="78"/>
      <c r="CV10" s="78">
        <f t="shared" si="57"/>
        <v>0</v>
      </c>
      <c r="CW10" s="78">
        <f t="shared" si="58"/>
        <v>0</v>
      </c>
      <c r="CX10" s="78">
        <f t="shared" si="59"/>
        <v>0</v>
      </c>
      <c r="CY10" s="77">
        <f t="shared" si="60"/>
        <v>0</v>
      </c>
      <c r="CZ10" s="79"/>
      <c r="DA10" s="78"/>
      <c r="DB10" s="78">
        <f t="shared" si="61"/>
        <v>0</v>
      </c>
      <c r="DC10" s="78">
        <f t="shared" si="62"/>
        <v>0</v>
      </c>
      <c r="DD10" s="78">
        <f t="shared" si="63"/>
        <v>0</v>
      </c>
      <c r="DE10" s="77">
        <f t="shared" si="64"/>
        <v>0</v>
      </c>
      <c r="DF10" s="79"/>
      <c r="DG10" s="78"/>
      <c r="DH10" s="78">
        <f t="shared" si="65"/>
        <v>0</v>
      </c>
      <c r="DI10" s="78">
        <f t="shared" si="66"/>
        <v>0</v>
      </c>
      <c r="DJ10" s="78">
        <f t="shared" si="67"/>
        <v>0</v>
      </c>
      <c r="DK10" s="77">
        <f t="shared" si="68"/>
        <v>0</v>
      </c>
      <c r="DL10" s="79"/>
      <c r="DM10" s="90"/>
      <c r="DN10" s="90">
        <f t="shared" si="69"/>
        <v>0</v>
      </c>
      <c r="DO10" s="90">
        <f t="shared" si="70"/>
        <v>0</v>
      </c>
      <c r="DP10" s="90">
        <f t="shared" si="71"/>
        <v>0</v>
      </c>
      <c r="DQ10" s="92">
        <f t="shared" si="72"/>
        <v>0</v>
      </c>
      <c r="DR10" s="79"/>
      <c r="DS10" s="78"/>
      <c r="DT10" s="78">
        <f t="shared" si="73"/>
        <v>0</v>
      </c>
      <c r="DU10" s="78">
        <f t="shared" si="74"/>
        <v>0</v>
      </c>
      <c r="DV10" s="78">
        <f t="shared" si="75"/>
        <v>0</v>
      </c>
      <c r="DW10" s="77">
        <f t="shared" si="76"/>
        <v>0</v>
      </c>
      <c r="DX10" s="79"/>
      <c r="DY10" s="78"/>
      <c r="DZ10" s="78">
        <f t="shared" si="77"/>
        <v>0</v>
      </c>
      <c r="EA10" s="78">
        <f t="shared" si="78"/>
        <v>0</v>
      </c>
      <c r="EB10" s="78">
        <f t="shared" si="79"/>
        <v>0</v>
      </c>
      <c r="EC10" s="77">
        <f t="shared" si="80"/>
        <v>0</v>
      </c>
      <c r="ED10" s="79"/>
      <c r="EE10" s="78"/>
      <c r="EF10" s="78">
        <f t="shared" si="81"/>
        <v>0</v>
      </c>
      <c r="EG10" s="78">
        <f t="shared" si="82"/>
        <v>0</v>
      </c>
      <c r="EH10" s="78">
        <f t="shared" si="83"/>
        <v>0</v>
      </c>
      <c r="EI10" s="77">
        <f t="shared" si="84"/>
        <v>0</v>
      </c>
      <c r="EJ10" s="79"/>
      <c r="EK10" s="78"/>
      <c r="EL10" s="78">
        <f t="shared" si="85"/>
        <v>0</v>
      </c>
      <c r="EM10" s="78">
        <f t="shared" si="86"/>
        <v>0</v>
      </c>
      <c r="EN10" s="78">
        <f t="shared" si="87"/>
        <v>0</v>
      </c>
      <c r="EO10" s="77">
        <f t="shared" si="88"/>
        <v>0</v>
      </c>
      <c r="EP10" s="79"/>
      <c r="EQ10" s="78"/>
      <c r="ER10" s="78">
        <f t="shared" si="89"/>
        <v>0</v>
      </c>
      <c r="ES10" s="78">
        <f t="shared" si="90"/>
        <v>0</v>
      </c>
      <c r="ET10" s="78">
        <f t="shared" si="91"/>
        <v>0</v>
      </c>
      <c r="EU10" s="77">
        <f t="shared" si="92"/>
        <v>0</v>
      </c>
      <c r="EV10" s="79"/>
      <c r="EW10" s="78"/>
      <c r="EX10" s="78">
        <f t="shared" si="93"/>
        <v>0</v>
      </c>
      <c r="EY10" s="78">
        <f t="shared" si="94"/>
        <v>0</v>
      </c>
      <c r="EZ10" s="78">
        <f t="shared" si="95"/>
        <v>0</v>
      </c>
      <c r="FA10" s="77">
        <f t="shared" si="96"/>
        <v>0</v>
      </c>
      <c r="FB10" s="79"/>
      <c r="FC10" s="78"/>
      <c r="FD10" s="78">
        <f t="shared" si="97"/>
        <v>0</v>
      </c>
      <c r="FE10" s="78">
        <f t="shared" si="98"/>
        <v>0</v>
      </c>
      <c r="FF10" s="78">
        <f t="shared" si="99"/>
        <v>0</v>
      </c>
      <c r="FG10" s="77">
        <f t="shared" si="100"/>
        <v>0</v>
      </c>
      <c r="FH10" s="79"/>
      <c r="FI10" s="80"/>
      <c r="FJ10" s="78"/>
      <c r="FK10" s="78"/>
      <c r="FL10" s="78"/>
      <c r="FM10" s="77">
        <f t="shared" si="101"/>
        <v>0</v>
      </c>
    </row>
    <row r="11" spans="1:169" s="52" customFormat="1" ht="12.75" hidden="1">
      <c r="A11" s="51">
        <v>44652</v>
      </c>
      <c r="C11" s="77"/>
      <c r="D11" s="77"/>
      <c r="E11" s="77">
        <f t="shared" si="0"/>
        <v>0</v>
      </c>
      <c r="F11" s="77"/>
      <c r="G11" s="77"/>
      <c r="H11" s="79"/>
      <c r="I11" s="79">
        <f>'2010C Academic'!I11</f>
        <v>0</v>
      </c>
      <c r="J11" s="79">
        <f>'2010C Academic'!J11</f>
        <v>0</v>
      </c>
      <c r="K11" s="79">
        <f t="shared" si="1"/>
        <v>0</v>
      </c>
      <c r="L11" s="79">
        <f>'2010C Academic'!L11</f>
        <v>0</v>
      </c>
      <c r="M11" s="79">
        <f>'2010C Academic'!M11</f>
        <v>0</v>
      </c>
      <c r="N11" s="79"/>
      <c r="O11" s="78">
        <f t="shared" si="2"/>
        <v>0</v>
      </c>
      <c r="P11" s="80">
        <f t="shared" si="2"/>
        <v>0</v>
      </c>
      <c r="Q11" s="78">
        <f t="shared" si="3"/>
        <v>0</v>
      </c>
      <c r="R11" s="78">
        <f t="shared" si="4"/>
        <v>0</v>
      </c>
      <c r="S11" s="78">
        <f t="shared" si="4"/>
        <v>0</v>
      </c>
      <c r="T11" s="79"/>
      <c r="U11" s="78">
        <f t="shared" si="102"/>
        <v>0</v>
      </c>
      <c r="V11" s="77">
        <f t="shared" si="5"/>
        <v>0</v>
      </c>
      <c r="W11" s="78">
        <f t="shared" si="6"/>
        <v>0</v>
      </c>
      <c r="X11" s="78">
        <f t="shared" si="7"/>
        <v>0</v>
      </c>
      <c r="Y11" s="77">
        <f t="shared" si="8"/>
        <v>0</v>
      </c>
      <c r="Z11" s="79"/>
      <c r="AA11" s="78">
        <f t="shared" si="103"/>
        <v>0</v>
      </c>
      <c r="AB11" s="78">
        <f t="shared" si="9"/>
        <v>0</v>
      </c>
      <c r="AC11" s="78">
        <f t="shared" si="10"/>
        <v>0</v>
      </c>
      <c r="AD11" s="78">
        <f t="shared" si="11"/>
        <v>0</v>
      </c>
      <c r="AE11" s="77">
        <f t="shared" si="12"/>
        <v>0</v>
      </c>
      <c r="AF11" s="79"/>
      <c r="AG11" s="78">
        <f t="shared" si="104"/>
        <v>0</v>
      </c>
      <c r="AH11" s="78">
        <f t="shared" si="13"/>
        <v>0</v>
      </c>
      <c r="AI11" s="78">
        <f t="shared" si="14"/>
        <v>0</v>
      </c>
      <c r="AJ11" s="78">
        <f t="shared" si="15"/>
        <v>0</v>
      </c>
      <c r="AK11" s="77">
        <f t="shared" si="16"/>
        <v>0</v>
      </c>
      <c r="AL11" s="79"/>
      <c r="AM11" s="78">
        <f t="shared" si="105"/>
        <v>0</v>
      </c>
      <c r="AN11" s="78">
        <f t="shared" si="17"/>
        <v>0</v>
      </c>
      <c r="AO11" s="78">
        <f t="shared" si="18"/>
        <v>0</v>
      </c>
      <c r="AP11" s="78">
        <f t="shared" si="19"/>
        <v>0</v>
      </c>
      <c r="AQ11" s="77">
        <f t="shared" si="20"/>
        <v>0</v>
      </c>
      <c r="AR11" s="79"/>
      <c r="AS11" s="78">
        <f t="shared" si="106"/>
        <v>0</v>
      </c>
      <c r="AT11" s="78">
        <f t="shared" si="21"/>
        <v>0</v>
      </c>
      <c r="AU11" s="78">
        <f t="shared" si="22"/>
        <v>0</v>
      </c>
      <c r="AV11" s="78">
        <f t="shared" si="23"/>
        <v>0</v>
      </c>
      <c r="AW11" s="77">
        <f t="shared" si="24"/>
        <v>0</v>
      </c>
      <c r="AX11" s="79"/>
      <c r="AY11" s="78">
        <f t="shared" si="107"/>
        <v>0</v>
      </c>
      <c r="AZ11" s="78">
        <f t="shared" si="25"/>
        <v>0</v>
      </c>
      <c r="BA11" s="78">
        <f t="shared" si="26"/>
        <v>0</v>
      </c>
      <c r="BB11" s="78">
        <f t="shared" si="27"/>
        <v>0</v>
      </c>
      <c r="BC11" s="77">
        <f t="shared" si="28"/>
        <v>0</v>
      </c>
      <c r="BD11" s="79"/>
      <c r="BE11" s="78">
        <f t="shared" si="108"/>
        <v>0</v>
      </c>
      <c r="BF11" s="78">
        <f t="shared" si="29"/>
        <v>0</v>
      </c>
      <c r="BG11" s="78">
        <f t="shared" si="30"/>
        <v>0</v>
      </c>
      <c r="BH11" s="78">
        <f t="shared" si="31"/>
        <v>0</v>
      </c>
      <c r="BI11" s="77">
        <f t="shared" si="32"/>
        <v>0</v>
      </c>
      <c r="BJ11" s="79"/>
      <c r="BK11" s="78">
        <f t="shared" si="109"/>
        <v>0</v>
      </c>
      <c r="BL11" s="78">
        <f t="shared" si="33"/>
        <v>0</v>
      </c>
      <c r="BM11" s="78">
        <f t="shared" si="34"/>
        <v>0</v>
      </c>
      <c r="BN11" s="78">
        <f t="shared" si="35"/>
        <v>0</v>
      </c>
      <c r="BO11" s="77">
        <f t="shared" si="36"/>
        <v>0</v>
      </c>
      <c r="BP11" s="79"/>
      <c r="BQ11" s="78">
        <f t="shared" si="110"/>
        <v>0</v>
      </c>
      <c r="BR11" s="78">
        <f t="shared" si="37"/>
        <v>0</v>
      </c>
      <c r="BS11" s="78">
        <f t="shared" si="38"/>
        <v>0</v>
      </c>
      <c r="BT11" s="78">
        <f t="shared" si="39"/>
        <v>0</v>
      </c>
      <c r="BU11" s="77">
        <f t="shared" si="40"/>
        <v>0</v>
      </c>
      <c r="BV11" s="79"/>
      <c r="BW11" s="78">
        <f t="shared" si="111"/>
        <v>0</v>
      </c>
      <c r="BX11" s="78">
        <f t="shared" si="41"/>
        <v>0</v>
      </c>
      <c r="BY11" s="78">
        <f t="shared" si="42"/>
        <v>0</v>
      </c>
      <c r="BZ11" s="78">
        <f t="shared" si="43"/>
        <v>0</v>
      </c>
      <c r="CA11" s="77">
        <f t="shared" si="44"/>
        <v>0</v>
      </c>
      <c r="CB11" s="79"/>
      <c r="CC11" s="78">
        <f t="shared" si="112"/>
        <v>0</v>
      </c>
      <c r="CD11" s="78">
        <f t="shared" si="45"/>
        <v>0</v>
      </c>
      <c r="CE11" s="78">
        <f t="shared" si="46"/>
        <v>0</v>
      </c>
      <c r="CF11" s="78">
        <f t="shared" si="47"/>
        <v>0</v>
      </c>
      <c r="CG11" s="77">
        <f t="shared" si="48"/>
        <v>0</v>
      </c>
      <c r="CH11" s="79"/>
      <c r="CI11" s="78">
        <f t="shared" si="113"/>
        <v>0</v>
      </c>
      <c r="CJ11" s="78">
        <f t="shared" si="49"/>
        <v>0</v>
      </c>
      <c r="CK11" s="78">
        <f t="shared" si="50"/>
        <v>0</v>
      </c>
      <c r="CL11" s="78">
        <f t="shared" si="51"/>
        <v>0</v>
      </c>
      <c r="CM11" s="77">
        <f t="shared" si="52"/>
        <v>0</v>
      </c>
      <c r="CN11" s="79"/>
      <c r="CO11" s="78">
        <f t="shared" si="114"/>
        <v>0</v>
      </c>
      <c r="CP11" s="78">
        <f t="shared" si="53"/>
        <v>0</v>
      </c>
      <c r="CQ11" s="78">
        <f t="shared" si="54"/>
        <v>0</v>
      </c>
      <c r="CR11" s="78">
        <f t="shared" si="55"/>
        <v>0</v>
      </c>
      <c r="CS11" s="77">
        <f t="shared" si="56"/>
        <v>0</v>
      </c>
      <c r="CT11" s="79"/>
      <c r="CU11" s="78">
        <f t="shared" si="115"/>
        <v>0</v>
      </c>
      <c r="CV11" s="78">
        <f t="shared" si="57"/>
        <v>0</v>
      </c>
      <c r="CW11" s="78">
        <f t="shared" si="58"/>
        <v>0</v>
      </c>
      <c r="CX11" s="78">
        <f t="shared" si="59"/>
        <v>0</v>
      </c>
      <c r="CY11" s="77">
        <f t="shared" si="60"/>
        <v>0</v>
      </c>
      <c r="CZ11" s="79"/>
      <c r="DA11" s="78">
        <f t="shared" si="116"/>
        <v>0</v>
      </c>
      <c r="DB11" s="78">
        <f t="shared" si="61"/>
        <v>0</v>
      </c>
      <c r="DC11" s="78">
        <f t="shared" si="62"/>
        <v>0</v>
      </c>
      <c r="DD11" s="78">
        <f t="shared" si="63"/>
        <v>0</v>
      </c>
      <c r="DE11" s="77">
        <f t="shared" si="64"/>
        <v>0</v>
      </c>
      <c r="DF11" s="79"/>
      <c r="DG11" s="78">
        <f t="shared" si="117"/>
        <v>0</v>
      </c>
      <c r="DH11" s="78">
        <f t="shared" si="65"/>
        <v>0</v>
      </c>
      <c r="DI11" s="78">
        <f t="shared" si="66"/>
        <v>0</v>
      </c>
      <c r="DJ11" s="78">
        <f t="shared" si="67"/>
        <v>0</v>
      </c>
      <c r="DK11" s="77">
        <f t="shared" si="68"/>
        <v>0</v>
      </c>
      <c r="DL11" s="79"/>
      <c r="DM11" s="90">
        <f t="shared" si="118"/>
        <v>0</v>
      </c>
      <c r="DN11" s="90">
        <f t="shared" si="69"/>
        <v>0</v>
      </c>
      <c r="DO11" s="90">
        <f t="shared" si="70"/>
        <v>0</v>
      </c>
      <c r="DP11" s="90">
        <f t="shared" si="71"/>
        <v>0</v>
      </c>
      <c r="DQ11" s="92">
        <f t="shared" si="72"/>
        <v>0</v>
      </c>
      <c r="DR11" s="79"/>
      <c r="DS11" s="78">
        <f t="shared" si="119"/>
        <v>0</v>
      </c>
      <c r="DT11" s="78">
        <f t="shared" si="73"/>
        <v>0</v>
      </c>
      <c r="DU11" s="78">
        <f t="shared" si="74"/>
        <v>0</v>
      </c>
      <c r="DV11" s="78">
        <f t="shared" si="75"/>
        <v>0</v>
      </c>
      <c r="DW11" s="77">
        <f t="shared" si="76"/>
        <v>0</v>
      </c>
      <c r="DX11" s="79"/>
      <c r="DY11" s="78">
        <f t="shared" si="120"/>
        <v>0</v>
      </c>
      <c r="DZ11" s="78">
        <f t="shared" si="77"/>
        <v>0</v>
      </c>
      <c r="EA11" s="78">
        <f t="shared" si="78"/>
        <v>0</v>
      </c>
      <c r="EB11" s="78">
        <f t="shared" si="79"/>
        <v>0</v>
      </c>
      <c r="EC11" s="77">
        <f t="shared" si="80"/>
        <v>0</v>
      </c>
      <c r="ED11" s="79"/>
      <c r="EE11" s="78">
        <f t="shared" si="121"/>
        <v>0</v>
      </c>
      <c r="EF11" s="78">
        <f t="shared" si="81"/>
        <v>0</v>
      </c>
      <c r="EG11" s="78">
        <f t="shared" si="82"/>
        <v>0</v>
      </c>
      <c r="EH11" s="78">
        <f t="shared" si="83"/>
        <v>0</v>
      </c>
      <c r="EI11" s="77">
        <f t="shared" si="84"/>
        <v>0</v>
      </c>
      <c r="EJ11" s="79"/>
      <c r="EK11" s="78">
        <f t="shared" si="122"/>
        <v>0</v>
      </c>
      <c r="EL11" s="78">
        <f t="shared" si="85"/>
        <v>0</v>
      </c>
      <c r="EM11" s="78">
        <f t="shared" si="86"/>
        <v>0</v>
      </c>
      <c r="EN11" s="78">
        <f t="shared" si="87"/>
        <v>0</v>
      </c>
      <c r="EO11" s="77">
        <f t="shared" si="88"/>
        <v>0</v>
      </c>
      <c r="EP11" s="79"/>
      <c r="EQ11" s="78">
        <f t="shared" si="123"/>
        <v>0</v>
      </c>
      <c r="ER11" s="78">
        <f t="shared" si="89"/>
        <v>0</v>
      </c>
      <c r="ES11" s="78">
        <f t="shared" si="90"/>
        <v>0</v>
      </c>
      <c r="ET11" s="78">
        <f t="shared" si="91"/>
        <v>0</v>
      </c>
      <c r="EU11" s="77">
        <f t="shared" si="92"/>
        <v>0</v>
      </c>
      <c r="EV11" s="79"/>
      <c r="EW11" s="78">
        <f t="shared" si="124"/>
        <v>0</v>
      </c>
      <c r="EX11" s="78">
        <f t="shared" si="93"/>
        <v>0</v>
      </c>
      <c r="EY11" s="78">
        <f t="shared" si="94"/>
        <v>0</v>
      </c>
      <c r="EZ11" s="78">
        <f t="shared" si="95"/>
        <v>0</v>
      </c>
      <c r="FA11" s="77">
        <f t="shared" si="96"/>
        <v>0</v>
      </c>
      <c r="FB11" s="79"/>
      <c r="FC11" s="78">
        <f t="shared" si="125"/>
        <v>0</v>
      </c>
      <c r="FD11" s="78">
        <f t="shared" si="97"/>
        <v>0</v>
      </c>
      <c r="FE11" s="78">
        <f t="shared" si="98"/>
        <v>0</v>
      </c>
      <c r="FF11" s="78">
        <f t="shared" si="99"/>
        <v>0</v>
      </c>
      <c r="FG11" s="77">
        <f t="shared" si="100"/>
        <v>0</v>
      </c>
      <c r="FH11" s="79"/>
      <c r="FI11" s="80"/>
      <c r="FJ11" s="78"/>
      <c r="FK11" s="78"/>
      <c r="FL11" s="78"/>
      <c r="FM11" s="77">
        <f t="shared" si="101"/>
        <v>0</v>
      </c>
    </row>
    <row r="12" spans="1:169" s="52" customFormat="1" ht="12.75" hidden="1">
      <c r="A12" s="51">
        <v>44835</v>
      </c>
      <c r="C12" s="77"/>
      <c r="D12" s="77"/>
      <c r="E12" s="77">
        <f t="shared" si="0"/>
        <v>0</v>
      </c>
      <c r="F12" s="77"/>
      <c r="G12" s="77"/>
      <c r="H12" s="79"/>
      <c r="I12" s="79">
        <f>'2010C Academic'!I12</f>
        <v>0</v>
      </c>
      <c r="J12" s="79">
        <f>'2010C Academic'!J12</f>
        <v>0</v>
      </c>
      <c r="K12" s="79">
        <f t="shared" si="1"/>
        <v>0</v>
      </c>
      <c r="L12" s="79">
        <f>'2010C Academic'!L12</f>
        <v>0</v>
      </c>
      <c r="M12" s="79">
        <f>'2010C Academic'!M12</f>
        <v>0</v>
      </c>
      <c r="N12" s="79"/>
      <c r="O12" s="78">
        <f t="shared" si="2"/>
        <v>0</v>
      </c>
      <c r="P12" s="80">
        <f t="shared" si="2"/>
        <v>0</v>
      </c>
      <c r="Q12" s="78">
        <f t="shared" si="3"/>
        <v>0</v>
      </c>
      <c r="R12" s="78">
        <f t="shared" si="4"/>
        <v>0</v>
      </c>
      <c r="S12" s="78">
        <f t="shared" si="4"/>
        <v>0</v>
      </c>
      <c r="T12" s="79"/>
      <c r="U12" s="78"/>
      <c r="V12" s="77">
        <f t="shared" si="5"/>
        <v>0</v>
      </c>
      <c r="W12" s="78">
        <f t="shared" si="6"/>
        <v>0</v>
      </c>
      <c r="X12" s="78">
        <f t="shared" si="7"/>
        <v>0</v>
      </c>
      <c r="Y12" s="77">
        <f t="shared" si="8"/>
        <v>0</v>
      </c>
      <c r="Z12" s="79"/>
      <c r="AA12" s="78"/>
      <c r="AB12" s="78">
        <f t="shared" si="9"/>
        <v>0</v>
      </c>
      <c r="AC12" s="78">
        <f t="shared" si="10"/>
        <v>0</v>
      </c>
      <c r="AD12" s="78">
        <f t="shared" si="11"/>
        <v>0</v>
      </c>
      <c r="AE12" s="77">
        <f t="shared" si="12"/>
        <v>0</v>
      </c>
      <c r="AF12" s="79"/>
      <c r="AG12" s="78"/>
      <c r="AH12" s="78">
        <f t="shared" si="13"/>
        <v>0</v>
      </c>
      <c r="AI12" s="78">
        <f t="shared" si="14"/>
        <v>0</v>
      </c>
      <c r="AJ12" s="78">
        <f t="shared" si="15"/>
        <v>0</v>
      </c>
      <c r="AK12" s="77">
        <f t="shared" si="16"/>
        <v>0</v>
      </c>
      <c r="AL12" s="79"/>
      <c r="AM12" s="78"/>
      <c r="AN12" s="78">
        <f t="shared" si="17"/>
        <v>0</v>
      </c>
      <c r="AO12" s="78">
        <f t="shared" si="18"/>
        <v>0</v>
      </c>
      <c r="AP12" s="78">
        <f t="shared" si="19"/>
        <v>0</v>
      </c>
      <c r="AQ12" s="77">
        <f t="shared" si="20"/>
        <v>0</v>
      </c>
      <c r="AR12" s="79"/>
      <c r="AS12" s="78"/>
      <c r="AT12" s="78">
        <f t="shared" si="21"/>
        <v>0</v>
      </c>
      <c r="AU12" s="78">
        <f t="shared" si="22"/>
        <v>0</v>
      </c>
      <c r="AV12" s="78">
        <f t="shared" si="23"/>
        <v>0</v>
      </c>
      <c r="AW12" s="77">
        <f t="shared" si="24"/>
        <v>0</v>
      </c>
      <c r="AX12" s="79"/>
      <c r="AY12" s="78"/>
      <c r="AZ12" s="78">
        <f t="shared" si="25"/>
        <v>0</v>
      </c>
      <c r="BA12" s="78">
        <f t="shared" si="26"/>
        <v>0</v>
      </c>
      <c r="BB12" s="78">
        <f t="shared" si="27"/>
        <v>0</v>
      </c>
      <c r="BC12" s="77">
        <f t="shared" si="28"/>
        <v>0</v>
      </c>
      <c r="BD12" s="79"/>
      <c r="BE12" s="78"/>
      <c r="BF12" s="78">
        <f t="shared" si="29"/>
        <v>0</v>
      </c>
      <c r="BG12" s="78">
        <f t="shared" si="30"/>
        <v>0</v>
      </c>
      <c r="BH12" s="78">
        <f t="shared" si="31"/>
        <v>0</v>
      </c>
      <c r="BI12" s="77">
        <f t="shared" si="32"/>
        <v>0</v>
      </c>
      <c r="BJ12" s="79"/>
      <c r="BK12" s="78"/>
      <c r="BL12" s="78">
        <f t="shared" si="33"/>
        <v>0</v>
      </c>
      <c r="BM12" s="78">
        <f t="shared" si="34"/>
        <v>0</v>
      </c>
      <c r="BN12" s="78">
        <f t="shared" si="35"/>
        <v>0</v>
      </c>
      <c r="BO12" s="77">
        <f t="shared" si="36"/>
        <v>0</v>
      </c>
      <c r="BP12" s="79"/>
      <c r="BQ12" s="78"/>
      <c r="BR12" s="78">
        <f t="shared" si="37"/>
        <v>0</v>
      </c>
      <c r="BS12" s="78">
        <f t="shared" si="38"/>
        <v>0</v>
      </c>
      <c r="BT12" s="78">
        <f t="shared" si="39"/>
        <v>0</v>
      </c>
      <c r="BU12" s="77">
        <f t="shared" si="40"/>
        <v>0</v>
      </c>
      <c r="BV12" s="79"/>
      <c r="BW12" s="78"/>
      <c r="BX12" s="78">
        <f t="shared" si="41"/>
        <v>0</v>
      </c>
      <c r="BY12" s="78">
        <f t="shared" si="42"/>
        <v>0</v>
      </c>
      <c r="BZ12" s="78">
        <f t="shared" si="43"/>
        <v>0</v>
      </c>
      <c r="CA12" s="77">
        <f t="shared" si="44"/>
        <v>0</v>
      </c>
      <c r="CB12" s="79"/>
      <c r="CC12" s="78"/>
      <c r="CD12" s="78">
        <f t="shared" si="45"/>
        <v>0</v>
      </c>
      <c r="CE12" s="78">
        <f t="shared" si="46"/>
        <v>0</v>
      </c>
      <c r="CF12" s="78">
        <f t="shared" si="47"/>
        <v>0</v>
      </c>
      <c r="CG12" s="77">
        <f t="shared" si="48"/>
        <v>0</v>
      </c>
      <c r="CH12" s="79"/>
      <c r="CI12" s="78"/>
      <c r="CJ12" s="78">
        <f t="shared" si="49"/>
        <v>0</v>
      </c>
      <c r="CK12" s="78">
        <f t="shared" si="50"/>
        <v>0</v>
      </c>
      <c r="CL12" s="78">
        <f t="shared" si="51"/>
        <v>0</v>
      </c>
      <c r="CM12" s="77">
        <f t="shared" si="52"/>
        <v>0</v>
      </c>
      <c r="CN12" s="79"/>
      <c r="CO12" s="78"/>
      <c r="CP12" s="78">
        <f t="shared" si="53"/>
        <v>0</v>
      </c>
      <c r="CQ12" s="78">
        <f t="shared" si="54"/>
        <v>0</v>
      </c>
      <c r="CR12" s="78">
        <f t="shared" si="55"/>
        <v>0</v>
      </c>
      <c r="CS12" s="77">
        <f t="shared" si="56"/>
        <v>0</v>
      </c>
      <c r="CT12" s="79"/>
      <c r="CU12" s="78"/>
      <c r="CV12" s="78">
        <f t="shared" si="57"/>
        <v>0</v>
      </c>
      <c r="CW12" s="78">
        <f t="shared" si="58"/>
        <v>0</v>
      </c>
      <c r="CX12" s="78">
        <f t="shared" si="59"/>
        <v>0</v>
      </c>
      <c r="CY12" s="77">
        <f t="shared" si="60"/>
        <v>0</v>
      </c>
      <c r="CZ12" s="79"/>
      <c r="DA12" s="78"/>
      <c r="DB12" s="78">
        <f t="shared" si="61"/>
        <v>0</v>
      </c>
      <c r="DC12" s="78">
        <f t="shared" si="62"/>
        <v>0</v>
      </c>
      <c r="DD12" s="78">
        <f t="shared" si="63"/>
        <v>0</v>
      </c>
      <c r="DE12" s="77">
        <f t="shared" si="64"/>
        <v>0</v>
      </c>
      <c r="DF12" s="79"/>
      <c r="DG12" s="78"/>
      <c r="DH12" s="78">
        <f t="shared" si="65"/>
        <v>0</v>
      </c>
      <c r="DI12" s="78">
        <f t="shared" si="66"/>
        <v>0</v>
      </c>
      <c r="DJ12" s="78">
        <f t="shared" si="67"/>
        <v>0</v>
      </c>
      <c r="DK12" s="77">
        <f t="shared" si="68"/>
        <v>0</v>
      </c>
      <c r="DL12" s="79"/>
      <c r="DM12" s="90"/>
      <c r="DN12" s="90">
        <f t="shared" si="69"/>
        <v>0</v>
      </c>
      <c r="DO12" s="90">
        <f t="shared" si="70"/>
        <v>0</v>
      </c>
      <c r="DP12" s="90">
        <f t="shared" si="71"/>
        <v>0</v>
      </c>
      <c r="DQ12" s="92">
        <f t="shared" si="72"/>
        <v>0</v>
      </c>
      <c r="DR12" s="79"/>
      <c r="DS12" s="78"/>
      <c r="DT12" s="78">
        <f t="shared" si="73"/>
        <v>0</v>
      </c>
      <c r="DU12" s="78">
        <f t="shared" si="74"/>
        <v>0</v>
      </c>
      <c r="DV12" s="78">
        <f t="shared" si="75"/>
        <v>0</v>
      </c>
      <c r="DW12" s="77">
        <f t="shared" si="76"/>
        <v>0</v>
      </c>
      <c r="DX12" s="79"/>
      <c r="DY12" s="78"/>
      <c r="DZ12" s="78">
        <f t="shared" si="77"/>
        <v>0</v>
      </c>
      <c r="EA12" s="78">
        <f t="shared" si="78"/>
        <v>0</v>
      </c>
      <c r="EB12" s="78">
        <f t="shared" si="79"/>
        <v>0</v>
      </c>
      <c r="EC12" s="77">
        <f t="shared" si="80"/>
        <v>0</v>
      </c>
      <c r="ED12" s="79"/>
      <c r="EE12" s="78"/>
      <c r="EF12" s="78">
        <f t="shared" si="81"/>
        <v>0</v>
      </c>
      <c r="EG12" s="78">
        <f t="shared" si="82"/>
        <v>0</v>
      </c>
      <c r="EH12" s="78">
        <f t="shared" si="83"/>
        <v>0</v>
      </c>
      <c r="EI12" s="77">
        <f t="shared" si="84"/>
        <v>0</v>
      </c>
      <c r="EJ12" s="79"/>
      <c r="EK12" s="78"/>
      <c r="EL12" s="78">
        <f t="shared" si="85"/>
        <v>0</v>
      </c>
      <c r="EM12" s="78">
        <f t="shared" si="86"/>
        <v>0</v>
      </c>
      <c r="EN12" s="78">
        <f t="shared" si="87"/>
        <v>0</v>
      </c>
      <c r="EO12" s="77">
        <f t="shared" si="88"/>
        <v>0</v>
      </c>
      <c r="EP12" s="79"/>
      <c r="EQ12" s="78"/>
      <c r="ER12" s="78">
        <f t="shared" si="89"/>
        <v>0</v>
      </c>
      <c r="ES12" s="78">
        <f t="shared" si="90"/>
        <v>0</v>
      </c>
      <c r="ET12" s="78">
        <f t="shared" si="91"/>
        <v>0</v>
      </c>
      <c r="EU12" s="77">
        <f t="shared" si="92"/>
        <v>0</v>
      </c>
      <c r="EV12" s="79"/>
      <c r="EW12" s="78"/>
      <c r="EX12" s="78">
        <f t="shared" si="93"/>
        <v>0</v>
      </c>
      <c r="EY12" s="78">
        <f t="shared" si="94"/>
        <v>0</v>
      </c>
      <c r="EZ12" s="78">
        <f t="shared" si="95"/>
        <v>0</v>
      </c>
      <c r="FA12" s="77">
        <f t="shared" si="96"/>
        <v>0</v>
      </c>
      <c r="FB12" s="79"/>
      <c r="FC12" s="78"/>
      <c r="FD12" s="78">
        <f t="shared" si="97"/>
        <v>0</v>
      </c>
      <c r="FE12" s="78">
        <f t="shared" si="98"/>
        <v>0</v>
      </c>
      <c r="FF12" s="78">
        <f t="shared" si="99"/>
        <v>0</v>
      </c>
      <c r="FG12" s="77">
        <f t="shared" si="100"/>
        <v>0</v>
      </c>
      <c r="FH12" s="79"/>
      <c r="FI12" s="80"/>
      <c r="FJ12" s="78"/>
      <c r="FK12" s="78"/>
      <c r="FL12" s="78"/>
      <c r="FM12" s="77">
        <f t="shared" si="101"/>
        <v>0</v>
      </c>
    </row>
    <row r="13" spans="1:169" s="52" customFormat="1" ht="12.75" hidden="1">
      <c r="A13" s="51">
        <v>45017</v>
      </c>
      <c r="C13" s="77"/>
      <c r="D13" s="77"/>
      <c r="E13" s="77">
        <f t="shared" si="0"/>
        <v>0</v>
      </c>
      <c r="F13" s="77"/>
      <c r="G13" s="77"/>
      <c r="H13" s="79"/>
      <c r="I13" s="79">
        <f>'2010C Academic'!I13</f>
        <v>0</v>
      </c>
      <c r="J13" s="79">
        <f>'2010C Academic'!J13</f>
        <v>0</v>
      </c>
      <c r="K13" s="79">
        <f t="shared" si="1"/>
        <v>0</v>
      </c>
      <c r="L13" s="79">
        <f>'2010C Academic'!L13</f>
        <v>0</v>
      </c>
      <c r="M13" s="79">
        <f>'2010C Academic'!M13</f>
        <v>0</v>
      </c>
      <c r="N13" s="79"/>
      <c r="O13" s="78">
        <f t="shared" si="2"/>
        <v>0</v>
      </c>
      <c r="P13" s="80">
        <f t="shared" si="2"/>
        <v>0</v>
      </c>
      <c r="Q13" s="78">
        <f t="shared" si="3"/>
        <v>0</v>
      </c>
      <c r="R13" s="78">
        <f t="shared" si="4"/>
        <v>0</v>
      </c>
      <c r="S13" s="78">
        <f t="shared" si="4"/>
        <v>0</v>
      </c>
      <c r="T13" s="79"/>
      <c r="U13" s="78">
        <f t="shared" si="102"/>
        <v>0</v>
      </c>
      <c r="V13" s="77">
        <f t="shared" si="5"/>
        <v>0</v>
      </c>
      <c r="W13" s="78">
        <f t="shared" si="6"/>
        <v>0</v>
      </c>
      <c r="X13" s="78">
        <f t="shared" si="7"/>
        <v>0</v>
      </c>
      <c r="Y13" s="77">
        <f t="shared" si="8"/>
        <v>0</v>
      </c>
      <c r="Z13" s="79"/>
      <c r="AA13" s="78">
        <f t="shared" si="103"/>
        <v>0</v>
      </c>
      <c r="AB13" s="78">
        <f t="shared" si="9"/>
        <v>0</v>
      </c>
      <c r="AC13" s="78">
        <f t="shared" si="10"/>
        <v>0</v>
      </c>
      <c r="AD13" s="78">
        <f t="shared" si="11"/>
        <v>0</v>
      </c>
      <c r="AE13" s="77">
        <f t="shared" si="12"/>
        <v>0</v>
      </c>
      <c r="AF13" s="79"/>
      <c r="AG13" s="78">
        <f t="shared" si="104"/>
        <v>0</v>
      </c>
      <c r="AH13" s="78">
        <f t="shared" si="13"/>
        <v>0</v>
      </c>
      <c r="AI13" s="78">
        <f t="shared" si="14"/>
        <v>0</v>
      </c>
      <c r="AJ13" s="78">
        <f t="shared" si="15"/>
        <v>0</v>
      </c>
      <c r="AK13" s="77">
        <f t="shared" si="16"/>
        <v>0</v>
      </c>
      <c r="AL13" s="79"/>
      <c r="AM13" s="78">
        <f t="shared" si="105"/>
        <v>0</v>
      </c>
      <c r="AN13" s="78">
        <f t="shared" si="17"/>
        <v>0</v>
      </c>
      <c r="AO13" s="78">
        <f t="shared" si="18"/>
        <v>0</v>
      </c>
      <c r="AP13" s="78">
        <f t="shared" si="19"/>
        <v>0</v>
      </c>
      <c r="AQ13" s="77">
        <f t="shared" si="20"/>
        <v>0</v>
      </c>
      <c r="AR13" s="79"/>
      <c r="AS13" s="78">
        <f t="shared" si="106"/>
        <v>0</v>
      </c>
      <c r="AT13" s="78">
        <f t="shared" si="21"/>
        <v>0</v>
      </c>
      <c r="AU13" s="78">
        <f t="shared" si="22"/>
        <v>0</v>
      </c>
      <c r="AV13" s="78">
        <f t="shared" si="23"/>
        <v>0</v>
      </c>
      <c r="AW13" s="77">
        <f t="shared" si="24"/>
        <v>0</v>
      </c>
      <c r="AX13" s="79"/>
      <c r="AY13" s="78">
        <f t="shared" si="107"/>
        <v>0</v>
      </c>
      <c r="AZ13" s="78">
        <f t="shared" si="25"/>
        <v>0</v>
      </c>
      <c r="BA13" s="78">
        <f t="shared" si="26"/>
        <v>0</v>
      </c>
      <c r="BB13" s="78">
        <f t="shared" si="27"/>
        <v>0</v>
      </c>
      <c r="BC13" s="77">
        <f t="shared" si="28"/>
        <v>0</v>
      </c>
      <c r="BD13" s="79"/>
      <c r="BE13" s="78">
        <f t="shared" si="108"/>
        <v>0</v>
      </c>
      <c r="BF13" s="78">
        <f t="shared" si="29"/>
        <v>0</v>
      </c>
      <c r="BG13" s="78">
        <f t="shared" si="30"/>
        <v>0</v>
      </c>
      <c r="BH13" s="78">
        <f t="shared" si="31"/>
        <v>0</v>
      </c>
      <c r="BI13" s="77">
        <f t="shared" si="32"/>
        <v>0</v>
      </c>
      <c r="BJ13" s="79"/>
      <c r="BK13" s="78">
        <f t="shared" si="109"/>
        <v>0</v>
      </c>
      <c r="BL13" s="78">
        <f t="shared" si="33"/>
        <v>0</v>
      </c>
      <c r="BM13" s="78">
        <f t="shared" si="34"/>
        <v>0</v>
      </c>
      <c r="BN13" s="78">
        <f t="shared" si="35"/>
        <v>0</v>
      </c>
      <c r="BO13" s="77">
        <f t="shared" si="36"/>
        <v>0</v>
      </c>
      <c r="BP13" s="79"/>
      <c r="BQ13" s="78">
        <f t="shared" si="110"/>
        <v>0</v>
      </c>
      <c r="BR13" s="78">
        <f t="shared" si="37"/>
        <v>0</v>
      </c>
      <c r="BS13" s="78">
        <f t="shared" si="38"/>
        <v>0</v>
      </c>
      <c r="BT13" s="78">
        <f t="shared" si="39"/>
        <v>0</v>
      </c>
      <c r="BU13" s="77">
        <f t="shared" si="40"/>
        <v>0</v>
      </c>
      <c r="BV13" s="79"/>
      <c r="BW13" s="78">
        <f t="shared" si="111"/>
        <v>0</v>
      </c>
      <c r="BX13" s="78">
        <f t="shared" si="41"/>
        <v>0</v>
      </c>
      <c r="BY13" s="78">
        <f t="shared" si="42"/>
        <v>0</v>
      </c>
      <c r="BZ13" s="78">
        <f t="shared" si="43"/>
        <v>0</v>
      </c>
      <c r="CA13" s="77">
        <f t="shared" si="44"/>
        <v>0</v>
      </c>
      <c r="CB13" s="79"/>
      <c r="CC13" s="78">
        <f t="shared" si="112"/>
        <v>0</v>
      </c>
      <c r="CD13" s="78">
        <f t="shared" si="45"/>
        <v>0</v>
      </c>
      <c r="CE13" s="78">
        <f t="shared" si="46"/>
        <v>0</v>
      </c>
      <c r="CF13" s="78">
        <f t="shared" si="47"/>
        <v>0</v>
      </c>
      <c r="CG13" s="77">
        <f t="shared" si="48"/>
        <v>0</v>
      </c>
      <c r="CH13" s="79"/>
      <c r="CI13" s="78">
        <f t="shared" si="113"/>
        <v>0</v>
      </c>
      <c r="CJ13" s="78">
        <f t="shared" si="49"/>
        <v>0</v>
      </c>
      <c r="CK13" s="78">
        <f t="shared" si="50"/>
        <v>0</v>
      </c>
      <c r="CL13" s="78">
        <f t="shared" si="51"/>
        <v>0</v>
      </c>
      <c r="CM13" s="77">
        <f t="shared" si="52"/>
        <v>0</v>
      </c>
      <c r="CN13" s="79"/>
      <c r="CO13" s="78">
        <f t="shared" si="114"/>
        <v>0</v>
      </c>
      <c r="CP13" s="78">
        <f t="shared" si="53"/>
        <v>0</v>
      </c>
      <c r="CQ13" s="78">
        <f t="shared" si="54"/>
        <v>0</v>
      </c>
      <c r="CR13" s="78">
        <f t="shared" si="55"/>
        <v>0</v>
      </c>
      <c r="CS13" s="77">
        <f t="shared" si="56"/>
        <v>0</v>
      </c>
      <c r="CT13" s="79"/>
      <c r="CU13" s="78">
        <f t="shared" si="115"/>
        <v>0</v>
      </c>
      <c r="CV13" s="78">
        <f t="shared" si="57"/>
        <v>0</v>
      </c>
      <c r="CW13" s="78">
        <f t="shared" si="58"/>
        <v>0</v>
      </c>
      <c r="CX13" s="78">
        <f t="shared" si="59"/>
        <v>0</v>
      </c>
      <c r="CY13" s="77">
        <f t="shared" si="60"/>
        <v>0</v>
      </c>
      <c r="CZ13" s="79"/>
      <c r="DA13" s="78">
        <f t="shared" si="116"/>
        <v>0</v>
      </c>
      <c r="DB13" s="78">
        <f t="shared" si="61"/>
        <v>0</v>
      </c>
      <c r="DC13" s="78">
        <f t="shared" si="62"/>
        <v>0</v>
      </c>
      <c r="DD13" s="78">
        <f t="shared" si="63"/>
        <v>0</v>
      </c>
      <c r="DE13" s="77">
        <f t="shared" si="64"/>
        <v>0</v>
      </c>
      <c r="DF13" s="79"/>
      <c r="DG13" s="78">
        <f t="shared" si="117"/>
        <v>0</v>
      </c>
      <c r="DH13" s="78">
        <f t="shared" si="65"/>
        <v>0</v>
      </c>
      <c r="DI13" s="78">
        <f t="shared" si="66"/>
        <v>0</v>
      </c>
      <c r="DJ13" s="78">
        <f t="shared" si="67"/>
        <v>0</v>
      </c>
      <c r="DK13" s="77">
        <f t="shared" si="68"/>
        <v>0</v>
      </c>
      <c r="DL13" s="79"/>
      <c r="DM13" s="90">
        <f t="shared" si="118"/>
        <v>0</v>
      </c>
      <c r="DN13" s="90">
        <f t="shared" si="69"/>
        <v>0</v>
      </c>
      <c r="DO13" s="90">
        <f t="shared" si="70"/>
        <v>0</v>
      </c>
      <c r="DP13" s="90">
        <f t="shared" si="71"/>
        <v>0</v>
      </c>
      <c r="DQ13" s="92">
        <f t="shared" si="72"/>
        <v>0</v>
      </c>
      <c r="DR13" s="79"/>
      <c r="DS13" s="78">
        <f t="shared" si="119"/>
        <v>0</v>
      </c>
      <c r="DT13" s="78">
        <f t="shared" si="73"/>
        <v>0</v>
      </c>
      <c r="DU13" s="78">
        <f t="shared" si="74"/>
        <v>0</v>
      </c>
      <c r="DV13" s="78">
        <f t="shared" si="75"/>
        <v>0</v>
      </c>
      <c r="DW13" s="77">
        <f t="shared" si="76"/>
        <v>0</v>
      </c>
      <c r="DX13" s="79"/>
      <c r="DY13" s="78">
        <f t="shared" si="120"/>
        <v>0</v>
      </c>
      <c r="DZ13" s="78">
        <f t="shared" si="77"/>
        <v>0</v>
      </c>
      <c r="EA13" s="78">
        <f t="shared" si="78"/>
        <v>0</v>
      </c>
      <c r="EB13" s="78">
        <f t="shared" si="79"/>
        <v>0</v>
      </c>
      <c r="EC13" s="77">
        <f t="shared" si="80"/>
        <v>0</v>
      </c>
      <c r="ED13" s="79"/>
      <c r="EE13" s="78">
        <f t="shared" si="121"/>
        <v>0</v>
      </c>
      <c r="EF13" s="78">
        <f t="shared" si="81"/>
        <v>0</v>
      </c>
      <c r="EG13" s="78">
        <f t="shared" si="82"/>
        <v>0</v>
      </c>
      <c r="EH13" s="78">
        <f t="shared" si="83"/>
        <v>0</v>
      </c>
      <c r="EI13" s="77">
        <f t="shared" si="84"/>
        <v>0</v>
      </c>
      <c r="EJ13" s="79"/>
      <c r="EK13" s="78">
        <f t="shared" si="122"/>
        <v>0</v>
      </c>
      <c r="EL13" s="78">
        <f t="shared" si="85"/>
        <v>0</v>
      </c>
      <c r="EM13" s="78">
        <f t="shared" si="86"/>
        <v>0</v>
      </c>
      <c r="EN13" s="78">
        <f t="shared" si="87"/>
        <v>0</v>
      </c>
      <c r="EO13" s="77">
        <f t="shared" si="88"/>
        <v>0</v>
      </c>
      <c r="EP13" s="79"/>
      <c r="EQ13" s="78">
        <f t="shared" si="123"/>
        <v>0</v>
      </c>
      <c r="ER13" s="78">
        <f t="shared" si="89"/>
        <v>0</v>
      </c>
      <c r="ES13" s="78">
        <f t="shared" si="90"/>
        <v>0</v>
      </c>
      <c r="ET13" s="78">
        <f t="shared" si="91"/>
        <v>0</v>
      </c>
      <c r="EU13" s="77">
        <f t="shared" si="92"/>
        <v>0</v>
      </c>
      <c r="EV13" s="79"/>
      <c r="EW13" s="78">
        <f t="shared" si="124"/>
        <v>0</v>
      </c>
      <c r="EX13" s="78">
        <f t="shared" si="93"/>
        <v>0</v>
      </c>
      <c r="EY13" s="78">
        <f t="shared" si="94"/>
        <v>0</v>
      </c>
      <c r="EZ13" s="78">
        <f t="shared" si="95"/>
        <v>0</v>
      </c>
      <c r="FA13" s="77">
        <f t="shared" si="96"/>
        <v>0</v>
      </c>
      <c r="FB13" s="79"/>
      <c r="FC13" s="78">
        <f t="shared" si="125"/>
        <v>0</v>
      </c>
      <c r="FD13" s="78">
        <f t="shared" si="97"/>
        <v>0</v>
      </c>
      <c r="FE13" s="78">
        <f t="shared" si="98"/>
        <v>0</v>
      </c>
      <c r="FF13" s="78">
        <f t="shared" si="99"/>
        <v>0</v>
      </c>
      <c r="FG13" s="77">
        <f t="shared" si="100"/>
        <v>0</v>
      </c>
      <c r="FH13" s="79"/>
      <c r="FI13" s="80"/>
      <c r="FJ13" s="78"/>
      <c r="FK13" s="78"/>
      <c r="FL13" s="78"/>
      <c r="FM13" s="77">
        <f t="shared" si="101"/>
        <v>0</v>
      </c>
    </row>
    <row r="14" spans="1:169" s="52" customFormat="1" ht="12.75" hidden="1">
      <c r="A14" s="51">
        <v>45200</v>
      </c>
      <c r="C14" s="77"/>
      <c r="D14" s="77"/>
      <c r="E14" s="77">
        <f t="shared" si="0"/>
        <v>0</v>
      </c>
      <c r="F14" s="77"/>
      <c r="G14" s="77"/>
      <c r="H14" s="79"/>
      <c r="I14" s="79">
        <f>'2010C Academic'!I14</f>
        <v>0</v>
      </c>
      <c r="J14" s="79">
        <f>'2010C Academic'!J14</f>
        <v>0</v>
      </c>
      <c r="K14" s="79">
        <f t="shared" si="1"/>
        <v>0</v>
      </c>
      <c r="L14" s="79">
        <f>'2010C Academic'!L14</f>
        <v>0</v>
      </c>
      <c r="M14" s="79">
        <f>'2010C Academic'!M14</f>
        <v>0</v>
      </c>
      <c r="N14" s="79"/>
      <c r="O14" s="78">
        <f t="shared" si="2"/>
        <v>0</v>
      </c>
      <c r="P14" s="80">
        <f t="shared" si="2"/>
        <v>0</v>
      </c>
      <c r="Q14" s="78">
        <f t="shared" si="3"/>
        <v>0</v>
      </c>
      <c r="R14" s="78">
        <f t="shared" si="4"/>
        <v>0</v>
      </c>
      <c r="S14" s="78">
        <f t="shared" si="4"/>
        <v>0</v>
      </c>
      <c r="T14" s="79"/>
      <c r="U14" s="78"/>
      <c r="V14" s="77">
        <f t="shared" si="5"/>
        <v>0</v>
      </c>
      <c r="W14" s="78">
        <f t="shared" si="6"/>
        <v>0</v>
      </c>
      <c r="X14" s="78">
        <f t="shared" si="7"/>
        <v>0</v>
      </c>
      <c r="Y14" s="77">
        <f t="shared" si="8"/>
        <v>0</v>
      </c>
      <c r="Z14" s="79"/>
      <c r="AA14" s="78"/>
      <c r="AB14" s="78">
        <f t="shared" si="9"/>
        <v>0</v>
      </c>
      <c r="AC14" s="78">
        <f t="shared" si="10"/>
        <v>0</v>
      </c>
      <c r="AD14" s="78">
        <f t="shared" si="11"/>
        <v>0</v>
      </c>
      <c r="AE14" s="77">
        <f t="shared" si="12"/>
        <v>0</v>
      </c>
      <c r="AF14" s="79"/>
      <c r="AG14" s="78"/>
      <c r="AH14" s="78">
        <f t="shared" si="13"/>
        <v>0</v>
      </c>
      <c r="AI14" s="78">
        <f t="shared" si="14"/>
        <v>0</v>
      </c>
      <c r="AJ14" s="78">
        <f t="shared" si="15"/>
        <v>0</v>
      </c>
      <c r="AK14" s="77">
        <f t="shared" si="16"/>
        <v>0</v>
      </c>
      <c r="AL14" s="79"/>
      <c r="AM14" s="78"/>
      <c r="AN14" s="78">
        <f t="shared" si="17"/>
        <v>0</v>
      </c>
      <c r="AO14" s="78">
        <f t="shared" si="18"/>
        <v>0</v>
      </c>
      <c r="AP14" s="78">
        <f t="shared" si="19"/>
        <v>0</v>
      </c>
      <c r="AQ14" s="77">
        <f t="shared" si="20"/>
        <v>0</v>
      </c>
      <c r="AR14" s="79"/>
      <c r="AS14" s="78"/>
      <c r="AT14" s="78">
        <f t="shared" si="21"/>
        <v>0</v>
      </c>
      <c r="AU14" s="78">
        <f t="shared" si="22"/>
        <v>0</v>
      </c>
      <c r="AV14" s="78">
        <f t="shared" si="23"/>
        <v>0</v>
      </c>
      <c r="AW14" s="77">
        <f t="shared" si="24"/>
        <v>0</v>
      </c>
      <c r="AX14" s="79"/>
      <c r="AY14" s="78"/>
      <c r="AZ14" s="78">
        <f t="shared" si="25"/>
        <v>0</v>
      </c>
      <c r="BA14" s="78">
        <f t="shared" si="26"/>
        <v>0</v>
      </c>
      <c r="BB14" s="78">
        <f t="shared" si="27"/>
        <v>0</v>
      </c>
      <c r="BC14" s="77">
        <f t="shared" si="28"/>
        <v>0</v>
      </c>
      <c r="BD14" s="79"/>
      <c r="BE14" s="78"/>
      <c r="BF14" s="78">
        <f t="shared" si="29"/>
        <v>0</v>
      </c>
      <c r="BG14" s="78">
        <f t="shared" si="30"/>
        <v>0</v>
      </c>
      <c r="BH14" s="78">
        <f t="shared" si="31"/>
        <v>0</v>
      </c>
      <c r="BI14" s="77">
        <f t="shared" si="32"/>
        <v>0</v>
      </c>
      <c r="BJ14" s="79"/>
      <c r="BK14" s="78"/>
      <c r="BL14" s="78">
        <f t="shared" si="33"/>
        <v>0</v>
      </c>
      <c r="BM14" s="78">
        <f t="shared" si="34"/>
        <v>0</v>
      </c>
      <c r="BN14" s="78">
        <f t="shared" si="35"/>
        <v>0</v>
      </c>
      <c r="BO14" s="77">
        <f t="shared" si="36"/>
        <v>0</v>
      </c>
      <c r="BP14" s="79"/>
      <c r="BQ14" s="78"/>
      <c r="BR14" s="78">
        <f t="shared" si="37"/>
        <v>0</v>
      </c>
      <c r="BS14" s="78">
        <f t="shared" si="38"/>
        <v>0</v>
      </c>
      <c r="BT14" s="78">
        <f t="shared" si="39"/>
        <v>0</v>
      </c>
      <c r="BU14" s="77">
        <f t="shared" si="40"/>
        <v>0</v>
      </c>
      <c r="BV14" s="79"/>
      <c r="BW14" s="78"/>
      <c r="BX14" s="78">
        <f t="shared" si="41"/>
        <v>0</v>
      </c>
      <c r="BY14" s="78">
        <f t="shared" si="42"/>
        <v>0</v>
      </c>
      <c r="BZ14" s="78">
        <f t="shared" si="43"/>
        <v>0</v>
      </c>
      <c r="CA14" s="77">
        <f t="shared" si="44"/>
        <v>0</v>
      </c>
      <c r="CB14" s="79"/>
      <c r="CC14" s="78"/>
      <c r="CD14" s="78">
        <f t="shared" si="45"/>
        <v>0</v>
      </c>
      <c r="CE14" s="78">
        <f t="shared" si="46"/>
        <v>0</v>
      </c>
      <c r="CF14" s="78">
        <f t="shared" si="47"/>
        <v>0</v>
      </c>
      <c r="CG14" s="77">
        <f t="shared" si="48"/>
        <v>0</v>
      </c>
      <c r="CH14" s="79"/>
      <c r="CI14" s="78"/>
      <c r="CJ14" s="78">
        <f t="shared" si="49"/>
        <v>0</v>
      </c>
      <c r="CK14" s="78">
        <f t="shared" si="50"/>
        <v>0</v>
      </c>
      <c r="CL14" s="78">
        <f t="shared" si="51"/>
        <v>0</v>
      </c>
      <c r="CM14" s="77">
        <f t="shared" si="52"/>
        <v>0</v>
      </c>
      <c r="CN14" s="79"/>
      <c r="CO14" s="78"/>
      <c r="CP14" s="78">
        <f t="shared" si="53"/>
        <v>0</v>
      </c>
      <c r="CQ14" s="78">
        <f t="shared" si="54"/>
        <v>0</v>
      </c>
      <c r="CR14" s="78">
        <f t="shared" si="55"/>
        <v>0</v>
      </c>
      <c r="CS14" s="77">
        <f t="shared" si="56"/>
        <v>0</v>
      </c>
      <c r="CT14" s="79"/>
      <c r="CU14" s="78"/>
      <c r="CV14" s="78">
        <f t="shared" si="57"/>
        <v>0</v>
      </c>
      <c r="CW14" s="78">
        <f t="shared" si="58"/>
        <v>0</v>
      </c>
      <c r="CX14" s="78">
        <f t="shared" si="59"/>
        <v>0</v>
      </c>
      <c r="CY14" s="77">
        <f t="shared" si="60"/>
        <v>0</v>
      </c>
      <c r="CZ14" s="79"/>
      <c r="DA14" s="78"/>
      <c r="DB14" s="78">
        <f t="shared" si="61"/>
        <v>0</v>
      </c>
      <c r="DC14" s="78">
        <f t="shared" si="62"/>
        <v>0</v>
      </c>
      <c r="DD14" s="78">
        <f t="shared" si="63"/>
        <v>0</v>
      </c>
      <c r="DE14" s="77">
        <f t="shared" si="64"/>
        <v>0</v>
      </c>
      <c r="DF14" s="79"/>
      <c r="DG14" s="78"/>
      <c r="DH14" s="78">
        <f t="shared" si="65"/>
        <v>0</v>
      </c>
      <c r="DI14" s="78">
        <f t="shared" si="66"/>
        <v>0</v>
      </c>
      <c r="DJ14" s="78">
        <f t="shared" si="67"/>
        <v>0</v>
      </c>
      <c r="DK14" s="77">
        <f t="shared" si="68"/>
        <v>0</v>
      </c>
      <c r="DL14" s="79"/>
      <c r="DM14" s="90"/>
      <c r="DN14" s="90">
        <f t="shared" si="69"/>
        <v>0</v>
      </c>
      <c r="DO14" s="90">
        <f t="shared" si="70"/>
        <v>0</v>
      </c>
      <c r="DP14" s="90">
        <f t="shared" si="71"/>
        <v>0</v>
      </c>
      <c r="DQ14" s="92">
        <f t="shared" si="72"/>
        <v>0</v>
      </c>
      <c r="DR14" s="79"/>
      <c r="DS14" s="78"/>
      <c r="DT14" s="78">
        <f t="shared" si="73"/>
        <v>0</v>
      </c>
      <c r="DU14" s="78">
        <f t="shared" si="74"/>
        <v>0</v>
      </c>
      <c r="DV14" s="78">
        <f t="shared" si="75"/>
        <v>0</v>
      </c>
      <c r="DW14" s="77">
        <f t="shared" si="76"/>
        <v>0</v>
      </c>
      <c r="DX14" s="79"/>
      <c r="DY14" s="78"/>
      <c r="DZ14" s="78">
        <f t="shared" si="77"/>
        <v>0</v>
      </c>
      <c r="EA14" s="78">
        <f t="shared" si="78"/>
        <v>0</v>
      </c>
      <c r="EB14" s="78">
        <f t="shared" si="79"/>
        <v>0</v>
      </c>
      <c r="EC14" s="77">
        <f t="shared" si="80"/>
        <v>0</v>
      </c>
      <c r="ED14" s="79"/>
      <c r="EE14" s="78"/>
      <c r="EF14" s="78">
        <f t="shared" si="81"/>
        <v>0</v>
      </c>
      <c r="EG14" s="78">
        <f t="shared" si="82"/>
        <v>0</v>
      </c>
      <c r="EH14" s="78">
        <f t="shared" si="83"/>
        <v>0</v>
      </c>
      <c r="EI14" s="77">
        <f t="shared" si="84"/>
        <v>0</v>
      </c>
      <c r="EJ14" s="79"/>
      <c r="EK14" s="78"/>
      <c r="EL14" s="78">
        <f t="shared" si="85"/>
        <v>0</v>
      </c>
      <c r="EM14" s="78">
        <f t="shared" si="86"/>
        <v>0</v>
      </c>
      <c r="EN14" s="78">
        <f t="shared" si="87"/>
        <v>0</v>
      </c>
      <c r="EO14" s="77">
        <f t="shared" si="88"/>
        <v>0</v>
      </c>
      <c r="EP14" s="79"/>
      <c r="EQ14" s="78"/>
      <c r="ER14" s="78">
        <f t="shared" si="89"/>
        <v>0</v>
      </c>
      <c r="ES14" s="78">
        <f t="shared" si="90"/>
        <v>0</v>
      </c>
      <c r="ET14" s="78">
        <f t="shared" si="91"/>
        <v>0</v>
      </c>
      <c r="EU14" s="77">
        <f t="shared" si="92"/>
        <v>0</v>
      </c>
      <c r="EV14" s="79"/>
      <c r="EW14" s="78"/>
      <c r="EX14" s="78">
        <f t="shared" si="93"/>
        <v>0</v>
      </c>
      <c r="EY14" s="78">
        <f t="shared" si="94"/>
        <v>0</v>
      </c>
      <c r="EZ14" s="78">
        <f t="shared" si="95"/>
        <v>0</v>
      </c>
      <c r="FA14" s="77">
        <f t="shared" si="96"/>
        <v>0</v>
      </c>
      <c r="FB14" s="79"/>
      <c r="FC14" s="78"/>
      <c r="FD14" s="78">
        <f t="shared" si="97"/>
        <v>0</v>
      </c>
      <c r="FE14" s="78">
        <f t="shared" si="98"/>
        <v>0</v>
      </c>
      <c r="FF14" s="78">
        <f t="shared" si="99"/>
        <v>0</v>
      </c>
      <c r="FG14" s="77">
        <f t="shared" si="100"/>
        <v>0</v>
      </c>
      <c r="FH14" s="79"/>
      <c r="FI14" s="80"/>
      <c r="FJ14" s="78"/>
      <c r="FK14" s="78"/>
      <c r="FL14" s="78"/>
      <c r="FM14" s="77">
        <f t="shared" si="101"/>
        <v>0</v>
      </c>
    </row>
    <row r="15" spans="1:169" s="52" customFormat="1" ht="12.75" hidden="1">
      <c r="A15" s="51">
        <v>45383</v>
      </c>
      <c r="C15" s="77"/>
      <c r="D15" s="77"/>
      <c r="E15" s="77">
        <f t="shared" si="0"/>
        <v>0</v>
      </c>
      <c r="F15" s="77"/>
      <c r="G15" s="77"/>
      <c r="H15" s="79"/>
      <c r="I15" s="79">
        <f>'2010C Academic'!I15</f>
        <v>0</v>
      </c>
      <c r="J15" s="79">
        <f>'2010C Academic'!J15</f>
        <v>0</v>
      </c>
      <c r="K15" s="79">
        <f t="shared" si="1"/>
        <v>0</v>
      </c>
      <c r="L15" s="79">
        <f>'2010C Academic'!L15</f>
        <v>0</v>
      </c>
      <c r="M15" s="79">
        <f>'2010C Academic'!M15</f>
        <v>0</v>
      </c>
      <c r="N15" s="79"/>
      <c r="O15" s="78">
        <f t="shared" si="2"/>
        <v>0</v>
      </c>
      <c r="P15" s="80">
        <f t="shared" si="2"/>
        <v>0</v>
      </c>
      <c r="Q15" s="78">
        <f t="shared" si="3"/>
        <v>0</v>
      </c>
      <c r="R15" s="78">
        <f t="shared" si="4"/>
        <v>0</v>
      </c>
      <c r="S15" s="78">
        <f t="shared" si="4"/>
        <v>0</v>
      </c>
      <c r="T15" s="79"/>
      <c r="U15" s="78">
        <f t="shared" si="102"/>
        <v>0</v>
      </c>
      <c r="V15" s="77">
        <f t="shared" si="5"/>
        <v>0</v>
      </c>
      <c r="W15" s="78">
        <f t="shared" si="6"/>
        <v>0</v>
      </c>
      <c r="X15" s="78">
        <f t="shared" si="7"/>
        <v>0</v>
      </c>
      <c r="Y15" s="77">
        <f t="shared" si="8"/>
        <v>0</v>
      </c>
      <c r="Z15" s="79"/>
      <c r="AA15" s="78">
        <f t="shared" si="103"/>
        <v>0</v>
      </c>
      <c r="AB15" s="78">
        <f t="shared" si="9"/>
        <v>0</v>
      </c>
      <c r="AC15" s="78">
        <f t="shared" si="10"/>
        <v>0</v>
      </c>
      <c r="AD15" s="78">
        <f t="shared" si="11"/>
        <v>0</v>
      </c>
      <c r="AE15" s="77">
        <f t="shared" si="12"/>
        <v>0</v>
      </c>
      <c r="AF15" s="79"/>
      <c r="AG15" s="78">
        <f t="shared" si="104"/>
        <v>0</v>
      </c>
      <c r="AH15" s="78">
        <f t="shared" si="13"/>
        <v>0</v>
      </c>
      <c r="AI15" s="78">
        <f t="shared" si="14"/>
        <v>0</v>
      </c>
      <c r="AJ15" s="78">
        <f t="shared" si="15"/>
        <v>0</v>
      </c>
      <c r="AK15" s="77">
        <f t="shared" si="16"/>
        <v>0</v>
      </c>
      <c r="AL15" s="79"/>
      <c r="AM15" s="78">
        <f t="shared" si="105"/>
        <v>0</v>
      </c>
      <c r="AN15" s="78">
        <f t="shared" si="17"/>
        <v>0</v>
      </c>
      <c r="AO15" s="78">
        <f t="shared" si="18"/>
        <v>0</v>
      </c>
      <c r="AP15" s="78">
        <f t="shared" si="19"/>
        <v>0</v>
      </c>
      <c r="AQ15" s="77">
        <f t="shared" si="20"/>
        <v>0</v>
      </c>
      <c r="AR15" s="79"/>
      <c r="AS15" s="78">
        <f t="shared" si="106"/>
        <v>0</v>
      </c>
      <c r="AT15" s="78">
        <f t="shared" si="21"/>
        <v>0</v>
      </c>
      <c r="AU15" s="78">
        <f t="shared" si="22"/>
        <v>0</v>
      </c>
      <c r="AV15" s="78">
        <f t="shared" si="23"/>
        <v>0</v>
      </c>
      <c r="AW15" s="77">
        <f t="shared" si="24"/>
        <v>0</v>
      </c>
      <c r="AX15" s="79"/>
      <c r="AY15" s="78">
        <f t="shared" si="107"/>
        <v>0</v>
      </c>
      <c r="AZ15" s="78">
        <f t="shared" si="25"/>
        <v>0</v>
      </c>
      <c r="BA15" s="78">
        <f t="shared" si="26"/>
        <v>0</v>
      </c>
      <c r="BB15" s="78">
        <f t="shared" si="27"/>
        <v>0</v>
      </c>
      <c r="BC15" s="77">
        <f t="shared" si="28"/>
        <v>0</v>
      </c>
      <c r="BD15" s="79"/>
      <c r="BE15" s="78">
        <f t="shared" si="108"/>
        <v>0</v>
      </c>
      <c r="BF15" s="78">
        <f t="shared" si="29"/>
        <v>0</v>
      </c>
      <c r="BG15" s="78">
        <f t="shared" si="30"/>
        <v>0</v>
      </c>
      <c r="BH15" s="78">
        <f t="shared" si="31"/>
        <v>0</v>
      </c>
      <c r="BI15" s="77">
        <f t="shared" si="32"/>
        <v>0</v>
      </c>
      <c r="BJ15" s="79"/>
      <c r="BK15" s="78">
        <f t="shared" si="109"/>
        <v>0</v>
      </c>
      <c r="BL15" s="78">
        <f t="shared" si="33"/>
        <v>0</v>
      </c>
      <c r="BM15" s="78">
        <f t="shared" si="34"/>
        <v>0</v>
      </c>
      <c r="BN15" s="78">
        <f t="shared" si="35"/>
        <v>0</v>
      </c>
      <c r="BO15" s="77">
        <f t="shared" si="36"/>
        <v>0</v>
      </c>
      <c r="BP15" s="79"/>
      <c r="BQ15" s="78">
        <f t="shared" si="110"/>
        <v>0</v>
      </c>
      <c r="BR15" s="78">
        <f t="shared" si="37"/>
        <v>0</v>
      </c>
      <c r="BS15" s="78">
        <f t="shared" si="38"/>
        <v>0</v>
      </c>
      <c r="BT15" s="78">
        <f t="shared" si="39"/>
        <v>0</v>
      </c>
      <c r="BU15" s="77">
        <f t="shared" si="40"/>
        <v>0</v>
      </c>
      <c r="BV15" s="79"/>
      <c r="BW15" s="78">
        <f t="shared" si="111"/>
        <v>0</v>
      </c>
      <c r="BX15" s="78">
        <f t="shared" si="41"/>
        <v>0</v>
      </c>
      <c r="BY15" s="78">
        <f t="shared" si="42"/>
        <v>0</v>
      </c>
      <c r="BZ15" s="78">
        <f t="shared" si="43"/>
        <v>0</v>
      </c>
      <c r="CA15" s="77">
        <f t="shared" si="44"/>
        <v>0</v>
      </c>
      <c r="CB15" s="79"/>
      <c r="CC15" s="78">
        <f t="shared" si="112"/>
        <v>0</v>
      </c>
      <c r="CD15" s="78">
        <f t="shared" si="45"/>
        <v>0</v>
      </c>
      <c r="CE15" s="78">
        <f t="shared" si="46"/>
        <v>0</v>
      </c>
      <c r="CF15" s="78">
        <f t="shared" si="47"/>
        <v>0</v>
      </c>
      <c r="CG15" s="77">
        <f t="shared" si="48"/>
        <v>0</v>
      </c>
      <c r="CH15" s="79"/>
      <c r="CI15" s="78">
        <f t="shared" si="113"/>
        <v>0</v>
      </c>
      <c r="CJ15" s="78">
        <f t="shared" si="49"/>
        <v>0</v>
      </c>
      <c r="CK15" s="78">
        <f t="shared" si="50"/>
        <v>0</v>
      </c>
      <c r="CL15" s="78">
        <f t="shared" si="51"/>
        <v>0</v>
      </c>
      <c r="CM15" s="77">
        <f t="shared" si="52"/>
        <v>0</v>
      </c>
      <c r="CN15" s="79"/>
      <c r="CO15" s="78">
        <f t="shared" si="114"/>
        <v>0</v>
      </c>
      <c r="CP15" s="78">
        <f t="shared" si="53"/>
        <v>0</v>
      </c>
      <c r="CQ15" s="78">
        <f t="shared" si="54"/>
        <v>0</v>
      </c>
      <c r="CR15" s="78">
        <f t="shared" si="55"/>
        <v>0</v>
      </c>
      <c r="CS15" s="77">
        <f t="shared" si="56"/>
        <v>0</v>
      </c>
      <c r="CT15" s="79"/>
      <c r="CU15" s="78">
        <f t="shared" si="115"/>
        <v>0</v>
      </c>
      <c r="CV15" s="78">
        <f t="shared" si="57"/>
        <v>0</v>
      </c>
      <c r="CW15" s="78">
        <f t="shared" si="58"/>
        <v>0</v>
      </c>
      <c r="CX15" s="78">
        <f t="shared" si="59"/>
        <v>0</v>
      </c>
      <c r="CY15" s="77">
        <f t="shared" si="60"/>
        <v>0</v>
      </c>
      <c r="CZ15" s="79"/>
      <c r="DA15" s="78">
        <f t="shared" si="116"/>
        <v>0</v>
      </c>
      <c r="DB15" s="78">
        <f t="shared" si="61"/>
        <v>0</v>
      </c>
      <c r="DC15" s="78">
        <f t="shared" si="62"/>
        <v>0</v>
      </c>
      <c r="DD15" s="78">
        <f t="shared" si="63"/>
        <v>0</v>
      </c>
      <c r="DE15" s="77">
        <f t="shared" si="64"/>
        <v>0</v>
      </c>
      <c r="DF15" s="79"/>
      <c r="DG15" s="78">
        <f t="shared" si="117"/>
        <v>0</v>
      </c>
      <c r="DH15" s="78">
        <f t="shared" si="65"/>
        <v>0</v>
      </c>
      <c r="DI15" s="78">
        <f t="shared" si="66"/>
        <v>0</v>
      </c>
      <c r="DJ15" s="78">
        <f t="shared" si="67"/>
        <v>0</v>
      </c>
      <c r="DK15" s="77">
        <f t="shared" si="68"/>
        <v>0</v>
      </c>
      <c r="DL15" s="79"/>
      <c r="DM15" s="90">
        <f t="shared" si="118"/>
        <v>0</v>
      </c>
      <c r="DN15" s="90">
        <f t="shared" si="69"/>
        <v>0</v>
      </c>
      <c r="DO15" s="90">
        <f t="shared" si="70"/>
        <v>0</v>
      </c>
      <c r="DP15" s="90">
        <f t="shared" si="71"/>
        <v>0</v>
      </c>
      <c r="DQ15" s="92">
        <f t="shared" si="72"/>
        <v>0</v>
      </c>
      <c r="DR15" s="79"/>
      <c r="DS15" s="78">
        <f t="shared" si="119"/>
        <v>0</v>
      </c>
      <c r="DT15" s="78">
        <f t="shared" si="73"/>
        <v>0</v>
      </c>
      <c r="DU15" s="78">
        <f t="shared" si="74"/>
        <v>0</v>
      </c>
      <c r="DV15" s="78">
        <f t="shared" si="75"/>
        <v>0</v>
      </c>
      <c r="DW15" s="77">
        <f t="shared" si="76"/>
        <v>0</v>
      </c>
      <c r="DX15" s="79"/>
      <c r="DY15" s="78">
        <f t="shared" si="120"/>
        <v>0</v>
      </c>
      <c r="DZ15" s="78">
        <f t="shared" si="77"/>
        <v>0</v>
      </c>
      <c r="EA15" s="78">
        <f t="shared" si="78"/>
        <v>0</v>
      </c>
      <c r="EB15" s="78">
        <f t="shared" si="79"/>
        <v>0</v>
      </c>
      <c r="EC15" s="77">
        <f t="shared" si="80"/>
        <v>0</v>
      </c>
      <c r="ED15" s="79"/>
      <c r="EE15" s="78">
        <f t="shared" si="121"/>
        <v>0</v>
      </c>
      <c r="EF15" s="78">
        <f t="shared" si="81"/>
        <v>0</v>
      </c>
      <c r="EG15" s="78">
        <f t="shared" si="82"/>
        <v>0</v>
      </c>
      <c r="EH15" s="78">
        <f t="shared" si="83"/>
        <v>0</v>
      </c>
      <c r="EI15" s="77">
        <f t="shared" si="84"/>
        <v>0</v>
      </c>
      <c r="EJ15" s="79"/>
      <c r="EK15" s="78">
        <f t="shared" si="122"/>
        <v>0</v>
      </c>
      <c r="EL15" s="78">
        <f t="shared" si="85"/>
        <v>0</v>
      </c>
      <c r="EM15" s="78">
        <f t="shared" si="86"/>
        <v>0</v>
      </c>
      <c r="EN15" s="78">
        <f t="shared" si="87"/>
        <v>0</v>
      </c>
      <c r="EO15" s="77">
        <f t="shared" si="88"/>
        <v>0</v>
      </c>
      <c r="EP15" s="79"/>
      <c r="EQ15" s="78">
        <f t="shared" si="123"/>
        <v>0</v>
      </c>
      <c r="ER15" s="78">
        <f t="shared" si="89"/>
        <v>0</v>
      </c>
      <c r="ES15" s="78">
        <f t="shared" si="90"/>
        <v>0</v>
      </c>
      <c r="ET15" s="78">
        <f t="shared" si="91"/>
        <v>0</v>
      </c>
      <c r="EU15" s="77">
        <f t="shared" si="92"/>
        <v>0</v>
      </c>
      <c r="EV15" s="79"/>
      <c r="EW15" s="78">
        <f t="shared" si="124"/>
        <v>0</v>
      </c>
      <c r="EX15" s="78">
        <f t="shared" si="93"/>
        <v>0</v>
      </c>
      <c r="EY15" s="78">
        <f t="shared" si="94"/>
        <v>0</v>
      </c>
      <c r="EZ15" s="78">
        <f t="shared" si="95"/>
        <v>0</v>
      </c>
      <c r="FA15" s="77">
        <f t="shared" si="96"/>
        <v>0</v>
      </c>
      <c r="FB15" s="79"/>
      <c r="FC15" s="78">
        <f t="shared" si="125"/>
        <v>0</v>
      </c>
      <c r="FD15" s="78">
        <f t="shared" si="97"/>
        <v>0</v>
      </c>
      <c r="FE15" s="78">
        <f t="shared" si="98"/>
        <v>0</v>
      </c>
      <c r="FF15" s="78">
        <f t="shared" si="99"/>
        <v>0</v>
      </c>
      <c r="FG15" s="77">
        <f t="shared" si="100"/>
        <v>0</v>
      </c>
      <c r="FH15" s="79"/>
      <c r="FI15" s="80"/>
      <c r="FJ15" s="78"/>
      <c r="FK15" s="78"/>
      <c r="FL15" s="78"/>
      <c r="FM15" s="77">
        <f t="shared" si="101"/>
        <v>0</v>
      </c>
    </row>
    <row r="16" spans="3:169" ht="12.75">
      <c r="C16" s="42"/>
      <c r="D16" s="42"/>
      <c r="E16" s="42"/>
      <c r="F16" s="42"/>
      <c r="G16" s="42"/>
      <c r="J16" s="50"/>
      <c r="M16" s="42"/>
      <c r="S16" s="42"/>
      <c r="Y16" s="42"/>
      <c r="AA16" s="33"/>
      <c r="AB16" s="33"/>
      <c r="AE16" s="42"/>
      <c r="AG16" s="33"/>
      <c r="AH16" s="33"/>
      <c r="AI16" s="33"/>
      <c r="AJ16" s="33"/>
      <c r="AK16" s="42"/>
      <c r="AM16" s="20"/>
      <c r="AN16" s="20"/>
      <c r="AO16" s="20"/>
      <c r="AP16" s="20"/>
      <c r="AQ16" s="42"/>
      <c r="AR16" s="33"/>
      <c r="AS16" s="33"/>
      <c r="AT16" s="33"/>
      <c r="AU16" s="33"/>
      <c r="AV16" s="33"/>
      <c r="AW16" s="42"/>
      <c r="AX16" s="33"/>
      <c r="AY16" s="33"/>
      <c r="AZ16" s="33"/>
      <c r="BA16" s="33"/>
      <c r="BB16" s="33"/>
      <c r="BC16" s="42"/>
      <c r="BD16" s="33"/>
      <c r="BE16" s="33"/>
      <c r="BF16" s="33"/>
      <c r="BG16" s="33"/>
      <c r="BH16" s="33"/>
      <c r="BI16" s="42"/>
      <c r="BJ16" s="33"/>
      <c r="BK16" s="33"/>
      <c r="BL16" s="33"/>
      <c r="BM16" s="33"/>
      <c r="BN16" s="33"/>
      <c r="BO16" s="42"/>
      <c r="BP16" s="33"/>
      <c r="BQ16" s="33"/>
      <c r="BR16" s="33"/>
      <c r="BS16" s="33"/>
      <c r="BT16" s="33"/>
      <c r="BU16" s="42"/>
      <c r="BV16" s="33"/>
      <c r="BW16" s="33"/>
      <c r="BX16" s="33"/>
      <c r="BY16" s="33"/>
      <c r="BZ16" s="33"/>
      <c r="CA16" s="42"/>
      <c r="CB16" s="33"/>
      <c r="CC16" s="33"/>
      <c r="CD16" s="33"/>
      <c r="CE16" s="33"/>
      <c r="CF16" s="33"/>
      <c r="CG16" s="42"/>
      <c r="CH16" s="33"/>
      <c r="CI16" s="33"/>
      <c r="CJ16" s="33"/>
      <c r="CK16" s="33"/>
      <c r="CL16" s="33"/>
      <c r="CM16" s="42"/>
      <c r="CN16" s="33"/>
      <c r="CO16" s="33"/>
      <c r="CP16" s="33"/>
      <c r="CQ16" s="33"/>
      <c r="CR16" s="33"/>
      <c r="CS16" s="42"/>
      <c r="CT16" s="33"/>
      <c r="CU16" s="33"/>
      <c r="CV16" s="33"/>
      <c r="CW16" s="33"/>
      <c r="CX16" s="33"/>
      <c r="CY16" s="42"/>
      <c r="CZ16" s="33"/>
      <c r="DA16" s="33"/>
      <c r="DB16" s="33"/>
      <c r="DC16" s="33"/>
      <c r="DD16" s="33"/>
      <c r="DE16" s="42"/>
      <c r="DF16" s="33"/>
      <c r="DG16" s="33"/>
      <c r="DH16" s="33"/>
      <c r="DI16" s="33"/>
      <c r="DJ16" s="33"/>
      <c r="DK16" s="42"/>
      <c r="DL16" s="33"/>
      <c r="DM16" s="93"/>
      <c r="DN16" s="93"/>
      <c r="DO16" s="93"/>
      <c r="DP16" s="93"/>
      <c r="DQ16" s="94"/>
      <c r="DR16" s="33"/>
      <c r="DS16" s="33"/>
      <c r="DT16" s="33"/>
      <c r="DU16" s="33"/>
      <c r="DV16" s="33"/>
      <c r="DW16" s="42"/>
      <c r="DX16" s="33"/>
      <c r="DY16" s="33"/>
      <c r="DZ16" s="33"/>
      <c r="EA16" s="33"/>
      <c r="EB16" s="33"/>
      <c r="EC16" s="42"/>
      <c r="ED16" s="33"/>
      <c r="EE16" s="33"/>
      <c r="EF16" s="33"/>
      <c r="EG16" s="33"/>
      <c r="EH16" s="33"/>
      <c r="EI16" s="42"/>
      <c r="EJ16" s="33"/>
      <c r="EK16" s="33"/>
      <c r="EL16" s="33"/>
      <c r="EM16" s="33"/>
      <c r="EN16" s="33"/>
      <c r="EO16" s="42"/>
      <c r="EP16" s="33"/>
      <c r="EQ16" s="33"/>
      <c r="ER16" s="33"/>
      <c r="ES16" s="33"/>
      <c r="ET16" s="33"/>
      <c r="EU16" s="42"/>
      <c r="EV16" s="33"/>
      <c r="EW16" s="33"/>
      <c r="EX16" s="33"/>
      <c r="EY16" s="33"/>
      <c r="EZ16" s="33"/>
      <c r="FA16" s="42"/>
      <c r="FB16" s="33"/>
      <c r="FC16" s="33"/>
      <c r="FD16" s="33"/>
      <c r="FE16" s="33"/>
      <c r="FF16" s="33"/>
      <c r="FG16" s="42"/>
      <c r="FH16" s="33"/>
      <c r="FI16" s="50"/>
      <c r="FJ16" s="50"/>
      <c r="FK16" s="50"/>
      <c r="FL16" s="50"/>
      <c r="FM16" s="42"/>
    </row>
    <row r="17" spans="1:169" ht="13.5" thickBot="1">
      <c r="A17" s="31" t="s">
        <v>4</v>
      </c>
      <c r="C17" s="49">
        <f>SUM(C8:C16)</f>
        <v>6035000</v>
      </c>
      <c r="D17" s="49">
        <f>SUM(D8:D16)</f>
        <v>241400</v>
      </c>
      <c r="E17" s="49">
        <f>SUM(E8:E16)</f>
        <v>6276400</v>
      </c>
      <c r="F17" s="49">
        <f>SUM(F8:F16)</f>
        <v>220477</v>
      </c>
      <c r="G17" s="49">
        <f>SUM(G8:G16)</f>
        <v>13177</v>
      </c>
      <c r="I17" s="49">
        <f>SUM(I8:I16)</f>
        <v>3275954.3065000004</v>
      </c>
      <c r="J17" s="49">
        <f>SUM(J8:J16)</f>
        <v>131038.17225999999</v>
      </c>
      <c r="K17" s="49">
        <f>SUM(K8:K16)</f>
        <v>3406992.478760001</v>
      </c>
      <c r="L17" s="49">
        <f>SUM(L8:L16)</f>
        <v>119680.6259543</v>
      </c>
      <c r="M17" s="49">
        <f>SUM(M8:M16)</f>
        <v>7152.8168842999985</v>
      </c>
      <c r="O17" s="49">
        <f>SUM(O8:O16)</f>
        <v>2759045.6934999996</v>
      </c>
      <c r="P17" s="49">
        <f>SUM(P8:P16)</f>
        <v>110361.82774</v>
      </c>
      <c r="Q17" s="49">
        <f>SUM(Q8:Q16)</f>
        <v>2869407.521239999</v>
      </c>
      <c r="R17" s="49">
        <f>SUM(R8:R16)</f>
        <v>100796.37404570001</v>
      </c>
      <c r="S17" s="49">
        <f>SUM(S8:S16)</f>
        <v>6024.1831157</v>
      </c>
      <c r="U17" s="49">
        <f>SUM(U8:U16)</f>
        <v>493204.34</v>
      </c>
      <c r="V17" s="49">
        <f>SUM(V8:V16)</f>
        <v>19728.1736</v>
      </c>
      <c r="W17" s="49">
        <f>SUM(W8:W16)</f>
        <v>512932.5136</v>
      </c>
      <c r="X17" s="49">
        <f>SUM(X8:X16)</f>
        <v>18018.262348</v>
      </c>
      <c r="Y17" s="49">
        <f>SUM(Y8:Y16)</f>
        <v>1076.877148</v>
      </c>
      <c r="AA17" s="49">
        <f>SUM(AA8:AA16)</f>
        <v>359472.36100000003</v>
      </c>
      <c r="AB17" s="49">
        <f>SUM(AB8:AB16)</f>
        <v>14378.894439999998</v>
      </c>
      <c r="AC17" s="49">
        <f>SUM(AC8:AC16)</f>
        <v>373851.25544</v>
      </c>
      <c r="AD17" s="49">
        <f>SUM(AD8:AD16)</f>
        <v>13132.6243142</v>
      </c>
      <c r="AE17" s="49">
        <f>SUM(AE8:AE16)</f>
        <v>784.8827342</v>
      </c>
      <c r="AG17" s="49">
        <f>SUM(AG8:AG16)</f>
        <v>190587.71400000004</v>
      </c>
      <c r="AH17" s="49">
        <f>SUM(AH8:AH16)</f>
        <v>7623.50856</v>
      </c>
      <c r="AI17" s="49">
        <f>SUM(AI8:AI16)</f>
        <v>198211.22256000002</v>
      </c>
      <c r="AJ17" s="49">
        <f>SUM(AJ8:AJ16)</f>
        <v>6962.7518508</v>
      </c>
      <c r="AK17" s="49">
        <f>SUM(AK8:AK16)</f>
        <v>416.1349308</v>
      </c>
      <c r="AM17" s="49">
        <f>SUM(AM8:AM16)</f>
        <v>138611.88</v>
      </c>
      <c r="AN17" s="49">
        <f>SUM(AN8:AN16)</f>
        <v>5544.4752</v>
      </c>
      <c r="AO17" s="49">
        <f>SUM(AO8:AO16)</f>
        <v>144156.3552</v>
      </c>
      <c r="AP17" s="49">
        <f>SUM(AP8:AP16)</f>
        <v>5063.915736</v>
      </c>
      <c r="AQ17" s="49">
        <f>SUM(AQ8:AQ16)</f>
        <v>302.64933599999995</v>
      </c>
      <c r="AR17" s="33"/>
      <c r="AS17" s="49">
        <f>SUM(AS8:AS16)</f>
        <v>15877.4815</v>
      </c>
      <c r="AT17" s="49">
        <f>SUM(AT8:AT16)</f>
        <v>635.09926</v>
      </c>
      <c r="AU17" s="49">
        <f>SUM(AU8:AU16)</f>
        <v>16512.58076</v>
      </c>
      <c r="AV17" s="49">
        <f>SUM(AV8:AV16)</f>
        <v>580.0529392999999</v>
      </c>
      <c r="AW17" s="49">
        <f>SUM(AW8:AW16)</f>
        <v>34.6673693</v>
      </c>
      <c r="AX17" s="33"/>
      <c r="AY17" s="49">
        <f>SUM(AY8:AY16)</f>
        <v>251194.2015</v>
      </c>
      <c r="AZ17" s="49">
        <f>SUM(AZ8:AZ16)</f>
        <v>10047.768059999999</v>
      </c>
      <c r="BA17" s="49">
        <f>SUM(BA8:BA16)</f>
        <v>261241.96955999997</v>
      </c>
      <c r="BB17" s="49">
        <f>SUM(BB8:BB16)</f>
        <v>9176.8921233</v>
      </c>
      <c r="BC17" s="49">
        <f>SUM(BC8:BC16)</f>
        <v>548.4649532999999</v>
      </c>
      <c r="BD17" s="33"/>
      <c r="BE17" s="49">
        <f>SUM(BE8:BE16)</f>
        <v>27230.5235</v>
      </c>
      <c r="BF17" s="49">
        <f>SUM(BF8:BF16)</f>
        <v>1089.22094</v>
      </c>
      <c r="BG17" s="49">
        <f>SUM(BG8:BG16)</f>
        <v>28319.74444</v>
      </c>
      <c r="BH17" s="49">
        <f>SUM(BH8:BH16)</f>
        <v>994.8142717000001</v>
      </c>
      <c r="BI17" s="49">
        <f>SUM(BI8:BI16)</f>
        <v>59.4559417</v>
      </c>
      <c r="BJ17" s="33"/>
      <c r="BK17" s="49">
        <f>SUM(BK8:BK16)</f>
        <v>85182.21449999999</v>
      </c>
      <c r="BL17" s="49">
        <f>SUM(BL8:BL16)</f>
        <v>3407.28858</v>
      </c>
      <c r="BM17" s="49">
        <f>SUM(BM8:BM16)</f>
        <v>88589.50307999998</v>
      </c>
      <c r="BN17" s="49">
        <f>SUM(BN8:BN16)</f>
        <v>3111.9667119</v>
      </c>
      <c r="BO17" s="49">
        <f>SUM(BO8:BO16)</f>
        <v>185.98940190000002</v>
      </c>
      <c r="BP17" s="33"/>
      <c r="BQ17" s="49">
        <f>SUM(BQ8:BQ16)</f>
        <v>43197.9265</v>
      </c>
      <c r="BR17" s="49">
        <f>SUM(BR8:BR16)</f>
        <v>1727.91706</v>
      </c>
      <c r="BS17" s="49">
        <f>SUM(BS8:BS16)</f>
        <v>44925.84356000001</v>
      </c>
      <c r="BT17" s="49">
        <f>SUM(BT8:BT16)</f>
        <v>1578.1523183</v>
      </c>
      <c r="BU17" s="49">
        <f>SUM(BU8:BU16)</f>
        <v>94.3196483</v>
      </c>
      <c r="BV17" s="33"/>
      <c r="BW17" s="49">
        <f>SUM(BW8:BW16)</f>
        <v>8389.253499999999</v>
      </c>
      <c r="BX17" s="49">
        <f>SUM(BX8:BX16)</f>
        <v>335.57014</v>
      </c>
      <c r="BY17" s="49">
        <f>SUM(BY8:BY16)</f>
        <v>8724.823639999999</v>
      </c>
      <c r="BZ17" s="49">
        <f>SUM(BZ8:BZ16)</f>
        <v>306.48507770000003</v>
      </c>
      <c r="CA17" s="49">
        <f>SUM(CA8:CA16)</f>
        <v>18.3173477</v>
      </c>
      <c r="CB17" s="33"/>
      <c r="CC17" s="49">
        <f>SUM(CC8:CC16)</f>
        <v>33333.719000000005</v>
      </c>
      <c r="CD17" s="49">
        <f>SUM(CD8:CD16)</f>
        <v>1333.34876</v>
      </c>
      <c r="CE17" s="49">
        <f>SUM(CE8:CE16)</f>
        <v>34667.06776</v>
      </c>
      <c r="CF17" s="49">
        <f>SUM(CF8:CF16)</f>
        <v>1217.7826618</v>
      </c>
      <c r="CG17" s="49">
        <f>SUM(CG8:CG16)</f>
        <v>72.7818418</v>
      </c>
      <c r="CH17" s="33"/>
      <c r="CI17" s="49">
        <f>SUM(CI8:CI16)</f>
        <v>81299.2955</v>
      </c>
      <c r="CJ17" s="49">
        <f>SUM(CJ8:CJ16)</f>
        <v>3251.9718199999998</v>
      </c>
      <c r="CK17" s="49">
        <f>SUM(CK8:CK16)</f>
        <v>84551.26732</v>
      </c>
      <c r="CL17" s="49">
        <f>SUM(CL8:CL16)</f>
        <v>2970.1118101</v>
      </c>
      <c r="CM17" s="49">
        <f>SUM(CM8:CM16)</f>
        <v>177.5113201</v>
      </c>
      <c r="CN17" s="33"/>
      <c r="CO17" s="49">
        <f>SUM(CO8:CO16)</f>
        <v>181969.734</v>
      </c>
      <c r="CP17" s="49">
        <f>SUM(CP8:CP16)</f>
        <v>7278.78936</v>
      </c>
      <c r="CQ17" s="49">
        <f>SUM(CQ8:CQ16)</f>
        <v>189248.52336</v>
      </c>
      <c r="CR17" s="49">
        <f>SUM(CR8:CR16)</f>
        <v>6647.9106948</v>
      </c>
      <c r="CS17" s="49">
        <f>SUM(CS8:CS16)</f>
        <v>397.3181748</v>
      </c>
      <c r="CT17" s="33"/>
      <c r="CU17" s="49">
        <f>SUM(CU8:CU16)</f>
        <v>27531.0665</v>
      </c>
      <c r="CV17" s="49">
        <f>SUM(CV8:CV16)</f>
        <v>1101.2426600000001</v>
      </c>
      <c r="CW17" s="49">
        <f>SUM(CW8:CW16)</f>
        <v>28632.309160000004</v>
      </c>
      <c r="CX17" s="49">
        <f>SUM(CX8:CX16)</f>
        <v>1005.7940262999999</v>
      </c>
      <c r="CY17" s="49">
        <f>SUM(CY8:CY16)</f>
        <v>60.112156299999995</v>
      </c>
      <c r="CZ17" s="33"/>
      <c r="DA17" s="49">
        <f>SUM(DA8:DA16)</f>
        <v>79106.1765</v>
      </c>
      <c r="DB17" s="49">
        <f>SUM(DB8:DB16)</f>
        <v>3164.2470599999997</v>
      </c>
      <c r="DC17" s="49">
        <f>SUM(DC8:DC16)</f>
        <v>82270.42356</v>
      </c>
      <c r="DD17" s="49">
        <f>SUM(DD8:DD16)</f>
        <v>2889.9904683000004</v>
      </c>
      <c r="DE17" s="49">
        <f>SUM(DE8:DE16)</f>
        <v>172.72279830000002</v>
      </c>
      <c r="DF17" s="33"/>
      <c r="DG17" s="49">
        <f>SUM(DG8:DG16)</f>
        <v>3048.2785</v>
      </c>
      <c r="DH17" s="49">
        <f>SUM(DH8:DH16)</f>
        <v>121.93114</v>
      </c>
      <c r="DI17" s="49">
        <f>SUM(DI8:DI16)</f>
        <v>3170.2096399999996</v>
      </c>
      <c r="DJ17" s="49">
        <f>SUM(DJ8:DJ16)</f>
        <v>111.36293269999999</v>
      </c>
      <c r="DK17" s="49">
        <f>SUM(DK8:DK16)</f>
        <v>6.655702699999999</v>
      </c>
      <c r="DL17" s="33"/>
      <c r="DM17" s="95">
        <f>SUM(DM8:DM16)</f>
        <v>166878.613</v>
      </c>
      <c r="DN17" s="95">
        <f>SUM(DN8:DN16)</f>
        <v>6675.144520000001</v>
      </c>
      <c r="DO17" s="95">
        <f>SUM(DO8:DO16)</f>
        <v>173553.75751999998</v>
      </c>
      <c r="DP17" s="95">
        <f>SUM(DP8:DP16)</f>
        <v>6096.5859086</v>
      </c>
      <c r="DQ17" s="95">
        <f>SUM(DQ8:DQ16)</f>
        <v>364.36776860000003</v>
      </c>
      <c r="DR17" s="33"/>
      <c r="DS17" s="49">
        <f>SUM(DS8:DS16)</f>
        <v>26272.769</v>
      </c>
      <c r="DT17" s="49">
        <f>SUM(DT8:DT16)</f>
        <v>1050.91076</v>
      </c>
      <c r="DU17" s="49">
        <f>SUM(DU8:DU16)</f>
        <v>27323.67976</v>
      </c>
      <c r="DV17" s="49">
        <f>SUM(DV8:DV16)</f>
        <v>959.8245718000001</v>
      </c>
      <c r="DW17" s="49">
        <f>SUM(DW8:DW16)</f>
        <v>57.36475180000001</v>
      </c>
      <c r="DX17" s="33"/>
      <c r="DY17" s="49">
        <f>SUM(DY8:DY16)</f>
        <v>135201.50149999998</v>
      </c>
      <c r="DZ17" s="49">
        <f>SUM(DZ8:DZ16)</f>
        <v>5408.06006</v>
      </c>
      <c r="EA17" s="49">
        <f>SUM(EA8:EA16)</f>
        <v>140609.56155999997</v>
      </c>
      <c r="EB17" s="49">
        <f>SUM(EB8:EB16)</f>
        <v>4939.3241833</v>
      </c>
      <c r="EC17" s="49">
        <f>SUM(EC8:EC16)</f>
        <v>295.20301329999995</v>
      </c>
      <c r="ED17" s="33"/>
      <c r="EE17" s="49">
        <f>SUM(EE8:EE16)</f>
        <v>38598.653000000006</v>
      </c>
      <c r="EF17" s="49">
        <f>SUM(EF8:EF16)</f>
        <v>1543.9461200000003</v>
      </c>
      <c r="EG17" s="49">
        <f>SUM(EG8:EG16)</f>
        <v>40142.59912</v>
      </c>
      <c r="EH17" s="49">
        <f>SUM(EH8:EH16)</f>
        <v>1410.1267966</v>
      </c>
      <c r="EI17" s="49">
        <f>SUM(EI8:EI16)</f>
        <v>84.2774566</v>
      </c>
      <c r="EJ17" s="33"/>
      <c r="EK17" s="49">
        <f>SUM(EK8:EK16)</f>
        <v>387.44700000000006</v>
      </c>
      <c r="EL17" s="49">
        <f>SUM(EL8:EL16)</f>
        <v>15.49788</v>
      </c>
      <c r="EM17" s="49">
        <f>SUM(EM8:EM16)</f>
        <v>402.94488000000007</v>
      </c>
      <c r="EN17" s="49">
        <f>SUM(EN8:EN16)</f>
        <v>14.1546234</v>
      </c>
      <c r="EO17" s="49">
        <f>SUM(EO8:EO16)</f>
        <v>0.8459634</v>
      </c>
      <c r="EP17" s="33"/>
      <c r="EQ17" s="49">
        <f>SUM(EQ8:EQ16)</f>
        <v>719.372</v>
      </c>
      <c r="ER17" s="49">
        <f>SUM(ER8:ER16)</f>
        <v>28.77488</v>
      </c>
      <c r="ES17" s="49">
        <f>SUM(ES8:ES16)</f>
        <v>748.1468799999999</v>
      </c>
      <c r="ET17" s="49">
        <f>SUM(ET8:ET16)</f>
        <v>26.2808584</v>
      </c>
      <c r="EU17" s="49">
        <f>SUM(EU8:EU16)</f>
        <v>1.5706984</v>
      </c>
      <c r="EV17" s="33"/>
      <c r="EW17" s="49">
        <f>SUM(EW8:EW16)</f>
        <v>130039.766</v>
      </c>
      <c r="EX17" s="49">
        <f>SUM(EX8:EX16)</f>
        <v>5201.59064</v>
      </c>
      <c r="EY17" s="49">
        <f>SUM(EY8:EY16)</f>
        <v>135241.35664</v>
      </c>
      <c r="EZ17" s="49">
        <f>SUM(EZ8:EZ16)</f>
        <v>4750.7502052</v>
      </c>
      <c r="FA17" s="49">
        <f>SUM(FA8:FA16)</f>
        <v>283.9327252</v>
      </c>
      <c r="FB17" s="33"/>
      <c r="FC17" s="49">
        <f>SUM(FC8:FC16)</f>
        <v>241711.40600000002</v>
      </c>
      <c r="FD17" s="49">
        <f>SUM(FD8:FD16)</f>
        <v>9668.456240000001</v>
      </c>
      <c r="FE17" s="49">
        <f>SUM(FE8:FE16)</f>
        <v>251379.86224000005</v>
      </c>
      <c r="FF17" s="49">
        <f>SUM(FF8:FF16)</f>
        <v>8830.4566132</v>
      </c>
      <c r="FG17" s="49">
        <f>SUM(FG8:FG16)</f>
        <v>527.7599332</v>
      </c>
      <c r="FH17" s="33"/>
      <c r="FI17" s="49">
        <f>SUM(FI8:FI16)</f>
        <v>0</v>
      </c>
      <c r="FJ17" s="49">
        <f>SUM(FJ8:FJ16)</f>
        <v>0</v>
      </c>
      <c r="FK17" s="49">
        <f>SUM(FK8:IV16)</f>
        <v>0</v>
      </c>
      <c r="FL17" s="42"/>
      <c r="FM17" s="49">
        <f>SUM(FM8:FM16)</f>
        <v>0</v>
      </c>
    </row>
    <row r="18" spans="33:43" ht="13.5" thickTop="1">
      <c r="AG18" s="33"/>
      <c r="AH18" s="33"/>
      <c r="AI18" s="33"/>
      <c r="AJ18" s="33"/>
      <c r="AK18" s="33"/>
      <c r="AM18" s="20"/>
      <c r="AN18" s="20"/>
      <c r="AO18" s="20"/>
      <c r="AP18" s="20"/>
      <c r="AQ18" s="20"/>
    </row>
    <row r="19" spans="16:43" ht="12.75">
      <c r="P19" s="33"/>
      <c r="AG19" s="33"/>
      <c r="AH19" s="33"/>
      <c r="AI19" s="33"/>
      <c r="AJ19" s="33"/>
      <c r="AK19" s="33"/>
      <c r="AM19" s="20"/>
      <c r="AN19" s="20"/>
      <c r="AO19" s="20"/>
      <c r="AP19" s="20"/>
      <c r="AQ19" s="20"/>
    </row>
    <row r="20" spans="33:43" ht="12.75">
      <c r="AG20" s="33"/>
      <c r="AH20" s="33"/>
      <c r="AI20" s="33"/>
      <c r="AJ20" s="33"/>
      <c r="AK20" s="33"/>
      <c r="AM20" s="20"/>
      <c r="AN20" s="20"/>
      <c r="AO20" s="20"/>
      <c r="AP20" s="20"/>
      <c r="AQ20" s="20"/>
    </row>
    <row r="21" spans="33:43" ht="12.75">
      <c r="AG21" s="33"/>
      <c r="AH21" s="33"/>
      <c r="AI21" s="33"/>
      <c r="AJ21" s="33"/>
      <c r="AK21" s="33"/>
      <c r="AM21" s="20"/>
      <c r="AN21" s="20"/>
      <c r="AO21" s="20"/>
      <c r="AP21" s="20"/>
      <c r="AQ21" s="20"/>
    </row>
    <row r="22" spans="33:43" ht="12.75">
      <c r="AG22" s="33"/>
      <c r="AH22" s="33"/>
      <c r="AI22" s="33"/>
      <c r="AJ22" s="33"/>
      <c r="AK22" s="33"/>
      <c r="AM22" s="20"/>
      <c r="AN22" s="20"/>
      <c r="AO22" s="20"/>
      <c r="AP22" s="20"/>
      <c r="AQ22" s="20"/>
    </row>
    <row r="23" spans="33:43" ht="12.75">
      <c r="AG23" s="33"/>
      <c r="AH23" s="33"/>
      <c r="AI23" s="33"/>
      <c r="AJ23" s="33"/>
      <c r="AK23" s="33"/>
      <c r="AM23" s="20"/>
      <c r="AN23" s="20"/>
      <c r="AO23" s="20"/>
      <c r="AP23" s="20"/>
      <c r="AQ23" s="20"/>
    </row>
    <row r="24" spans="33:43" ht="12.75">
      <c r="AG24" s="33"/>
      <c r="AH24" s="33"/>
      <c r="AI24" s="33"/>
      <c r="AJ24" s="33"/>
      <c r="AK24" s="33"/>
      <c r="AM24" s="20"/>
      <c r="AN24" s="20"/>
      <c r="AO24" s="20"/>
      <c r="AP24" s="20"/>
      <c r="AQ24" s="20"/>
    </row>
    <row r="25" spans="33:43" ht="12.75">
      <c r="AG25" s="33"/>
      <c r="AH25" s="33"/>
      <c r="AI25" s="33"/>
      <c r="AJ25" s="33"/>
      <c r="AK25" s="33"/>
      <c r="AM25" s="20"/>
      <c r="AN25" s="20"/>
      <c r="AO25" s="20"/>
      <c r="AP25" s="20"/>
      <c r="AQ25" s="20"/>
    </row>
    <row r="26" spans="33:43" ht="12.75">
      <c r="AG26" s="33"/>
      <c r="AH26" s="33"/>
      <c r="AI26" s="33"/>
      <c r="AJ26" s="33"/>
      <c r="AK26" s="33"/>
      <c r="AM26" s="20"/>
      <c r="AN26" s="20"/>
      <c r="AO26" s="20"/>
      <c r="AP26" s="20"/>
      <c r="AQ26" s="20"/>
    </row>
    <row r="27" spans="33:43" ht="12.75">
      <c r="AG27" s="33"/>
      <c r="AH27" s="33"/>
      <c r="AI27" s="33"/>
      <c r="AJ27" s="33"/>
      <c r="AK27" s="33"/>
      <c r="AM27" s="20"/>
      <c r="AN27" s="20"/>
      <c r="AO27" s="20"/>
      <c r="AP27" s="20"/>
      <c r="AQ27" s="20"/>
    </row>
    <row r="28" spans="33:43" ht="12.75">
      <c r="AG28" s="33"/>
      <c r="AH28" s="33"/>
      <c r="AI28" s="33"/>
      <c r="AJ28" s="33"/>
      <c r="AK28" s="33"/>
      <c r="AM28" s="20"/>
      <c r="AN28" s="20"/>
      <c r="AO28" s="20"/>
      <c r="AP28" s="20"/>
      <c r="AQ28" s="20"/>
    </row>
    <row r="29" spans="33:43" ht="12.75">
      <c r="AG29" s="33"/>
      <c r="AH29" s="33"/>
      <c r="AI29" s="33"/>
      <c r="AJ29" s="33"/>
      <c r="AK29" s="33"/>
      <c r="AM29" s="20"/>
      <c r="AN29" s="20"/>
      <c r="AO29" s="20"/>
      <c r="AP29" s="20"/>
      <c r="AQ29" s="20"/>
    </row>
    <row r="30" spans="33:43" ht="12.75">
      <c r="AG30" s="33"/>
      <c r="AH30" s="33"/>
      <c r="AI30" s="33"/>
      <c r="AJ30" s="33"/>
      <c r="AK30" s="33"/>
      <c r="AM30" s="20"/>
      <c r="AN30" s="20"/>
      <c r="AO30" s="20"/>
      <c r="AP30" s="20"/>
      <c r="AQ30" s="20"/>
    </row>
    <row r="31" spans="1:168" ht="12.75">
      <c r="A31"/>
      <c r="C31"/>
      <c r="D31"/>
      <c r="E31"/>
      <c r="F31"/>
      <c r="G31"/>
      <c r="H31"/>
      <c r="I31"/>
      <c r="J31"/>
      <c r="K31"/>
      <c r="L31"/>
      <c r="M31"/>
      <c r="N31"/>
      <c r="T31"/>
      <c r="AG31" s="33"/>
      <c r="AH31" s="33"/>
      <c r="AI31" s="33"/>
      <c r="AJ31" s="33"/>
      <c r="AK31" s="33"/>
      <c r="AM31" s="20"/>
      <c r="AN31" s="20"/>
      <c r="AO31" s="20"/>
      <c r="AP31" s="20"/>
      <c r="AQ31" s="20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</row>
    <row r="32" spans="1:168" ht="12.75">
      <c r="A32"/>
      <c r="C32"/>
      <c r="D32"/>
      <c r="E32"/>
      <c r="F32"/>
      <c r="G32"/>
      <c r="H32"/>
      <c r="I32"/>
      <c r="J32"/>
      <c r="K32"/>
      <c r="L32"/>
      <c r="M32"/>
      <c r="N32"/>
      <c r="T32"/>
      <c r="AG32" s="33"/>
      <c r="AH32" s="33"/>
      <c r="AI32" s="33"/>
      <c r="AJ32" s="33"/>
      <c r="AK32" s="33"/>
      <c r="AM32" s="20"/>
      <c r="AN32" s="20"/>
      <c r="AO32" s="20"/>
      <c r="AP32" s="20"/>
      <c r="AQ32" s="20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</row>
    <row r="33" spans="33:43" ht="12.75">
      <c r="AG33" s="33"/>
      <c r="AH33" s="33"/>
      <c r="AI33" s="33"/>
      <c r="AJ33" s="33"/>
      <c r="AK33" s="33"/>
      <c r="AM33" s="20"/>
      <c r="AN33" s="20"/>
      <c r="AO33" s="20"/>
      <c r="AP33" s="20"/>
      <c r="AQ33" s="20"/>
    </row>
    <row r="34" spans="33:43" ht="12.75">
      <c r="AG34" s="33"/>
      <c r="AH34" s="33"/>
      <c r="AI34" s="33"/>
      <c r="AJ34" s="33"/>
      <c r="AK34" s="33"/>
      <c r="AM34" s="20"/>
      <c r="AN34" s="20"/>
      <c r="AO34" s="20"/>
      <c r="AP34" s="20"/>
      <c r="AQ34" s="20"/>
    </row>
    <row r="35" spans="33:43" ht="12.75">
      <c r="AG35" s="33"/>
      <c r="AH35" s="33"/>
      <c r="AI35" s="33"/>
      <c r="AJ35" s="33"/>
      <c r="AK35" s="33"/>
      <c r="AM35" s="20"/>
      <c r="AN35" s="20"/>
      <c r="AO35" s="20"/>
      <c r="AP35" s="20"/>
      <c r="AQ35" s="20"/>
    </row>
    <row r="36" spans="33:43" ht="12.75">
      <c r="AG36" s="33"/>
      <c r="AH36" s="33"/>
      <c r="AI36" s="33"/>
      <c r="AJ36" s="33"/>
      <c r="AK36" s="33"/>
      <c r="AM36" s="20"/>
      <c r="AN36" s="20"/>
      <c r="AO36" s="20"/>
      <c r="AP36" s="20"/>
      <c r="AQ36" s="20"/>
    </row>
    <row r="37" spans="33:43" ht="12.75">
      <c r="AG37" s="33"/>
      <c r="AH37" s="33"/>
      <c r="AI37" s="33"/>
      <c r="AJ37" s="33"/>
      <c r="AK37" s="33"/>
      <c r="AM37" s="20"/>
      <c r="AN37" s="20"/>
      <c r="AO37" s="20"/>
      <c r="AP37" s="20"/>
      <c r="AQ37" s="20"/>
    </row>
    <row r="38" spans="33:43" ht="12.75">
      <c r="AG38" s="33"/>
      <c r="AH38" s="33"/>
      <c r="AI38" s="33"/>
      <c r="AJ38" s="33"/>
      <c r="AK38" s="33"/>
      <c r="AM38" s="20"/>
      <c r="AN38" s="20"/>
      <c r="AO38" s="20"/>
      <c r="AP38" s="20"/>
      <c r="AQ38" s="20"/>
    </row>
    <row r="39" spans="33:43" ht="12.75">
      <c r="AG39" s="33"/>
      <c r="AH39" s="33"/>
      <c r="AI39" s="33"/>
      <c r="AJ39" s="33"/>
      <c r="AK39" s="33"/>
      <c r="AM39" s="20"/>
      <c r="AN39" s="20"/>
      <c r="AO39" s="20"/>
      <c r="AP39" s="20"/>
      <c r="AQ39" s="20"/>
    </row>
    <row r="40" spans="33:43" ht="12.75">
      <c r="AG40" s="33"/>
      <c r="AH40" s="33"/>
      <c r="AI40" s="33"/>
      <c r="AJ40" s="33"/>
      <c r="AK40" s="33"/>
      <c r="AM40" s="20"/>
      <c r="AN40" s="20"/>
      <c r="AO40" s="20"/>
      <c r="AP40" s="20"/>
      <c r="AQ40" s="20"/>
    </row>
    <row r="41" spans="33:43" ht="12.75">
      <c r="AG41" s="33"/>
      <c r="AH41" s="33"/>
      <c r="AI41" s="33"/>
      <c r="AJ41" s="33"/>
      <c r="AK41" s="33"/>
      <c r="AM41" s="20"/>
      <c r="AN41" s="20"/>
      <c r="AO41" s="20"/>
      <c r="AP41" s="20"/>
      <c r="AQ41" s="20"/>
    </row>
    <row r="42" spans="33:43" ht="12.75">
      <c r="AG42" s="33"/>
      <c r="AH42" s="33"/>
      <c r="AI42" s="33"/>
      <c r="AJ42" s="33"/>
      <c r="AK42" s="33"/>
      <c r="AM42" s="20"/>
      <c r="AN42" s="20"/>
      <c r="AO42" s="20"/>
      <c r="AP42" s="20"/>
      <c r="AQ42" s="20"/>
    </row>
    <row r="43" spans="33:43" ht="12.75">
      <c r="AG43" s="33"/>
      <c r="AH43" s="33"/>
      <c r="AI43" s="33"/>
      <c r="AJ43" s="33"/>
      <c r="AK43" s="33"/>
      <c r="AM43" s="20"/>
      <c r="AN43" s="20"/>
      <c r="AO43" s="20"/>
      <c r="AP43" s="20"/>
      <c r="AQ43" s="20"/>
    </row>
    <row r="44" spans="33:43" ht="12.75">
      <c r="AG44" s="33"/>
      <c r="AH44" s="33"/>
      <c r="AI44" s="33"/>
      <c r="AJ44" s="33"/>
      <c r="AK44" s="33"/>
      <c r="AM44" s="20"/>
      <c r="AN44" s="20"/>
      <c r="AO44" s="20"/>
      <c r="AP44" s="20"/>
      <c r="AQ44" s="20"/>
    </row>
    <row r="45" spans="33:37" ht="12.75">
      <c r="AG45" s="33"/>
      <c r="AH45" s="33"/>
      <c r="AI45" s="33"/>
      <c r="AJ45" s="33"/>
      <c r="AK45" s="33"/>
    </row>
    <row r="46" spans="33:37" ht="12.75">
      <c r="AG46" s="33"/>
      <c r="AH46" s="33"/>
      <c r="AI46" s="33"/>
      <c r="AJ46" s="33"/>
      <c r="AK46" s="33"/>
    </row>
    <row r="47" spans="33:37" ht="12.75">
      <c r="AG47" s="33"/>
      <c r="AH47" s="33"/>
      <c r="AI47" s="33"/>
      <c r="AJ47" s="33"/>
      <c r="AK47" s="33"/>
    </row>
    <row r="48" spans="33:37" ht="12.75">
      <c r="AG48" s="33"/>
      <c r="AH48" s="33"/>
      <c r="AI48" s="33"/>
      <c r="AJ48" s="33"/>
      <c r="AK48" s="33"/>
    </row>
    <row r="49" spans="33:37" ht="12.75">
      <c r="AG49" s="33"/>
      <c r="AH49" s="33"/>
      <c r="AI49" s="33"/>
      <c r="AJ49" s="33"/>
      <c r="AK49" s="33"/>
    </row>
    <row r="50" spans="33:37" ht="12.75">
      <c r="AG50" s="33"/>
      <c r="AH50" s="33"/>
      <c r="AI50" s="33"/>
      <c r="AJ50" s="33"/>
      <c r="AK50" s="33"/>
    </row>
    <row r="51" spans="33:37" ht="12.75">
      <c r="AG51" s="33"/>
      <c r="AH51" s="33"/>
      <c r="AI51" s="33"/>
      <c r="AJ51" s="33"/>
      <c r="AK51" s="33"/>
    </row>
    <row r="52" spans="33:37" ht="12.75">
      <c r="AG52" s="33"/>
      <c r="AH52" s="33"/>
      <c r="AI52" s="33"/>
      <c r="AJ52" s="33"/>
      <c r="AK52" s="33"/>
    </row>
    <row r="53" spans="33:37" ht="12.75">
      <c r="AG53" s="33"/>
      <c r="AH53" s="33"/>
      <c r="AI53" s="33"/>
      <c r="AJ53" s="33"/>
      <c r="AK53" s="33"/>
    </row>
    <row r="54" spans="33:37" ht="12.75">
      <c r="AG54" s="33"/>
      <c r="AH54" s="33"/>
      <c r="AI54" s="33"/>
      <c r="AJ54" s="33"/>
      <c r="AK54" s="33"/>
    </row>
    <row r="55" spans="33:37" ht="12.75">
      <c r="AG55" s="33"/>
      <c r="AH55" s="33"/>
      <c r="AI55" s="33"/>
      <c r="AJ55" s="33"/>
      <c r="AK55" s="33"/>
    </row>
    <row r="56" spans="33:37" ht="12.75">
      <c r="AG56" s="33"/>
      <c r="AH56" s="33"/>
      <c r="AI56" s="33"/>
      <c r="AJ56" s="33"/>
      <c r="AK56" s="33"/>
    </row>
    <row r="57" spans="33:37" ht="12.75">
      <c r="AG57" s="33"/>
      <c r="AH57" s="33"/>
      <c r="AI57" s="33"/>
      <c r="AJ57" s="33"/>
      <c r="AK57" s="33"/>
    </row>
  </sheetData>
  <sheetProtection/>
  <printOptions/>
  <pageMargins left="0.75" right="0.75" top="1" bottom="1" header="0.3" footer="0.3"/>
  <pageSetup horizontalDpi="600" verticalDpi="600" orientation="landscape" scale="72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I32"/>
  <sheetViews>
    <sheetView zoomScale="150" zoomScaleNormal="150" zoomScalePageLayoutView="0" workbookViewId="0" topLeftCell="A1">
      <pane xSplit="2" ySplit="7" topLeftCell="H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22" sqref="I22"/>
    </sheetView>
  </sheetViews>
  <sheetFormatPr defaultColWidth="8.7109375" defaultRowHeight="12.75"/>
  <cols>
    <col min="1" max="1" width="9.7109375" style="19" customWidth="1"/>
    <col min="2" max="2" width="3.7109375" style="0" customWidth="1"/>
    <col min="3" max="6" width="13.7109375" style="33" hidden="1" customWidth="1"/>
    <col min="7" max="7" width="15.7109375" style="33" hidden="1" customWidth="1"/>
    <col min="8" max="8" width="3.7109375" style="33" customWidth="1"/>
    <col min="9" max="12" width="13.7109375" style="33" customWidth="1"/>
    <col min="13" max="13" width="15.7109375" style="33" customWidth="1"/>
    <col min="14" max="14" width="3.7109375" style="33" customWidth="1"/>
    <col min="15" max="18" width="13.7109375" style="33" customWidth="1"/>
    <col min="19" max="19" width="15.00390625" style="33" customWidth="1"/>
    <col min="20" max="20" width="3.7109375" style="33" customWidth="1"/>
    <col min="21" max="25" width="13.7109375" style="33" customWidth="1"/>
    <col min="26" max="26" width="3.7109375" style="33" customWidth="1"/>
    <col min="27" max="31" width="13.7109375" style="33" customWidth="1"/>
    <col min="32" max="32" width="3.7109375" style="33" customWidth="1"/>
    <col min="33" max="37" width="13.7109375" style="33" customWidth="1"/>
    <col min="38" max="38" width="3.7109375" style="33" customWidth="1"/>
    <col min="39" max="43" width="13.7109375" style="33" customWidth="1"/>
    <col min="44" max="44" width="3.7109375" style="33" customWidth="1"/>
    <col min="45" max="49" width="13.7109375" style="33" customWidth="1"/>
    <col min="50" max="50" width="3.7109375" style="33" customWidth="1"/>
    <col min="51" max="55" width="13.7109375" style="33" customWidth="1"/>
    <col min="56" max="56" width="3.7109375" style="33" customWidth="1"/>
    <col min="57" max="61" width="13.7109375" style="33" customWidth="1"/>
    <col min="62" max="62" width="3.7109375" style="33" customWidth="1"/>
    <col min="63" max="67" width="13.7109375" style="33" customWidth="1"/>
    <col min="68" max="68" width="3.7109375" style="33" customWidth="1"/>
    <col min="69" max="73" width="13.7109375" style="33" customWidth="1"/>
    <col min="74" max="74" width="3.7109375" style="33" customWidth="1"/>
    <col min="75" max="79" width="13.7109375" style="33" customWidth="1"/>
    <col min="80" max="80" width="3.7109375" style="33" customWidth="1"/>
    <col min="81" max="85" width="13.7109375" style="33" customWidth="1"/>
    <col min="86" max="86" width="3.7109375" style="33" customWidth="1"/>
    <col min="87" max="91" width="13.7109375" style="33" customWidth="1"/>
    <col min="92" max="92" width="3.7109375" style="33" customWidth="1"/>
    <col min="93" max="97" width="13.7109375" style="33" customWidth="1"/>
    <col min="98" max="98" width="3.7109375" style="33" customWidth="1"/>
    <col min="99" max="103" width="13.7109375" style="33" customWidth="1"/>
    <col min="104" max="104" width="3.7109375" style="33" customWidth="1"/>
    <col min="105" max="109" width="13.7109375" style="33" customWidth="1"/>
    <col min="110" max="110" width="3.7109375" style="33" customWidth="1"/>
    <col min="111" max="115" width="13.7109375" style="33" customWidth="1"/>
    <col min="116" max="116" width="3.7109375" style="33" customWidth="1"/>
    <col min="117" max="121" width="13.7109375" style="33" customWidth="1"/>
    <col min="122" max="122" width="3.7109375" style="33" customWidth="1"/>
    <col min="123" max="127" width="13.7109375" style="33" customWidth="1"/>
    <col min="128" max="128" width="3.7109375" style="33" customWidth="1"/>
    <col min="129" max="133" width="13.7109375" style="33" customWidth="1"/>
    <col min="134" max="134" width="3.7109375" style="33" customWidth="1"/>
    <col min="135" max="139" width="13.7109375" style="33" customWidth="1"/>
    <col min="140" max="140" width="3.7109375" style="33" customWidth="1"/>
    <col min="141" max="145" width="13.7109375" style="33" customWidth="1"/>
    <col min="146" max="146" width="3.7109375" style="33" customWidth="1"/>
    <col min="147" max="151" width="13.7109375" style="33" customWidth="1"/>
    <col min="152" max="152" width="3.7109375" style="33" customWidth="1"/>
    <col min="153" max="157" width="13.7109375" style="33" customWidth="1"/>
    <col min="158" max="158" width="3.7109375" style="33" customWidth="1"/>
    <col min="159" max="163" width="13.7109375" style="33" customWidth="1"/>
    <col min="164" max="164" width="3.7109375" style="33" customWidth="1"/>
    <col min="165" max="169" width="13.7109375" style="33" customWidth="1"/>
    <col min="170" max="170" width="3.7109375" style="33" customWidth="1"/>
    <col min="171" max="175" width="13.7109375" style="33" customWidth="1"/>
    <col min="176" max="176" width="3.7109375" style="33" customWidth="1"/>
    <col min="177" max="181" width="13.7109375" style="33" customWidth="1"/>
    <col min="182" max="182" width="3.7109375" style="33" customWidth="1"/>
    <col min="183" max="187" width="13.7109375" style="33" customWidth="1"/>
    <col min="188" max="188" width="3.7109375" style="33" customWidth="1"/>
    <col min="189" max="193" width="13.7109375" style="33" customWidth="1"/>
    <col min="194" max="194" width="3.7109375" style="33" customWidth="1"/>
    <col min="195" max="199" width="13.7109375" style="33" customWidth="1"/>
    <col min="200" max="200" width="3.7109375" style="33" customWidth="1"/>
    <col min="201" max="205" width="13.7109375" style="33" customWidth="1"/>
    <col min="206" max="206" width="3.7109375" style="33" customWidth="1"/>
    <col min="207" max="211" width="13.7109375" style="33" customWidth="1"/>
    <col min="212" max="212" width="3.7109375" style="33" customWidth="1"/>
  </cols>
  <sheetData>
    <row r="1" spans="1:212" ht="12.75">
      <c r="A1" s="44"/>
      <c r="B1" s="30"/>
      <c r="C1" s="43"/>
      <c r="D1" s="45"/>
      <c r="E1" s="45" t="s">
        <v>171</v>
      </c>
      <c r="G1" s="45"/>
      <c r="H1" s="45"/>
      <c r="I1" s="36"/>
      <c r="K1" s="45"/>
      <c r="O1" s="45" t="s">
        <v>171</v>
      </c>
      <c r="W1" s="45"/>
      <c r="AA1" s="45" t="s">
        <v>171</v>
      </c>
      <c r="AE1"/>
      <c r="AF1"/>
      <c r="AG1"/>
      <c r="AI1" s="45"/>
      <c r="AJ1"/>
      <c r="AK1"/>
      <c r="AL1"/>
      <c r="AM1" s="45" t="s">
        <v>171</v>
      </c>
      <c r="AN1"/>
      <c r="AO1"/>
      <c r="AP1"/>
      <c r="AQ1"/>
      <c r="AR1"/>
      <c r="AS1"/>
      <c r="AT1"/>
      <c r="AU1" s="45"/>
      <c r="AV1"/>
      <c r="AW1"/>
      <c r="AX1" s="20"/>
      <c r="AY1" s="45" t="s">
        <v>171</v>
      </c>
      <c r="AZ1" s="20"/>
      <c r="BA1" s="20"/>
      <c r="BB1" s="20"/>
      <c r="BC1" s="20"/>
      <c r="BD1" s="20"/>
      <c r="BE1" s="20"/>
      <c r="BF1" s="20"/>
      <c r="BG1" s="45"/>
      <c r="BH1" s="20"/>
      <c r="BI1" s="20"/>
      <c r="BJ1" s="20"/>
      <c r="BK1" s="45" t="s">
        <v>171</v>
      </c>
      <c r="BL1" s="20"/>
      <c r="BM1" s="20"/>
      <c r="BN1" s="20"/>
      <c r="BO1" s="20"/>
      <c r="BP1" s="20"/>
      <c r="BQ1" s="20"/>
      <c r="BR1" s="20"/>
      <c r="BS1" s="45"/>
      <c r="BT1" s="20"/>
      <c r="BU1" s="20"/>
      <c r="BV1" s="20"/>
      <c r="BW1" s="45" t="s">
        <v>171</v>
      </c>
      <c r="BX1" s="20"/>
      <c r="BY1" s="20"/>
      <c r="BZ1" s="20"/>
      <c r="CA1" s="20"/>
      <c r="CB1" s="20"/>
      <c r="CC1" s="20"/>
      <c r="CD1" s="20"/>
      <c r="CE1" s="45"/>
      <c r="CF1" s="20"/>
      <c r="CG1" s="20"/>
      <c r="CH1" s="20"/>
      <c r="CI1" s="45" t="s">
        <v>171</v>
      </c>
      <c r="CJ1" s="20"/>
      <c r="CK1" s="20"/>
      <c r="CL1" s="20"/>
      <c r="CM1" s="20"/>
      <c r="CN1" s="20"/>
      <c r="CO1" s="20"/>
      <c r="CP1" s="20"/>
      <c r="CQ1" s="45"/>
      <c r="CR1" s="20"/>
      <c r="CS1" s="20"/>
      <c r="CT1" s="20"/>
      <c r="CU1" s="45" t="s">
        <v>171</v>
      </c>
      <c r="CV1" s="20"/>
      <c r="CW1" s="20"/>
      <c r="CX1" s="20"/>
      <c r="CY1" s="20"/>
      <c r="CZ1" s="20"/>
      <c r="DA1" s="20"/>
      <c r="DB1" s="20"/>
      <c r="DC1" s="45"/>
      <c r="DD1" s="20"/>
      <c r="DE1" s="20"/>
      <c r="DF1" s="20"/>
      <c r="DG1" s="45" t="s">
        <v>171</v>
      </c>
      <c r="DH1" s="20"/>
      <c r="DI1" s="20"/>
      <c r="DJ1" s="20"/>
      <c r="DK1" s="20"/>
      <c r="DL1" s="20"/>
      <c r="DM1" s="20"/>
      <c r="DN1" s="20"/>
      <c r="DO1" s="45"/>
      <c r="DP1" s="20"/>
      <c r="DQ1" s="20"/>
      <c r="DR1" s="20"/>
      <c r="DS1" s="45" t="s">
        <v>171</v>
      </c>
      <c r="DT1" s="20"/>
      <c r="DU1" s="20"/>
      <c r="DV1" s="20"/>
      <c r="DW1" s="20"/>
      <c r="DX1" s="20"/>
      <c r="DY1" s="20"/>
      <c r="DZ1" s="20"/>
      <c r="EA1" s="45"/>
      <c r="EB1" s="20"/>
      <c r="EC1" s="20"/>
      <c r="ED1" s="45" t="s">
        <v>171</v>
      </c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</row>
    <row r="2" spans="1:212" ht="12.75">
      <c r="A2" s="44"/>
      <c r="B2" s="30"/>
      <c r="C2" s="43"/>
      <c r="D2" s="45"/>
      <c r="E2" s="43" t="s">
        <v>175</v>
      </c>
      <c r="G2" s="45"/>
      <c r="H2" s="45"/>
      <c r="I2" s="36"/>
      <c r="K2" s="45"/>
      <c r="O2" s="43" t="str">
        <f>E2</f>
        <v>Distribution of Debt Services after 2010C Bond Issue</v>
      </c>
      <c r="W2" s="45"/>
      <c r="AA2" s="43" t="str">
        <f>O2</f>
        <v>Distribution of Debt Services after 2010C Bond Issue</v>
      </c>
      <c r="AE2"/>
      <c r="AF2"/>
      <c r="AG2"/>
      <c r="AI2" s="45"/>
      <c r="AJ2"/>
      <c r="AK2"/>
      <c r="AL2"/>
      <c r="AM2" s="43" t="str">
        <f>AA2</f>
        <v>Distribution of Debt Services after 2010C Bond Issue</v>
      </c>
      <c r="AN2"/>
      <c r="AO2"/>
      <c r="AP2"/>
      <c r="AQ2"/>
      <c r="AR2"/>
      <c r="AS2"/>
      <c r="AT2"/>
      <c r="AU2" s="45"/>
      <c r="AV2"/>
      <c r="AW2"/>
      <c r="AX2" s="20"/>
      <c r="AY2" s="43" t="str">
        <f>AM2</f>
        <v>Distribution of Debt Services after 2010C Bond Issue</v>
      </c>
      <c r="AZ2" s="20"/>
      <c r="BA2" s="20"/>
      <c r="BB2" s="20"/>
      <c r="BC2" s="20"/>
      <c r="BD2" s="20"/>
      <c r="BE2" s="20"/>
      <c r="BF2" s="20"/>
      <c r="BG2" s="45"/>
      <c r="BH2" s="20"/>
      <c r="BI2" s="20"/>
      <c r="BJ2" s="20"/>
      <c r="BK2" s="43" t="str">
        <f>AY2</f>
        <v>Distribution of Debt Services after 2010C Bond Issue</v>
      </c>
      <c r="BL2" s="20"/>
      <c r="BM2" s="20"/>
      <c r="BN2" s="20"/>
      <c r="BO2" s="20"/>
      <c r="BP2" s="20"/>
      <c r="BQ2" s="20"/>
      <c r="BR2" s="20"/>
      <c r="BS2" s="45"/>
      <c r="BT2" s="20"/>
      <c r="BU2" s="20"/>
      <c r="BV2" s="20"/>
      <c r="BW2" s="43" t="str">
        <f>BK2</f>
        <v>Distribution of Debt Services after 2010C Bond Issue</v>
      </c>
      <c r="BX2" s="20"/>
      <c r="BY2" s="20"/>
      <c r="BZ2" s="20"/>
      <c r="CA2" s="20"/>
      <c r="CB2" s="20"/>
      <c r="CC2" s="20"/>
      <c r="CD2" s="20"/>
      <c r="CE2" s="45"/>
      <c r="CF2" s="20"/>
      <c r="CG2" s="20"/>
      <c r="CH2" s="20"/>
      <c r="CI2" s="43" t="str">
        <f>BW2</f>
        <v>Distribution of Debt Services after 2010C Bond Issue</v>
      </c>
      <c r="CJ2" s="20"/>
      <c r="CK2" s="20"/>
      <c r="CL2" s="20"/>
      <c r="CM2" s="20"/>
      <c r="CN2" s="20"/>
      <c r="CO2" s="20"/>
      <c r="CP2" s="20"/>
      <c r="CQ2" s="45"/>
      <c r="CR2" s="20"/>
      <c r="CS2" s="20"/>
      <c r="CT2" s="20"/>
      <c r="CU2" s="43" t="str">
        <f>CI2</f>
        <v>Distribution of Debt Services after 2010C Bond Issue</v>
      </c>
      <c r="CV2" s="20"/>
      <c r="CW2" s="20"/>
      <c r="CX2" s="20"/>
      <c r="CY2" s="20"/>
      <c r="CZ2" s="20"/>
      <c r="DA2" s="20"/>
      <c r="DB2" s="20"/>
      <c r="DC2" s="45"/>
      <c r="DD2" s="20"/>
      <c r="DE2" s="20"/>
      <c r="DF2" s="20"/>
      <c r="DG2" s="43" t="str">
        <f>CU2</f>
        <v>Distribution of Debt Services after 2010C Bond Issue</v>
      </c>
      <c r="DH2" s="20"/>
      <c r="DI2" s="20"/>
      <c r="DJ2" s="20"/>
      <c r="DK2" s="20"/>
      <c r="DL2" s="20"/>
      <c r="DM2" s="20"/>
      <c r="DN2" s="20"/>
      <c r="DO2" s="45"/>
      <c r="DP2" s="20"/>
      <c r="DQ2" s="20"/>
      <c r="DR2" s="20"/>
      <c r="DS2" s="43" t="str">
        <f>DG2</f>
        <v>Distribution of Debt Services after 2010C Bond Issue</v>
      </c>
      <c r="DT2" s="20"/>
      <c r="DU2" s="20"/>
      <c r="DV2" s="20"/>
      <c r="DW2" s="20"/>
      <c r="DX2" s="20"/>
      <c r="DY2" s="20"/>
      <c r="DZ2" s="20"/>
      <c r="EA2" s="45"/>
      <c r="EB2" s="20"/>
      <c r="EC2" s="20"/>
      <c r="ED2" s="43" t="str">
        <f>DS2</f>
        <v>Distribution of Debt Services after 2010C Bond Issue</v>
      </c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</row>
    <row r="3" spans="1:212" ht="12.75">
      <c r="A3" s="44"/>
      <c r="B3" s="30"/>
      <c r="C3" s="43"/>
      <c r="D3" s="43"/>
      <c r="E3" s="45" t="s">
        <v>172</v>
      </c>
      <c r="G3" s="43"/>
      <c r="H3" s="43"/>
      <c r="I3" s="36"/>
      <c r="K3" s="45"/>
      <c r="O3" s="45" t="s">
        <v>172</v>
      </c>
      <c r="W3" s="45"/>
      <c r="AA3" s="45" t="s">
        <v>172</v>
      </c>
      <c r="AE3"/>
      <c r="AF3" s="12"/>
      <c r="AG3"/>
      <c r="AI3" s="45"/>
      <c r="AJ3"/>
      <c r="AK3"/>
      <c r="AL3"/>
      <c r="AM3" s="45" t="s">
        <v>172</v>
      </c>
      <c r="AN3"/>
      <c r="AO3"/>
      <c r="AP3"/>
      <c r="AQ3"/>
      <c r="AR3"/>
      <c r="AS3"/>
      <c r="AT3"/>
      <c r="AU3" s="45"/>
      <c r="AV3"/>
      <c r="AW3"/>
      <c r="AX3" s="20"/>
      <c r="AY3" s="45" t="s">
        <v>172</v>
      </c>
      <c r="AZ3" s="20"/>
      <c r="BA3" s="20"/>
      <c r="BB3" s="20"/>
      <c r="BC3" s="20"/>
      <c r="BD3" s="20"/>
      <c r="BE3" s="20"/>
      <c r="BF3" s="20"/>
      <c r="BG3" s="45"/>
      <c r="BH3" s="20"/>
      <c r="BI3" s="20"/>
      <c r="BJ3" s="20"/>
      <c r="BK3" s="45" t="s">
        <v>172</v>
      </c>
      <c r="BL3" s="20"/>
      <c r="BM3" s="20"/>
      <c r="BN3" s="20"/>
      <c r="BO3" s="20"/>
      <c r="BP3" s="20"/>
      <c r="BQ3" s="20"/>
      <c r="BR3" s="20"/>
      <c r="BS3" s="45"/>
      <c r="BT3" s="20"/>
      <c r="BU3" s="20"/>
      <c r="BV3" s="20"/>
      <c r="BW3" s="45" t="s">
        <v>172</v>
      </c>
      <c r="BX3" s="20"/>
      <c r="BY3" s="20"/>
      <c r="BZ3" s="20"/>
      <c r="CA3" s="20"/>
      <c r="CB3" s="20"/>
      <c r="CC3" s="20"/>
      <c r="CD3" s="20"/>
      <c r="CE3" s="45"/>
      <c r="CF3" s="20"/>
      <c r="CG3" s="20"/>
      <c r="CH3" s="20"/>
      <c r="CI3" s="45" t="s">
        <v>172</v>
      </c>
      <c r="CJ3" s="20"/>
      <c r="CK3" s="20"/>
      <c r="CL3" s="20"/>
      <c r="CM3" s="20"/>
      <c r="CN3" s="20"/>
      <c r="CO3" s="20"/>
      <c r="CP3" s="20"/>
      <c r="CQ3" s="45"/>
      <c r="CR3" s="20"/>
      <c r="CS3" s="20"/>
      <c r="CT3" s="20"/>
      <c r="CU3" s="45" t="s">
        <v>172</v>
      </c>
      <c r="CV3" s="20"/>
      <c r="CW3" s="20"/>
      <c r="CX3" s="20"/>
      <c r="CY3" s="20"/>
      <c r="CZ3" s="20"/>
      <c r="DA3" s="20"/>
      <c r="DB3" s="20"/>
      <c r="DC3" s="45"/>
      <c r="DD3" s="20"/>
      <c r="DE3" s="20"/>
      <c r="DF3" s="20"/>
      <c r="DG3" s="45" t="s">
        <v>172</v>
      </c>
      <c r="DH3" s="20"/>
      <c r="DI3" s="20"/>
      <c r="DJ3" s="20"/>
      <c r="DK3" s="20"/>
      <c r="DL3" s="20"/>
      <c r="DM3" s="20"/>
      <c r="DN3" s="20"/>
      <c r="DO3" s="45"/>
      <c r="DP3" s="20"/>
      <c r="DQ3" s="20"/>
      <c r="DR3" s="20"/>
      <c r="DS3" s="45" t="s">
        <v>172</v>
      </c>
      <c r="DT3" s="20"/>
      <c r="DU3" s="20"/>
      <c r="DV3" s="20"/>
      <c r="DW3" s="20"/>
      <c r="DX3" s="20"/>
      <c r="DY3" s="20"/>
      <c r="DZ3" s="20"/>
      <c r="EA3" s="45"/>
      <c r="EB3" s="20"/>
      <c r="EC3" s="20"/>
      <c r="ED3" s="45" t="s">
        <v>172</v>
      </c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</row>
    <row r="4" spans="1:2" ht="12.75">
      <c r="A4" s="44"/>
      <c r="B4" s="30"/>
    </row>
    <row r="5" spans="1:211" ht="12.75">
      <c r="A5" s="22" t="s">
        <v>9</v>
      </c>
      <c r="C5" s="76" t="s">
        <v>176</v>
      </c>
      <c r="D5" s="38"/>
      <c r="E5" s="39"/>
      <c r="F5" s="41"/>
      <c r="G5" s="41"/>
      <c r="I5" s="37" t="s">
        <v>85</v>
      </c>
      <c r="J5" s="38"/>
      <c r="K5" s="39"/>
      <c r="L5" s="41"/>
      <c r="M5" s="41"/>
      <c r="O5" s="37" t="s">
        <v>86</v>
      </c>
      <c r="P5" s="38"/>
      <c r="Q5" s="39"/>
      <c r="R5" s="41"/>
      <c r="S5" s="41"/>
      <c r="U5" s="37" t="s">
        <v>164</v>
      </c>
      <c r="V5" s="38"/>
      <c r="W5" s="39"/>
      <c r="X5" s="41"/>
      <c r="Y5" s="41"/>
      <c r="AA5" s="62" t="s">
        <v>87</v>
      </c>
      <c r="AB5" s="38"/>
      <c r="AC5" s="39"/>
      <c r="AD5" s="41"/>
      <c r="AE5" s="41"/>
      <c r="AG5" s="62" t="s">
        <v>142</v>
      </c>
      <c r="AH5" s="38"/>
      <c r="AI5" s="39"/>
      <c r="AJ5" s="41"/>
      <c r="AK5" s="41"/>
      <c r="AM5" s="62" t="s">
        <v>88</v>
      </c>
      <c r="AN5" s="38"/>
      <c r="AO5" s="39"/>
      <c r="AP5" s="41"/>
      <c r="AQ5" s="41"/>
      <c r="AR5" s="63"/>
      <c r="AS5" s="37" t="s">
        <v>89</v>
      </c>
      <c r="AT5" s="38"/>
      <c r="AU5" s="39"/>
      <c r="AV5" s="41"/>
      <c r="AW5" s="41"/>
      <c r="AY5" s="37" t="s">
        <v>90</v>
      </c>
      <c r="AZ5" s="38"/>
      <c r="BA5" s="39"/>
      <c r="BB5" s="41"/>
      <c r="BC5" s="41"/>
      <c r="BE5" s="37" t="s">
        <v>91</v>
      </c>
      <c r="BF5" s="38"/>
      <c r="BG5" s="39"/>
      <c r="BH5" s="41"/>
      <c r="BI5" s="41"/>
      <c r="BK5" s="37" t="s">
        <v>92</v>
      </c>
      <c r="BL5" s="38"/>
      <c r="BM5" s="39"/>
      <c r="BN5" s="41"/>
      <c r="BO5" s="41"/>
      <c r="BQ5" s="37" t="s">
        <v>93</v>
      </c>
      <c r="BR5" s="38"/>
      <c r="BS5" s="39"/>
      <c r="BT5" s="41"/>
      <c r="BU5" s="41"/>
      <c r="BW5" s="37" t="s">
        <v>94</v>
      </c>
      <c r="BX5" s="38"/>
      <c r="BY5" s="39"/>
      <c r="BZ5" s="41"/>
      <c r="CA5" s="41"/>
      <c r="CB5" s="63"/>
      <c r="CC5" s="37" t="s">
        <v>95</v>
      </c>
      <c r="CD5" s="38"/>
      <c r="CE5" s="39"/>
      <c r="CF5" s="41"/>
      <c r="CG5" s="41"/>
      <c r="CI5" s="37" t="s">
        <v>96</v>
      </c>
      <c r="CJ5" s="38"/>
      <c r="CK5" s="39"/>
      <c r="CL5" s="41"/>
      <c r="CM5" s="41"/>
      <c r="CO5" s="37" t="s">
        <v>97</v>
      </c>
      <c r="CP5" s="38"/>
      <c r="CQ5" s="39"/>
      <c r="CR5" s="41"/>
      <c r="CS5" s="41"/>
      <c r="CU5" s="37" t="s">
        <v>98</v>
      </c>
      <c r="CV5" s="38"/>
      <c r="CW5" s="39"/>
      <c r="CX5" s="41"/>
      <c r="CY5" s="41"/>
      <c r="DA5" s="37" t="s">
        <v>99</v>
      </c>
      <c r="DB5" s="38"/>
      <c r="DC5" s="39"/>
      <c r="DD5" s="41"/>
      <c r="DE5" s="41"/>
      <c r="DG5" s="37" t="s">
        <v>100</v>
      </c>
      <c r="DH5" s="38"/>
      <c r="DI5" s="39"/>
      <c r="DJ5" s="41"/>
      <c r="DK5" s="41"/>
      <c r="DM5" s="37" t="s">
        <v>101</v>
      </c>
      <c r="DN5" s="38"/>
      <c r="DO5" s="39"/>
      <c r="DP5" s="41"/>
      <c r="DQ5" s="41"/>
      <c r="DS5" s="37" t="s">
        <v>102</v>
      </c>
      <c r="DT5" s="38"/>
      <c r="DU5" s="39"/>
      <c r="DV5" s="41"/>
      <c r="DW5" s="41"/>
      <c r="DY5" s="37" t="s">
        <v>103</v>
      </c>
      <c r="DZ5" s="38"/>
      <c r="EA5" s="39"/>
      <c r="EB5" s="41"/>
      <c r="EC5" s="41"/>
      <c r="EE5" s="37" t="s">
        <v>165</v>
      </c>
      <c r="EF5" s="38"/>
      <c r="EG5" s="39"/>
      <c r="EH5" s="41"/>
      <c r="EI5" s="41"/>
      <c r="EK5" s="37" t="s">
        <v>104</v>
      </c>
      <c r="EL5" s="38"/>
      <c r="EM5" s="39"/>
      <c r="EN5" s="41"/>
      <c r="EO5" s="41"/>
      <c r="EQ5" s="37" t="s">
        <v>105</v>
      </c>
      <c r="ER5" s="38"/>
      <c r="ES5" s="39"/>
      <c r="ET5" s="41"/>
      <c r="EU5" s="41"/>
      <c r="EW5" s="37" t="s">
        <v>106</v>
      </c>
      <c r="EX5" s="38"/>
      <c r="EY5" s="39"/>
      <c r="EZ5" s="41"/>
      <c r="FA5" s="41"/>
      <c r="FC5" s="37" t="s">
        <v>107</v>
      </c>
      <c r="FD5" s="38"/>
      <c r="FE5" s="39"/>
      <c r="FF5" s="41"/>
      <c r="FG5" s="41"/>
      <c r="FI5" s="37" t="s">
        <v>108</v>
      </c>
      <c r="FJ5" s="38"/>
      <c r="FK5" s="39"/>
      <c r="FL5" s="41"/>
      <c r="FM5" s="41"/>
      <c r="FO5" s="37" t="s">
        <v>109</v>
      </c>
      <c r="FP5" s="38"/>
      <c r="FQ5" s="39"/>
      <c r="FR5" s="41"/>
      <c r="FS5" s="41"/>
      <c r="FU5" s="37" t="s">
        <v>110</v>
      </c>
      <c r="FV5" s="38"/>
      <c r="FW5" s="39"/>
      <c r="FX5" s="41"/>
      <c r="FY5" s="41"/>
      <c r="GA5" s="37" t="s">
        <v>111</v>
      </c>
      <c r="GB5" s="38"/>
      <c r="GC5" s="39"/>
      <c r="GD5" s="41"/>
      <c r="GE5" s="41"/>
      <c r="GG5" s="37" t="s">
        <v>112</v>
      </c>
      <c r="GH5" s="38"/>
      <c r="GI5" s="39"/>
      <c r="GJ5" s="41"/>
      <c r="GK5" s="41"/>
      <c r="GM5" s="37" t="s">
        <v>113</v>
      </c>
      <c r="GN5" s="38"/>
      <c r="GO5" s="39"/>
      <c r="GP5" s="41"/>
      <c r="GQ5" s="41"/>
      <c r="GS5" s="37" t="s">
        <v>114</v>
      </c>
      <c r="GT5" s="38"/>
      <c r="GU5" s="39"/>
      <c r="GV5" s="41"/>
      <c r="GW5" s="41"/>
      <c r="GY5" s="37" t="s">
        <v>115</v>
      </c>
      <c r="GZ5" s="38"/>
      <c r="HA5" s="39"/>
      <c r="HB5" s="41"/>
      <c r="HC5" s="41"/>
    </row>
    <row r="6" spans="1:212" s="12" customFormat="1" ht="12.75">
      <c r="A6" s="46" t="s">
        <v>10</v>
      </c>
      <c r="C6" s="40"/>
      <c r="D6" s="61">
        <v>1</v>
      </c>
      <c r="E6" s="39"/>
      <c r="F6" s="41" t="s">
        <v>168</v>
      </c>
      <c r="G6" s="41" t="s">
        <v>173</v>
      </c>
      <c r="H6" s="33"/>
      <c r="I6" s="40"/>
      <c r="J6" s="67">
        <f>P6+V6+AB6+AH6+AN6+AT6+AZ6+BF6+BL6+BR6+BX6+CD6+CJ6+CP6+CV6+DB6+DH6+DN6+DT6+DZ6+EF6+EL6+ER6+EX6+FD6+FJ6+FP6+FV6+GB6+GH6+GN6+GT6+GZ6</f>
        <v>0.5428259000000001</v>
      </c>
      <c r="K6" s="39"/>
      <c r="L6" s="41" t="s">
        <v>168</v>
      </c>
      <c r="M6" s="41" t="s">
        <v>173</v>
      </c>
      <c r="N6" s="33"/>
      <c r="O6" s="40"/>
      <c r="P6" s="53">
        <v>0.0661452</v>
      </c>
      <c r="Q6" s="39"/>
      <c r="R6" s="41" t="s">
        <v>168</v>
      </c>
      <c r="S6" s="41" t="s">
        <v>173</v>
      </c>
      <c r="T6" s="33"/>
      <c r="U6" s="40"/>
      <c r="V6" s="53">
        <v>0.0011296</v>
      </c>
      <c r="W6" s="39"/>
      <c r="X6" s="41" t="s">
        <v>168</v>
      </c>
      <c r="Y6" s="41" t="s">
        <v>173</v>
      </c>
      <c r="Z6" s="33"/>
      <c r="AA6" s="40"/>
      <c r="AB6" s="53">
        <v>0.0050994</v>
      </c>
      <c r="AC6" s="39"/>
      <c r="AD6" s="41" t="s">
        <v>168</v>
      </c>
      <c r="AE6" s="41" t="s">
        <v>173</v>
      </c>
      <c r="AF6" s="33"/>
      <c r="AG6" s="40"/>
      <c r="AH6" s="53">
        <v>0.0886797</v>
      </c>
      <c r="AI6" s="39"/>
      <c r="AJ6" s="41" t="s">
        <v>168</v>
      </c>
      <c r="AK6" s="41" t="s">
        <v>173</v>
      </c>
      <c r="AL6" s="33"/>
      <c r="AM6" s="40"/>
      <c r="AN6" s="53">
        <v>0.0010742</v>
      </c>
      <c r="AO6" s="39"/>
      <c r="AP6" s="41" t="s">
        <v>168</v>
      </c>
      <c r="AQ6" s="41" t="s">
        <v>173</v>
      </c>
      <c r="AR6" s="63"/>
      <c r="AS6" s="40"/>
      <c r="AT6" s="53">
        <v>0.0009059</v>
      </c>
      <c r="AU6" s="39"/>
      <c r="AV6" s="41" t="s">
        <v>168</v>
      </c>
      <c r="AW6" s="41" t="s">
        <v>173</v>
      </c>
      <c r="AX6" s="33"/>
      <c r="AY6" s="40"/>
      <c r="AZ6" s="53">
        <v>0.0371668</v>
      </c>
      <c r="BA6" s="39"/>
      <c r="BB6" s="41" t="s">
        <v>168</v>
      </c>
      <c r="BC6" s="41" t="s">
        <v>173</v>
      </c>
      <c r="BD6" s="33"/>
      <c r="BE6" s="40"/>
      <c r="BF6" s="53">
        <v>0.0762623</v>
      </c>
      <c r="BG6" s="39"/>
      <c r="BH6" s="41" t="s">
        <v>168</v>
      </c>
      <c r="BI6" s="41" t="s">
        <v>173</v>
      </c>
      <c r="BJ6" s="33"/>
      <c r="BK6" s="40"/>
      <c r="BL6" s="53">
        <v>0.0008804</v>
      </c>
      <c r="BM6" s="39"/>
      <c r="BN6" s="41" t="s">
        <v>168</v>
      </c>
      <c r="BO6" s="41" t="s">
        <v>173</v>
      </c>
      <c r="BP6" s="33"/>
      <c r="BQ6" s="40"/>
      <c r="BR6" s="53">
        <v>0.0005914</v>
      </c>
      <c r="BS6" s="39"/>
      <c r="BT6" s="41" t="s">
        <v>168</v>
      </c>
      <c r="BU6" s="41" t="s">
        <v>173</v>
      </c>
      <c r="BV6" s="33"/>
      <c r="BW6" s="40"/>
      <c r="BX6" s="53">
        <v>-8.81E-05</v>
      </c>
      <c r="BY6" s="39"/>
      <c r="BZ6" s="41" t="s">
        <v>168</v>
      </c>
      <c r="CA6" s="41" t="s">
        <v>173</v>
      </c>
      <c r="CB6" s="63"/>
      <c r="CC6" s="40"/>
      <c r="CD6" s="53">
        <v>-5.74E-05</v>
      </c>
      <c r="CE6" s="39"/>
      <c r="CF6" s="41" t="s">
        <v>168</v>
      </c>
      <c r="CG6" s="41" t="s">
        <v>173</v>
      </c>
      <c r="CH6" s="33"/>
      <c r="CI6" s="40"/>
      <c r="CJ6" s="53">
        <v>0.0021346</v>
      </c>
      <c r="CK6" s="39"/>
      <c r="CL6" s="41" t="s">
        <v>168</v>
      </c>
      <c r="CM6" s="41" t="s">
        <v>173</v>
      </c>
      <c r="CN6" s="33"/>
      <c r="CO6" s="40"/>
      <c r="CP6" s="53">
        <v>0.013127</v>
      </c>
      <c r="CQ6" s="39"/>
      <c r="CR6" s="41" t="s">
        <v>168</v>
      </c>
      <c r="CS6" s="41" t="s">
        <v>173</v>
      </c>
      <c r="CT6" s="33"/>
      <c r="CU6" s="40"/>
      <c r="CV6" s="53">
        <v>0.0881851</v>
      </c>
      <c r="CW6" s="39"/>
      <c r="CX6" s="41" t="s">
        <v>168</v>
      </c>
      <c r="CY6" s="41" t="s">
        <v>173</v>
      </c>
      <c r="CZ6" s="33"/>
      <c r="DA6" s="40"/>
      <c r="DB6" s="53">
        <v>0.0127232</v>
      </c>
      <c r="DC6" s="39"/>
      <c r="DD6" s="41" t="s">
        <v>168</v>
      </c>
      <c r="DE6" s="41" t="s">
        <v>173</v>
      </c>
      <c r="DF6" s="33"/>
      <c r="DG6" s="40"/>
      <c r="DH6" s="53">
        <v>0.0259972</v>
      </c>
      <c r="DI6" s="39"/>
      <c r="DJ6" s="41" t="s">
        <v>168</v>
      </c>
      <c r="DK6" s="41" t="s">
        <v>173</v>
      </c>
      <c r="DL6" s="33"/>
      <c r="DM6" s="40"/>
      <c r="DN6" s="53">
        <v>0.0042162</v>
      </c>
      <c r="DO6" s="39"/>
      <c r="DP6" s="41" t="s">
        <v>168</v>
      </c>
      <c r="DQ6" s="41" t="s">
        <v>173</v>
      </c>
      <c r="DR6" s="33"/>
      <c r="DS6" s="40"/>
      <c r="DT6" s="53">
        <v>0.0216282</v>
      </c>
      <c r="DU6" s="39"/>
      <c r="DV6" s="41" t="s">
        <v>168</v>
      </c>
      <c r="DW6" s="41" t="s">
        <v>173</v>
      </c>
      <c r="DX6" s="33"/>
      <c r="DY6" s="40"/>
      <c r="DZ6" s="53">
        <v>0.0001933</v>
      </c>
      <c r="EA6" s="39"/>
      <c r="EB6" s="41" t="s">
        <v>168</v>
      </c>
      <c r="EC6" s="41" t="s">
        <v>173</v>
      </c>
      <c r="ED6" s="33"/>
      <c r="EE6" s="40"/>
      <c r="EF6" s="53">
        <v>0.0002544</v>
      </c>
      <c r="EG6" s="39"/>
      <c r="EH6" s="41" t="s">
        <v>168</v>
      </c>
      <c r="EI6" s="41" t="s">
        <v>173</v>
      </c>
      <c r="EJ6" s="33"/>
      <c r="EK6" s="40"/>
      <c r="EL6" s="53">
        <v>0.0128187</v>
      </c>
      <c r="EM6" s="39"/>
      <c r="EN6" s="41" t="s">
        <v>168</v>
      </c>
      <c r="EO6" s="41" t="s">
        <v>173</v>
      </c>
      <c r="EP6" s="33"/>
      <c r="EQ6" s="40"/>
      <c r="ER6" s="53">
        <v>0.000244</v>
      </c>
      <c r="ES6" s="39"/>
      <c r="ET6" s="41" t="s">
        <v>168</v>
      </c>
      <c r="EU6" s="41" t="s">
        <v>173</v>
      </c>
      <c r="EV6" s="33"/>
      <c r="EW6" s="40"/>
      <c r="EX6" s="53">
        <v>0.0036459</v>
      </c>
      <c r="EY6" s="39"/>
      <c r="EZ6" s="41" t="s">
        <v>168</v>
      </c>
      <c r="FA6" s="41" t="s">
        <v>173</v>
      </c>
      <c r="FB6" s="33"/>
      <c r="FC6" s="40"/>
      <c r="FD6" s="53">
        <v>0.0025327</v>
      </c>
      <c r="FE6" s="39"/>
      <c r="FF6" s="41" t="s">
        <v>168</v>
      </c>
      <c r="FG6" s="41" t="s">
        <v>173</v>
      </c>
      <c r="FH6" s="33"/>
      <c r="FI6" s="40"/>
      <c r="FJ6" s="53">
        <v>0.0009887</v>
      </c>
      <c r="FK6" s="39"/>
      <c r="FL6" s="41" t="s">
        <v>168</v>
      </c>
      <c r="FM6" s="41" t="s">
        <v>173</v>
      </c>
      <c r="FN6" s="33"/>
      <c r="FO6" s="40"/>
      <c r="FP6" s="53">
        <v>0.0111111</v>
      </c>
      <c r="FQ6" s="39"/>
      <c r="FR6" s="41" t="s">
        <v>168</v>
      </c>
      <c r="FS6" s="41" t="s">
        <v>173</v>
      </c>
      <c r="FT6" s="33"/>
      <c r="FU6" s="40"/>
      <c r="FV6" s="53">
        <v>0.0250422</v>
      </c>
      <c r="FW6" s="39"/>
      <c r="FX6" s="41" t="s">
        <v>168</v>
      </c>
      <c r="FY6" s="41" t="s">
        <v>173</v>
      </c>
      <c r="FZ6" s="33"/>
      <c r="GA6" s="40"/>
      <c r="GB6" s="53">
        <v>0.0031957</v>
      </c>
      <c r="GC6" s="39"/>
      <c r="GD6" s="41" t="s">
        <v>168</v>
      </c>
      <c r="GE6" s="41" t="s">
        <v>173</v>
      </c>
      <c r="GF6" s="33"/>
      <c r="GG6" s="40"/>
      <c r="GH6" s="53">
        <v>0.0050748</v>
      </c>
      <c r="GI6" s="39"/>
      <c r="GJ6" s="41" t="s">
        <v>168</v>
      </c>
      <c r="GK6" s="41" t="s">
        <v>173</v>
      </c>
      <c r="GL6" s="33"/>
      <c r="GM6" s="40"/>
      <c r="GN6" s="53">
        <v>0.0235189</v>
      </c>
      <c r="GO6" s="39"/>
      <c r="GP6" s="41" t="s">
        <v>168</v>
      </c>
      <c r="GQ6" s="41" t="s">
        <v>173</v>
      </c>
      <c r="GR6" s="33"/>
      <c r="GS6" s="40"/>
      <c r="GT6" s="53">
        <v>0.0012482</v>
      </c>
      <c r="GU6" s="39"/>
      <c r="GV6" s="41" t="s">
        <v>168</v>
      </c>
      <c r="GW6" s="41" t="s">
        <v>173</v>
      </c>
      <c r="GX6" s="33"/>
      <c r="GY6" s="40"/>
      <c r="GZ6" s="53">
        <v>0.0071564</v>
      </c>
      <c r="HA6" s="39"/>
      <c r="HB6" s="41" t="s">
        <v>168</v>
      </c>
      <c r="HC6" s="41" t="s">
        <v>173</v>
      </c>
      <c r="HD6" s="33"/>
    </row>
    <row r="7" spans="1:211" ht="12.75">
      <c r="A7" s="26"/>
      <c r="C7" s="41" t="s">
        <v>11</v>
      </c>
      <c r="D7" s="41" t="s">
        <v>12</v>
      </c>
      <c r="E7" s="41" t="s">
        <v>4</v>
      </c>
      <c r="F7" s="41" t="s">
        <v>169</v>
      </c>
      <c r="G7" s="41" t="s">
        <v>170</v>
      </c>
      <c r="I7" s="41" t="s">
        <v>11</v>
      </c>
      <c r="J7" s="41" t="s">
        <v>12</v>
      </c>
      <c r="K7" s="41" t="s">
        <v>4</v>
      </c>
      <c r="L7" s="41" t="s">
        <v>169</v>
      </c>
      <c r="M7" s="41" t="s">
        <v>170</v>
      </c>
      <c r="O7" s="41" t="s">
        <v>11</v>
      </c>
      <c r="P7" s="41" t="s">
        <v>12</v>
      </c>
      <c r="Q7" s="41" t="s">
        <v>4</v>
      </c>
      <c r="R7" s="41" t="s">
        <v>169</v>
      </c>
      <c r="S7" s="41" t="s">
        <v>170</v>
      </c>
      <c r="U7" s="41" t="s">
        <v>11</v>
      </c>
      <c r="V7" s="41" t="s">
        <v>12</v>
      </c>
      <c r="W7" s="41" t="s">
        <v>4</v>
      </c>
      <c r="X7" s="41" t="s">
        <v>169</v>
      </c>
      <c r="Y7" s="41" t="s">
        <v>170</v>
      </c>
      <c r="AA7" s="41" t="s">
        <v>11</v>
      </c>
      <c r="AB7" s="41" t="s">
        <v>12</v>
      </c>
      <c r="AC7" s="41" t="s">
        <v>4</v>
      </c>
      <c r="AD7" s="41" t="s">
        <v>169</v>
      </c>
      <c r="AE7" s="41" t="s">
        <v>170</v>
      </c>
      <c r="AG7" s="41" t="s">
        <v>11</v>
      </c>
      <c r="AH7" s="41" t="s">
        <v>12</v>
      </c>
      <c r="AI7" s="41" t="s">
        <v>4</v>
      </c>
      <c r="AJ7" s="41" t="s">
        <v>169</v>
      </c>
      <c r="AK7" s="41" t="s">
        <v>170</v>
      </c>
      <c r="AM7" s="41" t="s">
        <v>11</v>
      </c>
      <c r="AN7" s="41" t="s">
        <v>12</v>
      </c>
      <c r="AO7" s="41" t="s">
        <v>4</v>
      </c>
      <c r="AP7" s="41" t="s">
        <v>169</v>
      </c>
      <c r="AQ7" s="41" t="s">
        <v>170</v>
      </c>
      <c r="AR7" s="64"/>
      <c r="AS7" s="41" t="s">
        <v>11</v>
      </c>
      <c r="AT7" s="41" t="s">
        <v>12</v>
      </c>
      <c r="AU7" s="41" t="s">
        <v>4</v>
      </c>
      <c r="AV7" s="41" t="s">
        <v>169</v>
      </c>
      <c r="AW7" s="41" t="s">
        <v>170</v>
      </c>
      <c r="AY7" s="41" t="s">
        <v>11</v>
      </c>
      <c r="AZ7" s="41" t="s">
        <v>12</v>
      </c>
      <c r="BA7" s="41" t="s">
        <v>4</v>
      </c>
      <c r="BB7" s="41" t="s">
        <v>169</v>
      </c>
      <c r="BC7" s="41" t="s">
        <v>170</v>
      </c>
      <c r="BE7" s="41" t="s">
        <v>11</v>
      </c>
      <c r="BF7" s="41" t="s">
        <v>12</v>
      </c>
      <c r="BG7" s="41" t="s">
        <v>4</v>
      </c>
      <c r="BH7" s="41" t="s">
        <v>169</v>
      </c>
      <c r="BI7" s="41" t="s">
        <v>170</v>
      </c>
      <c r="BK7" s="41" t="s">
        <v>11</v>
      </c>
      <c r="BL7" s="41" t="s">
        <v>12</v>
      </c>
      <c r="BM7" s="41" t="s">
        <v>4</v>
      </c>
      <c r="BN7" s="41" t="s">
        <v>169</v>
      </c>
      <c r="BO7" s="41" t="s">
        <v>170</v>
      </c>
      <c r="BQ7" s="41" t="s">
        <v>11</v>
      </c>
      <c r="BR7" s="41" t="s">
        <v>12</v>
      </c>
      <c r="BS7" s="41" t="s">
        <v>4</v>
      </c>
      <c r="BT7" s="41" t="s">
        <v>169</v>
      </c>
      <c r="BU7" s="41" t="s">
        <v>170</v>
      </c>
      <c r="BW7" s="41" t="s">
        <v>11</v>
      </c>
      <c r="BX7" s="41" t="s">
        <v>12</v>
      </c>
      <c r="BY7" s="41" t="s">
        <v>4</v>
      </c>
      <c r="BZ7" s="41" t="s">
        <v>169</v>
      </c>
      <c r="CA7" s="41" t="s">
        <v>170</v>
      </c>
      <c r="CB7" s="64"/>
      <c r="CC7" s="41" t="s">
        <v>11</v>
      </c>
      <c r="CD7" s="41" t="s">
        <v>12</v>
      </c>
      <c r="CE7" s="41" t="s">
        <v>4</v>
      </c>
      <c r="CF7" s="41" t="s">
        <v>169</v>
      </c>
      <c r="CG7" s="41" t="s">
        <v>170</v>
      </c>
      <c r="CI7" s="41" t="s">
        <v>11</v>
      </c>
      <c r="CJ7" s="41" t="s">
        <v>12</v>
      </c>
      <c r="CK7" s="41" t="s">
        <v>4</v>
      </c>
      <c r="CL7" s="41" t="s">
        <v>169</v>
      </c>
      <c r="CM7" s="41" t="s">
        <v>170</v>
      </c>
      <c r="CO7" s="41" t="s">
        <v>11</v>
      </c>
      <c r="CP7" s="41" t="s">
        <v>12</v>
      </c>
      <c r="CQ7" s="41" t="s">
        <v>4</v>
      </c>
      <c r="CR7" s="41" t="s">
        <v>169</v>
      </c>
      <c r="CS7" s="41" t="s">
        <v>170</v>
      </c>
      <c r="CU7" s="41" t="s">
        <v>11</v>
      </c>
      <c r="CV7" s="41" t="s">
        <v>12</v>
      </c>
      <c r="CW7" s="41" t="s">
        <v>4</v>
      </c>
      <c r="CX7" s="41" t="s">
        <v>169</v>
      </c>
      <c r="CY7" s="41" t="s">
        <v>170</v>
      </c>
      <c r="DA7" s="41" t="s">
        <v>11</v>
      </c>
      <c r="DB7" s="41" t="s">
        <v>12</v>
      </c>
      <c r="DC7" s="41" t="s">
        <v>4</v>
      </c>
      <c r="DD7" s="41" t="s">
        <v>169</v>
      </c>
      <c r="DE7" s="41" t="s">
        <v>170</v>
      </c>
      <c r="DG7" s="41" t="s">
        <v>11</v>
      </c>
      <c r="DH7" s="41" t="s">
        <v>12</v>
      </c>
      <c r="DI7" s="41" t="s">
        <v>4</v>
      </c>
      <c r="DJ7" s="41" t="s">
        <v>169</v>
      </c>
      <c r="DK7" s="41" t="s">
        <v>170</v>
      </c>
      <c r="DM7" s="41" t="s">
        <v>11</v>
      </c>
      <c r="DN7" s="41" t="s">
        <v>12</v>
      </c>
      <c r="DO7" s="41" t="s">
        <v>4</v>
      </c>
      <c r="DP7" s="41" t="s">
        <v>169</v>
      </c>
      <c r="DQ7" s="41" t="s">
        <v>170</v>
      </c>
      <c r="DS7" s="41" t="s">
        <v>11</v>
      </c>
      <c r="DT7" s="41" t="s">
        <v>12</v>
      </c>
      <c r="DU7" s="41" t="s">
        <v>4</v>
      </c>
      <c r="DV7" s="41" t="s">
        <v>169</v>
      </c>
      <c r="DW7" s="41" t="s">
        <v>170</v>
      </c>
      <c r="DY7" s="41" t="s">
        <v>11</v>
      </c>
      <c r="DZ7" s="41" t="s">
        <v>12</v>
      </c>
      <c r="EA7" s="41" t="s">
        <v>4</v>
      </c>
      <c r="EB7" s="41" t="s">
        <v>169</v>
      </c>
      <c r="EC7" s="41" t="s">
        <v>170</v>
      </c>
      <c r="EE7" s="41" t="s">
        <v>11</v>
      </c>
      <c r="EF7" s="41" t="s">
        <v>12</v>
      </c>
      <c r="EG7" s="41" t="s">
        <v>4</v>
      </c>
      <c r="EH7" s="41" t="s">
        <v>169</v>
      </c>
      <c r="EI7" s="41" t="s">
        <v>170</v>
      </c>
      <c r="EK7" s="41" t="s">
        <v>11</v>
      </c>
      <c r="EL7" s="41" t="s">
        <v>12</v>
      </c>
      <c r="EM7" s="41" t="s">
        <v>4</v>
      </c>
      <c r="EN7" s="41" t="s">
        <v>169</v>
      </c>
      <c r="EO7" s="41" t="s">
        <v>170</v>
      </c>
      <c r="EQ7" s="41" t="s">
        <v>11</v>
      </c>
      <c r="ER7" s="41" t="s">
        <v>12</v>
      </c>
      <c r="ES7" s="41" t="s">
        <v>4</v>
      </c>
      <c r="ET7" s="41" t="s">
        <v>169</v>
      </c>
      <c r="EU7" s="41" t="s">
        <v>170</v>
      </c>
      <c r="EW7" s="41" t="s">
        <v>11</v>
      </c>
      <c r="EX7" s="41" t="s">
        <v>12</v>
      </c>
      <c r="EY7" s="41" t="s">
        <v>4</v>
      </c>
      <c r="EZ7" s="41" t="s">
        <v>169</v>
      </c>
      <c r="FA7" s="41" t="s">
        <v>170</v>
      </c>
      <c r="FC7" s="41" t="s">
        <v>11</v>
      </c>
      <c r="FD7" s="41" t="s">
        <v>12</v>
      </c>
      <c r="FE7" s="41" t="s">
        <v>4</v>
      </c>
      <c r="FF7" s="41" t="s">
        <v>169</v>
      </c>
      <c r="FG7" s="41" t="s">
        <v>170</v>
      </c>
      <c r="FI7" s="41" t="s">
        <v>11</v>
      </c>
      <c r="FJ7" s="41" t="s">
        <v>12</v>
      </c>
      <c r="FK7" s="41" t="s">
        <v>4</v>
      </c>
      <c r="FL7" s="41" t="s">
        <v>169</v>
      </c>
      <c r="FM7" s="41" t="s">
        <v>170</v>
      </c>
      <c r="FO7" s="41" t="s">
        <v>11</v>
      </c>
      <c r="FP7" s="41" t="s">
        <v>12</v>
      </c>
      <c r="FQ7" s="41" t="s">
        <v>4</v>
      </c>
      <c r="FR7" s="41" t="s">
        <v>169</v>
      </c>
      <c r="FS7" s="41" t="s">
        <v>170</v>
      </c>
      <c r="FU7" s="41" t="s">
        <v>11</v>
      </c>
      <c r="FV7" s="41" t="s">
        <v>12</v>
      </c>
      <c r="FW7" s="41" t="s">
        <v>4</v>
      </c>
      <c r="FX7" s="41" t="s">
        <v>169</v>
      </c>
      <c r="FY7" s="41" t="s">
        <v>170</v>
      </c>
      <c r="GA7" s="41" t="s">
        <v>11</v>
      </c>
      <c r="GB7" s="41" t="s">
        <v>12</v>
      </c>
      <c r="GC7" s="41" t="s">
        <v>4</v>
      </c>
      <c r="GD7" s="41" t="s">
        <v>169</v>
      </c>
      <c r="GE7" s="41" t="s">
        <v>170</v>
      </c>
      <c r="GG7" s="41" t="s">
        <v>11</v>
      </c>
      <c r="GH7" s="41" t="s">
        <v>12</v>
      </c>
      <c r="GI7" s="41" t="s">
        <v>4</v>
      </c>
      <c r="GJ7" s="41" t="s">
        <v>169</v>
      </c>
      <c r="GK7" s="41" t="s">
        <v>170</v>
      </c>
      <c r="GM7" s="41" t="s">
        <v>11</v>
      </c>
      <c r="GN7" s="41" t="s">
        <v>12</v>
      </c>
      <c r="GO7" s="41" t="s">
        <v>4</v>
      </c>
      <c r="GP7" s="41" t="s">
        <v>169</v>
      </c>
      <c r="GQ7" s="41" t="s">
        <v>170</v>
      </c>
      <c r="GS7" s="41" t="s">
        <v>11</v>
      </c>
      <c r="GT7" s="41" t="s">
        <v>12</v>
      </c>
      <c r="GU7" s="41" t="s">
        <v>4</v>
      </c>
      <c r="GV7" s="41" t="s">
        <v>169</v>
      </c>
      <c r="GW7" s="41" t="s">
        <v>170</v>
      </c>
      <c r="GY7" s="41" t="s">
        <v>11</v>
      </c>
      <c r="GZ7" s="41" t="s">
        <v>12</v>
      </c>
      <c r="HA7" s="41" t="s">
        <v>4</v>
      </c>
      <c r="HB7" s="41" t="s">
        <v>169</v>
      </c>
      <c r="HC7" s="41" t="s">
        <v>170</v>
      </c>
    </row>
    <row r="8" spans="1:217" s="52" customFormat="1" ht="12.75">
      <c r="A8" s="51">
        <v>44105</v>
      </c>
      <c r="C8" s="42"/>
      <c r="D8" s="42">
        <v>120700</v>
      </c>
      <c r="E8" s="77">
        <f aca="true" t="shared" si="0" ref="E8:E15">C8+D8</f>
        <v>120700</v>
      </c>
      <c r="F8" s="77">
        <v>110239</v>
      </c>
      <c r="G8" s="77">
        <v>6590</v>
      </c>
      <c r="H8" s="79"/>
      <c r="I8" s="79"/>
      <c r="J8" s="79">
        <f aca="true" t="shared" si="1" ref="J8:J15">P8+V8+AB8+AH8+AN8+AT8+AZ8+BF8+BL8+BR8+BX8+CD8+CJ8+CP8+CV8+DB8+DH8+DN8+DT8+DZ8+EF8+EL8+ER8+EX8+FD8+FJ8+FP8+FV8+GB8+GH8+GN8+GT8+GZ8</f>
        <v>65519.086129999996</v>
      </c>
      <c r="K8" s="79">
        <f aca="true" t="shared" si="2" ref="K8:K15">I8+J8</f>
        <v>65519.086129999996</v>
      </c>
      <c r="L8" s="79">
        <f aca="true" t="shared" si="3" ref="L8:M15">R8+X8+AD8+AJ8+AP8+AV8+BB8+BH8+BN8+BT8+BZ8+CF8+CL8+CR8+CX8+DD8+DJ8+DP8+DV8+EB8+EH8+EN8+ET8+EZ8+FF8+FL8+FR8+FX8+GD8+GJ8+GP8+GV8+HB8</f>
        <v>59840.5843901</v>
      </c>
      <c r="M8" s="79">
        <f t="shared" si="3"/>
        <v>3577.2226809999993</v>
      </c>
      <c r="N8" s="79"/>
      <c r="O8" s="78"/>
      <c r="P8" s="78">
        <f aca="true" t="shared" si="4" ref="P8:P15">D8*6.61452/100</f>
        <v>7983.725640000001</v>
      </c>
      <c r="Q8" s="79">
        <f aca="true" t="shared" si="5" ref="Q8:Q14">O8+P8</f>
        <v>7983.725640000001</v>
      </c>
      <c r="R8" s="79">
        <f aca="true" t="shared" si="6" ref="R8:R15">P$6*$F8</f>
        <v>7291.7807028</v>
      </c>
      <c r="S8" s="77">
        <f aca="true" t="shared" si="7" ref="S8:S15">P$6*$G8</f>
        <v>435.896868</v>
      </c>
      <c r="T8" s="79"/>
      <c r="U8" s="78"/>
      <c r="V8" s="78">
        <f aca="true" t="shared" si="8" ref="V8:V15">D8*0.11296/100</f>
        <v>136.34272</v>
      </c>
      <c r="W8" s="78">
        <f aca="true" t="shared" si="9" ref="W8:W15">U8+V8</f>
        <v>136.34272</v>
      </c>
      <c r="X8" s="79">
        <f aca="true" t="shared" si="10" ref="X8:X15">V$6*$F8</f>
        <v>124.5259744</v>
      </c>
      <c r="Y8" s="77">
        <f aca="true" t="shared" si="11" ref="Y8:Y15">V$6*$G8</f>
        <v>7.444063999999999</v>
      </c>
      <c r="Z8" s="79"/>
      <c r="AA8" s="79"/>
      <c r="AB8" s="78">
        <f aca="true" t="shared" si="12" ref="AB8:AB15">D8*0.50994/100</f>
        <v>615.49758</v>
      </c>
      <c r="AC8" s="78">
        <f aca="true" t="shared" si="13" ref="AC8:AC15">AA8+AB8</f>
        <v>615.49758</v>
      </c>
      <c r="AD8" s="79">
        <f aca="true" t="shared" si="14" ref="AD8:AD15">AB$6*$F8</f>
        <v>562.1527566</v>
      </c>
      <c r="AE8" s="77">
        <f aca="true" t="shared" si="15" ref="AE8:AE15">AB$6*$G8</f>
        <v>33.605045999999994</v>
      </c>
      <c r="AF8" s="79"/>
      <c r="AG8" s="78"/>
      <c r="AH8" s="78">
        <f aca="true" t="shared" si="16" ref="AH8:AH15">D8*8.86797/100</f>
        <v>10703.639790000001</v>
      </c>
      <c r="AI8" s="78">
        <f aca="true" t="shared" si="17" ref="AI8:AI15">AG8+AH8</f>
        <v>10703.639790000001</v>
      </c>
      <c r="AJ8" s="79">
        <f aca="true" t="shared" si="18" ref="AJ8:AJ15">AH$6*$F8</f>
        <v>9775.9614483</v>
      </c>
      <c r="AK8" s="77">
        <f aca="true" t="shared" si="19" ref="AK8:AK15">AH$6*$G8</f>
        <v>584.399223</v>
      </c>
      <c r="AL8" s="79"/>
      <c r="AM8" s="78"/>
      <c r="AN8" s="78">
        <f aca="true" t="shared" si="20" ref="AN8:AN15">D8*0.10742/100</f>
        <v>129.65594000000002</v>
      </c>
      <c r="AO8" s="78">
        <f aca="true" t="shared" si="21" ref="AO8:AO15">AM8+AN8</f>
        <v>129.65594000000002</v>
      </c>
      <c r="AP8" s="79">
        <f aca="true" t="shared" si="22" ref="AP8:AP15">AN$6*$F8</f>
        <v>118.4187338</v>
      </c>
      <c r="AQ8" s="77">
        <f aca="true" t="shared" si="23" ref="AQ8:AQ15">AN$6*$G8</f>
        <v>7.078978</v>
      </c>
      <c r="AR8" s="78"/>
      <c r="AS8" s="78"/>
      <c r="AT8" s="78">
        <f aca="true" t="shared" si="24" ref="AT8:AT15">D8*0.09059/100</f>
        <v>109.34213</v>
      </c>
      <c r="AU8" s="78">
        <f aca="true" t="shared" si="25" ref="AU8:AU15">AS8+AT8</f>
        <v>109.34213</v>
      </c>
      <c r="AV8" s="79">
        <f aca="true" t="shared" si="26" ref="AV8:AV15">AT$6*$F8</f>
        <v>99.8655101</v>
      </c>
      <c r="AW8" s="77">
        <f aca="true" t="shared" si="27" ref="AW8:AW15">AT$6*$G8</f>
        <v>5.969881</v>
      </c>
      <c r="AX8" s="79"/>
      <c r="AY8" s="78"/>
      <c r="AZ8" s="78">
        <f aca="true" t="shared" si="28" ref="AZ8:AZ15">D8*3.71668/100</f>
        <v>4486.03276</v>
      </c>
      <c r="BA8" s="78">
        <f aca="true" t="shared" si="29" ref="BA8:BA15">AY8+AZ8</f>
        <v>4486.03276</v>
      </c>
      <c r="BB8" s="79">
        <f aca="true" t="shared" si="30" ref="BB8:BB15">AZ$6*$F8</f>
        <v>4097.2308652</v>
      </c>
      <c r="BC8" s="77">
        <f aca="true" t="shared" si="31" ref="BC8:BC15">AZ$6*$G8</f>
        <v>244.929212</v>
      </c>
      <c r="BD8" s="79"/>
      <c r="BE8" s="78"/>
      <c r="BF8" s="78">
        <f aca="true" t="shared" si="32" ref="BF8:BF15">D8*7.62623/100</f>
        <v>9204.85961</v>
      </c>
      <c r="BG8" s="78">
        <f aca="true" t="shared" si="33" ref="BG8:BG15">BE8+BF8</f>
        <v>9204.85961</v>
      </c>
      <c r="BH8" s="79">
        <f aca="true" t="shared" si="34" ref="BH8:BH15">BF$6*$F8</f>
        <v>8407.0796897</v>
      </c>
      <c r="BI8" s="77">
        <f aca="true" t="shared" si="35" ref="BI8:BI15">BF$6*$G8</f>
        <v>502.56855700000006</v>
      </c>
      <c r="BJ8" s="79"/>
      <c r="BK8" s="78"/>
      <c r="BL8" s="78">
        <f aca="true" t="shared" si="36" ref="BL8:BL15">D8*0.08804/100</f>
        <v>106.26428</v>
      </c>
      <c r="BM8" s="78">
        <f aca="true" t="shared" si="37" ref="BM8:BM15">BK8+BL8</f>
        <v>106.26428</v>
      </c>
      <c r="BN8" s="79">
        <f aca="true" t="shared" si="38" ref="BN8:BN15">BL$6*$F8</f>
        <v>97.0544156</v>
      </c>
      <c r="BO8" s="77">
        <f aca="true" t="shared" si="39" ref="BO8:BO15">BL$6*$G8</f>
        <v>5.801836000000001</v>
      </c>
      <c r="BP8" s="79"/>
      <c r="BQ8" s="78"/>
      <c r="BR8" s="78">
        <f aca="true" t="shared" si="40" ref="BR8:BR15">D8*0.05914/100</f>
        <v>71.38198</v>
      </c>
      <c r="BS8" s="78">
        <f aca="true" t="shared" si="41" ref="BS8:BS15">BQ8+BR8</f>
        <v>71.38198</v>
      </c>
      <c r="BT8" s="79">
        <f aca="true" t="shared" si="42" ref="BT8:BT15">BR$6*$F8</f>
        <v>65.1953446</v>
      </c>
      <c r="BU8" s="77">
        <f aca="true" t="shared" si="43" ref="BU8:BU15">BR$6*$G8</f>
        <v>3.8973259999999996</v>
      </c>
      <c r="BV8" s="79"/>
      <c r="BW8" s="78"/>
      <c r="BX8" s="78">
        <f aca="true" t="shared" si="44" ref="BX8:BX15">D8*-0.00881/100</f>
        <v>-10.63367</v>
      </c>
      <c r="BY8" s="78">
        <f aca="true" t="shared" si="45" ref="BY8:BY15">BW8+BX8</f>
        <v>-10.63367</v>
      </c>
      <c r="BZ8" s="79">
        <f aca="true" t="shared" si="46" ref="BZ8:BZ15">BX$6*$F8</f>
        <v>-9.7120559</v>
      </c>
      <c r="CA8" s="77">
        <f aca="true" t="shared" si="47" ref="CA8:CA15">BX$6*$G8</f>
        <v>-0.580579</v>
      </c>
      <c r="CB8" s="78"/>
      <c r="CC8" s="78"/>
      <c r="CD8" s="78">
        <f aca="true" t="shared" si="48" ref="CD8:CD15">D8*-0.00574/100</f>
        <v>-6.92818</v>
      </c>
      <c r="CE8" s="78">
        <f aca="true" t="shared" si="49" ref="CE8:CE15">CC8+CD8</f>
        <v>-6.92818</v>
      </c>
      <c r="CF8" s="79">
        <f aca="true" t="shared" si="50" ref="CF8:CF15">CD$6*$F8</f>
        <v>-6.3277186</v>
      </c>
      <c r="CG8" s="77">
        <f aca="true" t="shared" si="51" ref="CG8:CG15">CD$6*$G8</f>
        <v>-0.378266</v>
      </c>
      <c r="CH8" s="79"/>
      <c r="CI8" s="78"/>
      <c r="CJ8" s="78">
        <f aca="true" t="shared" si="52" ref="CJ8:CJ15">D8*0.21346/100</f>
        <v>257.64622</v>
      </c>
      <c r="CK8" s="78">
        <f aca="true" t="shared" si="53" ref="CK8:CK15">CI8+CJ8</f>
        <v>257.64622</v>
      </c>
      <c r="CL8" s="79">
        <f aca="true" t="shared" si="54" ref="CL8:CL15">CJ$6*$F8</f>
        <v>235.3161694</v>
      </c>
      <c r="CM8" s="77">
        <f aca="true" t="shared" si="55" ref="CM8:CM15">CJ$6*$G8</f>
        <v>14.067014</v>
      </c>
      <c r="CN8" s="79"/>
      <c r="CO8" s="78"/>
      <c r="CP8" s="78">
        <f aca="true" t="shared" si="56" ref="CP8:CP15">D8*1.3127/100</f>
        <v>1584.4288999999999</v>
      </c>
      <c r="CQ8" s="78">
        <f aca="true" t="shared" si="57" ref="CQ8:CQ15">CO8+CP8</f>
        <v>1584.4288999999999</v>
      </c>
      <c r="CR8" s="79">
        <f aca="true" t="shared" si="58" ref="CR8:CR15">CP$6*$F8</f>
        <v>1447.1073529999999</v>
      </c>
      <c r="CS8" s="77">
        <f aca="true" t="shared" si="59" ref="CS8:CS15">CP$6*$G8</f>
        <v>86.50693</v>
      </c>
      <c r="CT8" s="79"/>
      <c r="CU8" s="78"/>
      <c r="CV8" s="78">
        <f aca="true" t="shared" si="60" ref="CV8:CV15">D8*8.81851/100</f>
        <v>10643.941569999999</v>
      </c>
      <c r="CW8" s="78">
        <f aca="true" t="shared" si="61" ref="CW8:CW15">CU8+CV8</f>
        <v>10643.941569999999</v>
      </c>
      <c r="CX8" s="79">
        <f aca="true" t="shared" si="62" ref="CX8:CX15">CV$6*$F8</f>
        <v>9721.4372389</v>
      </c>
      <c r="CY8" s="77">
        <f aca="true" t="shared" si="63" ref="CY8:CY15">CV$6*$G8</f>
        <v>581.139809</v>
      </c>
      <c r="CZ8" s="79"/>
      <c r="DA8" s="78"/>
      <c r="DB8" s="78">
        <f aca="true" t="shared" si="64" ref="DB8:DB15">D8*1.27232/100</f>
        <v>1535.6902399999997</v>
      </c>
      <c r="DC8" s="78">
        <f aca="true" t="shared" si="65" ref="DC8:DC15">DA8+DB8</f>
        <v>1535.6902399999997</v>
      </c>
      <c r="DD8" s="79">
        <f aca="true" t="shared" si="66" ref="DD8:DD15">DB$6*$F8</f>
        <v>1402.5928448</v>
      </c>
      <c r="DE8" s="77">
        <f aca="true" t="shared" si="67" ref="DE8:DE15">DB$6*$G8</f>
        <v>83.845888</v>
      </c>
      <c r="DF8" s="79"/>
      <c r="DG8" s="78"/>
      <c r="DH8" s="78">
        <f aca="true" t="shared" si="68" ref="DH8:DH15">D8*2.59972/100</f>
        <v>3137.8620400000004</v>
      </c>
      <c r="DI8" s="78">
        <f aca="true" t="shared" si="69" ref="DI8:DI15">DG8+DH8</f>
        <v>3137.8620400000004</v>
      </c>
      <c r="DJ8" s="79">
        <f aca="true" t="shared" si="70" ref="DJ8:DJ15">DH$6*$F8</f>
        <v>2865.9053308000002</v>
      </c>
      <c r="DK8" s="77">
        <f aca="true" t="shared" si="71" ref="DK8:DK15">DH$6*$G8</f>
        <v>171.321548</v>
      </c>
      <c r="DL8" s="79"/>
      <c r="DM8" s="78"/>
      <c r="DN8" s="78">
        <f aca="true" t="shared" si="72" ref="DN8:DN15">D8*0.42162/100</f>
        <v>508.89534</v>
      </c>
      <c r="DO8" s="78">
        <f aca="true" t="shared" si="73" ref="DO8:DO15">DM8+DN8</f>
        <v>508.89534</v>
      </c>
      <c r="DP8" s="79">
        <f aca="true" t="shared" si="74" ref="DP8:DP15">DN$6*$F8</f>
        <v>464.78967179999995</v>
      </c>
      <c r="DQ8" s="77">
        <f aca="true" t="shared" si="75" ref="DQ8:DQ15">DN$6*$G8</f>
        <v>27.784758</v>
      </c>
      <c r="DR8" s="79"/>
      <c r="DS8" s="78"/>
      <c r="DT8" s="78">
        <f aca="true" t="shared" si="76" ref="DT8:DT15">D8*2.16282/100</f>
        <v>2610.5237399999996</v>
      </c>
      <c r="DU8" s="78">
        <f aca="true" t="shared" si="77" ref="DU8:DU15">DS8+DT8</f>
        <v>2610.5237399999996</v>
      </c>
      <c r="DV8" s="79">
        <f aca="true" t="shared" si="78" ref="DV8:DV15">DT$6*$F8</f>
        <v>2384.2711398</v>
      </c>
      <c r="DW8" s="77">
        <f aca="true" t="shared" si="79" ref="DW8:DW15">DT$6*$G8</f>
        <v>142.529838</v>
      </c>
      <c r="DX8" s="79"/>
      <c r="DY8" s="78"/>
      <c r="DZ8" s="78">
        <f aca="true" t="shared" si="80" ref="DZ8:DZ15">D8*0.01933/100</f>
        <v>23.33131</v>
      </c>
      <c r="EA8" s="78">
        <f aca="true" t="shared" si="81" ref="EA8:EA15">DY8+DZ8</f>
        <v>23.33131</v>
      </c>
      <c r="EB8" s="79">
        <f aca="true" t="shared" si="82" ref="EB8:EB15">DZ$6*$F8</f>
        <v>21.3091987</v>
      </c>
      <c r="EC8" s="77">
        <f aca="true" t="shared" si="83" ref="EC8:EC15">DZ$6*$G8</f>
        <v>1.273847</v>
      </c>
      <c r="ED8" s="79"/>
      <c r="EE8" s="78"/>
      <c r="EF8" s="78">
        <f aca="true" t="shared" si="84" ref="EF8:EF15">D8*0.02544/100</f>
        <v>30.70608</v>
      </c>
      <c r="EG8" s="78">
        <f aca="true" t="shared" si="85" ref="EG8:EG15">EE8+EF8</f>
        <v>30.70608</v>
      </c>
      <c r="EH8" s="79">
        <f aca="true" t="shared" si="86" ref="EH8:EH15">EF$6*$F8</f>
        <v>28.0448016</v>
      </c>
      <c r="EI8" s="77">
        <f aca="true" t="shared" si="87" ref="EI8:EI15">EF$6*$G8</f>
        <v>1.676496</v>
      </c>
      <c r="EJ8" s="79"/>
      <c r="EK8" s="78"/>
      <c r="EL8" s="78">
        <f aca="true" t="shared" si="88" ref="EL8:EL15">D8*1.28187/100</f>
        <v>1547.21709</v>
      </c>
      <c r="EM8" s="78">
        <f aca="true" t="shared" si="89" ref="EM8:EM15">EK8+EL8</f>
        <v>1547.21709</v>
      </c>
      <c r="EN8" s="79">
        <f aca="true" t="shared" si="90" ref="EN8:EN15">EL$6*$F8</f>
        <v>1413.1206693000001</v>
      </c>
      <c r="EO8" s="77">
        <f aca="true" t="shared" si="91" ref="EO8:EO15">EL$6*$G8</f>
        <v>84.475233</v>
      </c>
      <c r="EP8" s="79"/>
      <c r="EQ8" s="78"/>
      <c r="ER8" s="78">
        <f aca="true" t="shared" si="92" ref="ER8:ER15">D8*0.0244/100</f>
        <v>29.450800000000005</v>
      </c>
      <c r="ES8" s="78">
        <f aca="true" t="shared" si="93" ref="ES8:ES15">EQ8+ER8</f>
        <v>29.450800000000005</v>
      </c>
      <c r="ET8" s="79">
        <f aca="true" t="shared" si="94" ref="ET8:ET15">ER$6*$F8</f>
        <v>26.898315999999998</v>
      </c>
      <c r="EU8" s="77">
        <f aca="true" t="shared" si="95" ref="EU8:EU15">ER$6*$G8</f>
        <v>1.60796</v>
      </c>
      <c r="EV8" s="79"/>
      <c r="EW8" s="78"/>
      <c r="EX8" s="78">
        <f aca="true" t="shared" si="96" ref="EX8:EX15">D8*0.36459/100</f>
        <v>440.0601300000001</v>
      </c>
      <c r="EY8" s="78">
        <f aca="true" t="shared" si="97" ref="EY8:EY15">EW8+EX8</f>
        <v>440.0601300000001</v>
      </c>
      <c r="EZ8" s="79">
        <f aca="true" t="shared" si="98" ref="EZ8:EZ15">EX$6*$F8</f>
        <v>401.9203701</v>
      </c>
      <c r="FA8" s="77">
        <f aca="true" t="shared" si="99" ref="FA8:FA15">EX$6*$G8</f>
        <v>24.026481</v>
      </c>
      <c r="FB8" s="79"/>
      <c r="FC8" s="78"/>
      <c r="FD8" s="78">
        <f aca="true" t="shared" si="100" ref="FD8:FD15">D8*0.25327/100</f>
        <v>305.69689</v>
      </c>
      <c r="FE8" s="78">
        <f aca="true" t="shared" si="101" ref="FE8:FE15">FC8+FD8</f>
        <v>305.69689</v>
      </c>
      <c r="FF8" s="79">
        <f aca="true" t="shared" si="102" ref="FF8:FF15">FD$6*$F8</f>
        <v>279.2023153</v>
      </c>
      <c r="FG8" s="77">
        <f aca="true" t="shared" si="103" ref="FG8:FG15">FD$6*$G8</f>
        <v>16.690493</v>
      </c>
      <c r="FH8" s="79"/>
      <c r="FI8" s="78"/>
      <c r="FJ8" s="78">
        <f aca="true" t="shared" si="104" ref="FJ8:FJ15">D8*0.09887/100</f>
        <v>119.33609</v>
      </c>
      <c r="FK8" s="78">
        <f aca="true" t="shared" si="105" ref="FK8:FK15">FI8+FJ8</f>
        <v>119.33609</v>
      </c>
      <c r="FL8" s="79">
        <f aca="true" t="shared" si="106" ref="FL8:FL15">FJ$6*$F8</f>
        <v>108.99329929999999</v>
      </c>
      <c r="FM8" s="77">
        <f aca="true" t="shared" si="107" ref="FM8:FM15">FJ$6*$G8</f>
        <v>6.515533</v>
      </c>
      <c r="FN8" s="79"/>
      <c r="FO8" s="78"/>
      <c r="FP8" s="78">
        <f aca="true" t="shared" si="108" ref="FP8:FP15">D8*1.11111/100</f>
        <v>1341.10977</v>
      </c>
      <c r="FQ8" s="78">
        <f aca="true" t="shared" si="109" ref="FQ8:FQ15">FO8+FP8</f>
        <v>1341.10977</v>
      </c>
      <c r="FR8" s="79">
        <f aca="true" t="shared" si="110" ref="FR8:FR15">FP$6*$F8</f>
        <v>1224.8765529</v>
      </c>
      <c r="FS8" s="77">
        <f aca="true" t="shared" si="111" ref="FS8:FS15">FP$6*$G8</f>
        <v>73.222149</v>
      </c>
      <c r="FT8" s="79"/>
      <c r="FU8" s="78"/>
      <c r="FV8" s="78">
        <f aca="true" t="shared" si="112" ref="FV8:FV15">D8*2.50422/100</f>
        <v>3022.59354</v>
      </c>
      <c r="FW8" s="78">
        <f aca="true" t="shared" si="113" ref="FW8:FW15">FU8+FV8</f>
        <v>3022.59354</v>
      </c>
      <c r="FX8" s="79">
        <f aca="true" t="shared" si="114" ref="FX8:FX15">FV$6*$F8</f>
        <v>2760.6270858000003</v>
      </c>
      <c r="FY8" s="77">
        <f aca="true" t="shared" si="115" ref="FY8:FY15">FV$6*$G8</f>
        <v>165.028098</v>
      </c>
      <c r="FZ8" s="79"/>
      <c r="GA8" s="78"/>
      <c r="GB8" s="78">
        <f aca="true" t="shared" si="116" ref="GB8:GB15">D8*0.31957/100</f>
        <v>385.72099000000003</v>
      </c>
      <c r="GC8" s="78">
        <f aca="true" t="shared" si="117" ref="GC8:GC15">GA8+GB8</f>
        <v>385.72099000000003</v>
      </c>
      <c r="GD8" s="79">
        <f aca="true" t="shared" si="118" ref="GD8:GD15">GB$6*$F8</f>
        <v>352.2907723</v>
      </c>
      <c r="GE8" s="77">
        <f aca="true" t="shared" si="119" ref="GE8:GE15">GB$6*$G8</f>
        <v>21.059663</v>
      </c>
      <c r="GF8" s="79"/>
      <c r="GG8" s="78"/>
      <c r="GH8" s="78">
        <f aca="true" t="shared" si="120" ref="GH8:GH15">D8*0.50748/100</f>
        <v>612.52836</v>
      </c>
      <c r="GI8" s="78">
        <f aca="true" t="shared" si="121" ref="GI8:GI15">GG8+GH8</f>
        <v>612.52836</v>
      </c>
      <c r="GJ8" s="79">
        <f aca="true" t="shared" si="122" ref="GJ8:GJ15">GH$6*$F8</f>
        <v>559.4408772</v>
      </c>
      <c r="GK8" s="77">
        <f aca="true" t="shared" si="123" ref="GK8:GK15">GH$6*$G8</f>
        <v>33.442932</v>
      </c>
      <c r="GL8" s="79"/>
      <c r="GM8" s="78"/>
      <c r="GN8" s="78">
        <f aca="true" t="shared" si="124" ref="GN8:GN15">D8*2.35189/100</f>
        <v>2838.7312300000003</v>
      </c>
      <c r="GO8" s="78">
        <f aca="true" t="shared" si="125" ref="GO8:GO15">GM8+GN8</f>
        <v>2838.7312300000003</v>
      </c>
      <c r="GP8" s="79">
        <f aca="true" t="shared" si="126" ref="GP8:GP15">GN$6*$F8</f>
        <v>2592.7000171</v>
      </c>
      <c r="GQ8" s="77">
        <f aca="true" t="shared" si="127" ref="GQ8:GQ15">GN$6*$G8</f>
        <v>154.989551</v>
      </c>
      <c r="GR8" s="79"/>
      <c r="GS8" s="78"/>
      <c r="GT8" s="78">
        <f aca="true" t="shared" si="128" ref="GT8:GT15">D8*0.12482/100</f>
        <v>150.65774</v>
      </c>
      <c r="GU8" s="78">
        <f aca="true" t="shared" si="129" ref="GU8:GU15">GS8+GT8</f>
        <v>150.65774</v>
      </c>
      <c r="GV8" s="79">
        <f aca="true" t="shared" si="130" ref="GV8:GV15">GT$6*$F8</f>
        <v>137.60031980000002</v>
      </c>
      <c r="GW8" s="77">
        <f aca="true" t="shared" si="131" ref="GW8:GW15">GT$6*$G8</f>
        <v>8.225638</v>
      </c>
      <c r="GX8" s="79"/>
      <c r="GY8" s="78"/>
      <c r="GZ8" s="78">
        <f aca="true" t="shared" si="132" ref="GZ8:GZ15">D8*0.71564/100</f>
        <v>863.7774800000001</v>
      </c>
      <c r="HA8" s="78">
        <f aca="true" t="shared" si="133" ref="HA8:HA15">GY8+GZ8</f>
        <v>863.7774800000001</v>
      </c>
      <c r="HB8" s="79">
        <f aca="true" t="shared" si="134" ref="HB8:HB15">GZ$6*$F8</f>
        <v>788.9143796000001</v>
      </c>
      <c r="HC8" s="77">
        <f aca="true" t="shared" si="135" ref="HC8:HC15">GZ$6*$G8</f>
        <v>47.160676</v>
      </c>
      <c r="HD8" s="79"/>
      <c r="HE8" s="79"/>
      <c r="HF8" s="79"/>
      <c r="HG8" s="79"/>
      <c r="HH8" s="79"/>
      <c r="HI8" s="79"/>
    </row>
    <row r="9" spans="1:217" s="52" customFormat="1" ht="12.75">
      <c r="A9" s="51">
        <v>44287</v>
      </c>
      <c r="C9" s="42">
        <v>6035000</v>
      </c>
      <c r="D9" s="42">
        <v>120700</v>
      </c>
      <c r="E9" s="77">
        <f t="shared" si="0"/>
        <v>6155700</v>
      </c>
      <c r="F9" s="77">
        <v>110238</v>
      </c>
      <c r="G9" s="77">
        <v>6587</v>
      </c>
      <c r="H9" s="79"/>
      <c r="I9" s="79">
        <f>O9+U9+AA9+AG9+AM9+AS9+AY9+BE9+BK9+BQ9+BW9+CC9+CI9+CO9+CU9+DA9+DG9+DM9+DS9+DY9+EE9+EK9+EQ9+EW9+FC9+FI9+FO9+FU9+GA9+GG9+GM9+GS9+GY9</f>
        <v>3275954.3065000004</v>
      </c>
      <c r="J9" s="79">
        <f t="shared" si="1"/>
        <v>65519.086129999996</v>
      </c>
      <c r="K9" s="79">
        <f t="shared" si="2"/>
        <v>3341473.3926300006</v>
      </c>
      <c r="L9" s="79">
        <f t="shared" si="3"/>
        <v>59840.04156420001</v>
      </c>
      <c r="M9" s="79">
        <f t="shared" si="3"/>
        <v>3575.5942032999997</v>
      </c>
      <c r="N9" s="79"/>
      <c r="O9" s="78">
        <f aca="true" t="shared" si="136" ref="O9:O15">C9*6.61452/100</f>
        <v>399186.28199999995</v>
      </c>
      <c r="P9" s="78">
        <f t="shared" si="4"/>
        <v>7983.725640000001</v>
      </c>
      <c r="Q9" s="79">
        <f t="shared" si="5"/>
        <v>407170.00763999997</v>
      </c>
      <c r="R9" s="79">
        <f t="shared" si="6"/>
        <v>7291.7145576</v>
      </c>
      <c r="S9" s="77">
        <f t="shared" si="7"/>
        <v>435.6984324</v>
      </c>
      <c r="T9" s="79"/>
      <c r="U9" s="78">
        <f aca="true" t="shared" si="137" ref="U9:U15">C9*0.11296/100</f>
        <v>6817.1359999999995</v>
      </c>
      <c r="V9" s="78">
        <f t="shared" si="8"/>
        <v>136.34272</v>
      </c>
      <c r="W9" s="78">
        <f t="shared" si="9"/>
        <v>6953.478719999999</v>
      </c>
      <c r="X9" s="79">
        <f t="shared" si="10"/>
        <v>124.5248448</v>
      </c>
      <c r="Y9" s="77">
        <f t="shared" si="11"/>
        <v>7.440675199999999</v>
      </c>
      <c r="Z9" s="79"/>
      <c r="AA9" s="79">
        <f aca="true" t="shared" si="138" ref="AA9:AA15">C9*0.50994/100</f>
        <v>30774.879</v>
      </c>
      <c r="AB9" s="78">
        <f t="shared" si="12"/>
        <v>615.49758</v>
      </c>
      <c r="AC9" s="78">
        <f t="shared" si="13"/>
        <v>31390.37658</v>
      </c>
      <c r="AD9" s="79">
        <f t="shared" si="14"/>
        <v>562.1476571999999</v>
      </c>
      <c r="AE9" s="77">
        <f t="shared" si="15"/>
        <v>33.5897478</v>
      </c>
      <c r="AF9" s="79"/>
      <c r="AG9" s="78">
        <f aca="true" t="shared" si="139" ref="AG9:AG15">C9*8.86797/100</f>
        <v>535181.9894999999</v>
      </c>
      <c r="AH9" s="78">
        <f t="shared" si="16"/>
        <v>10703.639790000001</v>
      </c>
      <c r="AI9" s="78">
        <f t="shared" si="17"/>
        <v>545885.62929</v>
      </c>
      <c r="AJ9" s="79">
        <f t="shared" si="18"/>
        <v>9775.8727686</v>
      </c>
      <c r="AK9" s="77">
        <f t="shared" si="19"/>
        <v>584.1331839</v>
      </c>
      <c r="AL9" s="79"/>
      <c r="AM9" s="78">
        <f aca="true" t="shared" si="140" ref="AM9:AM15">C9*0.10742/100</f>
        <v>6482.797</v>
      </c>
      <c r="AN9" s="78">
        <f t="shared" si="20"/>
        <v>129.65594000000002</v>
      </c>
      <c r="AO9" s="78">
        <f t="shared" si="21"/>
        <v>6612.452939999999</v>
      </c>
      <c r="AP9" s="79">
        <f t="shared" si="22"/>
        <v>118.4176596</v>
      </c>
      <c r="AQ9" s="77">
        <f t="shared" si="23"/>
        <v>7.0757554</v>
      </c>
      <c r="AR9" s="78"/>
      <c r="AS9" s="78">
        <f aca="true" t="shared" si="141" ref="AS9:AS15">C9*0.09059/100</f>
        <v>5467.1065</v>
      </c>
      <c r="AT9" s="78">
        <f t="shared" si="24"/>
        <v>109.34213</v>
      </c>
      <c r="AU9" s="78">
        <f t="shared" si="25"/>
        <v>5576.44863</v>
      </c>
      <c r="AV9" s="79">
        <f t="shared" si="26"/>
        <v>99.8646042</v>
      </c>
      <c r="AW9" s="77">
        <f t="shared" si="27"/>
        <v>5.967163299999999</v>
      </c>
      <c r="AX9" s="79"/>
      <c r="AY9" s="78">
        <f aca="true" t="shared" si="142" ref="AY9:AY15">C9*3.71668/100</f>
        <v>224301.638</v>
      </c>
      <c r="AZ9" s="78">
        <f t="shared" si="28"/>
        <v>4486.03276</v>
      </c>
      <c r="BA9" s="78">
        <f t="shared" si="29"/>
        <v>228787.67076</v>
      </c>
      <c r="BB9" s="79">
        <f t="shared" si="30"/>
        <v>4097.1936984</v>
      </c>
      <c r="BC9" s="77">
        <f t="shared" si="31"/>
        <v>244.8177116</v>
      </c>
      <c r="BD9" s="79"/>
      <c r="BE9" s="78">
        <f aca="true" t="shared" si="143" ref="BE9:BE15">C9*7.62623/100</f>
        <v>460242.98049999995</v>
      </c>
      <c r="BF9" s="78">
        <f t="shared" si="32"/>
        <v>9204.85961</v>
      </c>
      <c r="BG9" s="78">
        <f t="shared" si="33"/>
        <v>469447.84010999993</v>
      </c>
      <c r="BH9" s="79">
        <f t="shared" si="34"/>
        <v>8407.0034274</v>
      </c>
      <c r="BI9" s="77">
        <f t="shared" si="35"/>
        <v>502.3397701</v>
      </c>
      <c r="BJ9" s="79"/>
      <c r="BK9" s="78">
        <f aca="true" t="shared" si="144" ref="BK9:BK15">C9*0.08804/100</f>
        <v>5313.213999999999</v>
      </c>
      <c r="BL9" s="78">
        <f t="shared" si="36"/>
        <v>106.26428</v>
      </c>
      <c r="BM9" s="78">
        <f t="shared" si="37"/>
        <v>5419.478279999999</v>
      </c>
      <c r="BN9" s="79">
        <f t="shared" si="38"/>
        <v>97.0535352</v>
      </c>
      <c r="BO9" s="77">
        <f t="shared" si="39"/>
        <v>5.7991948</v>
      </c>
      <c r="BP9" s="79"/>
      <c r="BQ9" s="78">
        <f aca="true" t="shared" si="145" ref="BQ9:BQ15">C9*0.05914/100</f>
        <v>3569.0989999999997</v>
      </c>
      <c r="BR9" s="78">
        <f t="shared" si="40"/>
        <v>71.38198</v>
      </c>
      <c r="BS9" s="78">
        <f t="shared" si="41"/>
        <v>3640.48098</v>
      </c>
      <c r="BT9" s="79">
        <f t="shared" si="42"/>
        <v>65.1947532</v>
      </c>
      <c r="BU9" s="77">
        <f t="shared" si="43"/>
        <v>3.8955518</v>
      </c>
      <c r="BV9" s="79"/>
      <c r="BW9" s="78">
        <f aca="true" t="shared" si="146" ref="BW9:BW15">C9*-0.00881/100</f>
        <v>-531.6835</v>
      </c>
      <c r="BX9" s="78">
        <f t="shared" si="44"/>
        <v>-10.63367</v>
      </c>
      <c r="BY9" s="78">
        <f t="shared" si="45"/>
        <v>-542.31717</v>
      </c>
      <c r="BZ9" s="79">
        <f t="shared" si="46"/>
        <v>-9.7119678</v>
      </c>
      <c r="CA9" s="77">
        <f t="shared" si="47"/>
        <v>-0.5803147</v>
      </c>
      <c r="CB9" s="78"/>
      <c r="CC9" s="78">
        <f aca="true" t="shared" si="147" ref="CC9:CC15">C9*-0.00574/100</f>
        <v>-346.409</v>
      </c>
      <c r="CD9" s="78">
        <f t="shared" si="48"/>
        <v>-6.92818</v>
      </c>
      <c r="CE9" s="78">
        <f t="shared" si="49"/>
        <v>-353.33718</v>
      </c>
      <c r="CF9" s="79">
        <f t="shared" si="50"/>
        <v>-6.3276612</v>
      </c>
      <c r="CG9" s="77">
        <f t="shared" si="51"/>
        <v>-0.3780938</v>
      </c>
      <c r="CH9" s="79"/>
      <c r="CI9" s="78">
        <f aca="true" t="shared" si="148" ref="CI9:CI15">C9*0.21346/100</f>
        <v>12882.311000000002</v>
      </c>
      <c r="CJ9" s="78">
        <f t="shared" si="52"/>
        <v>257.64622</v>
      </c>
      <c r="CK9" s="78">
        <f t="shared" si="53"/>
        <v>13139.957220000002</v>
      </c>
      <c r="CL9" s="79">
        <f t="shared" si="54"/>
        <v>235.3140348</v>
      </c>
      <c r="CM9" s="77">
        <f t="shared" si="55"/>
        <v>14.0606102</v>
      </c>
      <c r="CN9" s="79"/>
      <c r="CO9" s="78">
        <f aca="true" t="shared" si="149" ref="CO9:CO15">C9*1.3127/100</f>
        <v>79221.445</v>
      </c>
      <c r="CP9" s="78">
        <f t="shared" si="56"/>
        <v>1584.4288999999999</v>
      </c>
      <c r="CQ9" s="78">
        <f t="shared" si="57"/>
        <v>80805.8739</v>
      </c>
      <c r="CR9" s="79">
        <f t="shared" si="58"/>
        <v>1447.094226</v>
      </c>
      <c r="CS9" s="77">
        <f t="shared" si="59"/>
        <v>86.467549</v>
      </c>
      <c r="CT9" s="79"/>
      <c r="CU9" s="78">
        <f aca="true" t="shared" si="150" ref="CU9:CU15">C9*8.81851/100</f>
        <v>532197.0785000001</v>
      </c>
      <c r="CV9" s="78">
        <f t="shared" si="60"/>
        <v>10643.941569999999</v>
      </c>
      <c r="CW9" s="78">
        <f t="shared" si="61"/>
        <v>542841.0200700001</v>
      </c>
      <c r="CX9" s="79">
        <f t="shared" si="62"/>
        <v>9721.3490538</v>
      </c>
      <c r="CY9" s="77">
        <f t="shared" si="63"/>
        <v>580.8752537</v>
      </c>
      <c r="CZ9" s="79"/>
      <c r="DA9" s="78">
        <f aca="true" t="shared" si="151" ref="DA9:DA15">C9*1.27232/100</f>
        <v>76784.51199999999</v>
      </c>
      <c r="DB9" s="78">
        <f t="shared" si="64"/>
        <v>1535.6902399999997</v>
      </c>
      <c r="DC9" s="78">
        <f t="shared" si="65"/>
        <v>78320.20223999998</v>
      </c>
      <c r="DD9" s="79">
        <f t="shared" si="66"/>
        <v>1402.5801216</v>
      </c>
      <c r="DE9" s="77">
        <f t="shared" si="67"/>
        <v>83.8077184</v>
      </c>
      <c r="DF9" s="79"/>
      <c r="DG9" s="78">
        <f aca="true" t="shared" si="152" ref="DG9:DG15">C9*2.59972/100</f>
        <v>156893.10199999998</v>
      </c>
      <c r="DH9" s="78">
        <f t="shared" si="68"/>
        <v>3137.8620400000004</v>
      </c>
      <c r="DI9" s="78">
        <f t="shared" si="69"/>
        <v>160030.96404</v>
      </c>
      <c r="DJ9" s="79">
        <f t="shared" si="70"/>
        <v>2865.8793336000003</v>
      </c>
      <c r="DK9" s="77">
        <f t="shared" si="71"/>
        <v>171.24355640000002</v>
      </c>
      <c r="DL9" s="79"/>
      <c r="DM9" s="78">
        <f aca="true" t="shared" si="153" ref="DM9:DM15">C9*0.42162/100</f>
        <v>25444.767000000003</v>
      </c>
      <c r="DN9" s="78">
        <f t="shared" si="72"/>
        <v>508.89534</v>
      </c>
      <c r="DO9" s="78">
        <f t="shared" si="73"/>
        <v>25953.662340000003</v>
      </c>
      <c r="DP9" s="79">
        <f t="shared" si="74"/>
        <v>464.7854556</v>
      </c>
      <c r="DQ9" s="77">
        <f t="shared" si="75"/>
        <v>27.772109399999998</v>
      </c>
      <c r="DR9" s="79"/>
      <c r="DS9" s="78">
        <f aca="true" t="shared" si="154" ref="DS9:DS15">C9*2.16282/100</f>
        <v>130526.18699999999</v>
      </c>
      <c r="DT9" s="78">
        <f t="shared" si="76"/>
        <v>2610.5237399999996</v>
      </c>
      <c r="DU9" s="78">
        <f t="shared" si="77"/>
        <v>133136.71073999998</v>
      </c>
      <c r="DV9" s="79">
        <f t="shared" si="78"/>
        <v>2384.2495116</v>
      </c>
      <c r="DW9" s="77">
        <f t="shared" si="79"/>
        <v>142.4649534</v>
      </c>
      <c r="DX9" s="79"/>
      <c r="DY9" s="78">
        <f aca="true" t="shared" si="155" ref="DY9:DY15">C9*0.01933/100</f>
        <v>1166.5655</v>
      </c>
      <c r="DZ9" s="78">
        <f t="shared" si="80"/>
        <v>23.33131</v>
      </c>
      <c r="EA9" s="78">
        <f t="shared" si="81"/>
        <v>1189.89681</v>
      </c>
      <c r="EB9" s="79">
        <f t="shared" si="82"/>
        <v>21.3090054</v>
      </c>
      <c r="EC9" s="77">
        <f t="shared" si="83"/>
        <v>1.2732671</v>
      </c>
      <c r="ED9" s="79"/>
      <c r="EE9" s="78">
        <f aca="true" t="shared" si="156" ref="EE9:EE15">C9*0.02544/100</f>
        <v>1535.3039999999999</v>
      </c>
      <c r="EF9" s="78">
        <f t="shared" si="84"/>
        <v>30.70608</v>
      </c>
      <c r="EG9" s="78">
        <f t="shared" si="85"/>
        <v>1566.0100799999998</v>
      </c>
      <c r="EH9" s="79">
        <f t="shared" si="86"/>
        <v>28.0445472</v>
      </c>
      <c r="EI9" s="77">
        <f t="shared" si="87"/>
        <v>1.6757328</v>
      </c>
      <c r="EJ9" s="79"/>
      <c r="EK9" s="78">
        <f aca="true" t="shared" si="157" ref="EK9:EK15">C9*1.28187/100</f>
        <v>77360.8545</v>
      </c>
      <c r="EL9" s="78">
        <f t="shared" si="88"/>
        <v>1547.21709</v>
      </c>
      <c r="EM9" s="78">
        <f t="shared" si="89"/>
        <v>78908.07159</v>
      </c>
      <c r="EN9" s="79">
        <f t="shared" si="90"/>
        <v>1413.1078506000001</v>
      </c>
      <c r="EO9" s="77">
        <f t="shared" si="91"/>
        <v>84.4367769</v>
      </c>
      <c r="EP9" s="79"/>
      <c r="EQ9" s="78">
        <f aca="true" t="shared" si="158" ref="EQ9:EQ15">C9*0.0244/100</f>
        <v>1472.54</v>
      </c>
      <c r="ER9" s="78">
        <f t="shared" si="92"/>
        <v>29.450800000000005</v>
      </c>
      <c r="ES9" s="78">
        <f t="shared" si="93"/>
        <v>1501.9908</v>
      </c>
      <c r="ET9" s="79">
        <f t="shared" si="94"/>
        <v>26.898072</v>
      </c>
      <c r="EU9" s="77">
        <f t="shared" si="95"/>
        <v>1.6072279999999999</v>
      </c>
      <c r="EV9" s="79"/>
      <c r="EW9" s="78">
        <f aca="true" t="shared" si="159" ref="EW9:EW15">C9*0.36459/100</f>
        <v>22003.006500000003</v>
      </c>
      <c r="EX9" s="78">
        <f t="shared" si="96"/>
        <v>440.0601300000001</v>
      </c>
      <c r="EY9" s="78">
        <f t="shared" si="97"/>
        <v>22443.066630000005</v>
      </c>
      <c r="EZ9" s="79">
        <f t="shared" si="98"/>
        <v>401.91672420000003</v>
      </c>
      <c r="FA9" s="77">
        <f t="shared" si="99"/>
        <v>24.0155433</v>
      </c>
      <c r="FB9" s="79"/>
      <c r="FC9" s="78">
        <f aca="true" t="shared" si="160" ref="FC9:FC15">C9*0.25327/100</f>
        <v>15284.8445</v>
      </c>
      <c r="FD9" s="78">
        <f t="shared" si="100"/>
        <v>305.69689</v>
      </c>
      <c r="FE9" s="78">
        <f t="shared" si="101"/>
        <v>15590.541389999999</v>
      </c>
      <c r="FF9" s="79">
        <f t="shared" si="102"/>
        <v>279.1997826</v>
      </c>
      <c r="FG9" s="77">
        <f t="shared" si="103"/>
        <v>16.6828949</v>
      </c>
      <c r="FH9" s="79"/>
      <c r="FI9" s="78">
        <f aca="true" t="shared" si="161" ref="FI9:FI15">C9*0.09887/100</f>
        <v>5966.804499999999</v>
      </c>
      <c r="FJ9" s="78">
        <f t="shared" si="104"/>
        <v>119.33609</v>
      </c>
      <c r="FK9" s="78">
        <f t="shared" si="105"/>
        <v>6086.140589999999</v>
      </c>
      <c r="FL9" s="79">
        <f t="shared" si="106"/>
        <v>108.9923106</v>
      </c>
      <c r="FM9" s="77">
        <f t="shared" si="107"/>
        <v>6.5125668999999995</v>
      </c>
      <c r="FN9" s="79"/>
      <c r="FO9" s="78">
        <f aca="true" t="shared" si="162" ref="FO9:FO15">C9*1.11111/100</f>
        <v>67055.4885</v>
      </c>
      <c r="FP9" s="78">
        <f t="shared" si="108"/>
        <v>1341.10977</v>
      </c>
      <c r="FQ9" s="78">
        <f t="shared" si="109"/>
        <v>68396.59827</v>
      </c>
      <c r="FR9" s="79">
        <f t="shared" si="110"/>
        <v>1224.8654418</v>
      </c>
      <c r="FS9" s="77">
        <f t="shared" si="111"/>
        <v>73.1888157</v>
      </c>
      <c r="FT9" s="79"/>
      <c r="FU9" s="78">
        <f aca="true" t="shared" si="163" ref="FU9:FU15">C9*2.50422/100</f>
        <v>151129.67700000003</v>
      </c>
      <c r="FV9" s="78">
        <f t="shared" si="112"/>
        <v>3022.59354</v>
      </c>
      <c r="FW9" s="78">
        <f t="shared" si="113"/>
        <v>154152.27054000003</v>
      </c>
      <c r="FX9" s="79">
        <f t="shared" si="114"/>
        <v>2760.6020436</v>
      </c>
      <c r="FY9" s="77">
        <f t="shared" si="115"/>
        <v>164.9529714</v>
      </c>
      <c r="FZ9" s="79"/>
      <c r="GA9" s="78">
        <f aca="true" t="shared" si="164" ref="GA9:GA15">C9*0.31957/100</f>
        <v>19286.0495</v>
      </c>
      <c r="GB9" s="78">
        <f t="shared" si="116"/>
        <v>385.72099000000003</v>
      </c>
      <c r="GC9" s="78">
        <f t="shared" si="117"/>
        <v>19671.770490000003</v>
      </c>
      <c r="GD9" s="79">
        <f t="shared" si="118"/>
        <v>352.2875766</v>
      </c>
      <c r="GE9" s="77">
        <f t="shared" si="119"/>
        <v>21.0500759</v>
      </c>
      <c r="GF9" s="79"/>
      <c r="GG9" s="78">
        <f aca="true" t="shared" si="165" ref="GG9:GG15">C9*0.50748/100</f>
        <v>30626.418</v>
      </c>
      <c r="GH9" s="78">
        <f t="shared" si="120"/>
        <v>612.52836</v>
      </c>
      <c r="GI9" s="78">
        <f t="shared" si="121"/>
        <v>31238.94636</v>
      </c>
      <c r="GJ9" s="79">
        <f t="shared" si="122"/>
        <v>559.4358024</v>
      </c>
      <c r="GK9" s="77">
        <f t="shared" si="123"/>
        <v>33.4277076</v>
      </c>
      <c r="GL9" s="79"/>
      <c r="GM9" s="78">
        <f aca="true" t="shared" si="166" ref="GM9:GM15">C9*2.35189/100</f>
        <v>141936.5615</v>
      </c>
      <c r="GN9" s="78">
        <f t="shared" si="124"/>
        <v>2838.7312300000003</v>
      </c>
      <c r="GO9" s="78">
        <f t="shared" si="125"/>
        <v>144775.29273000002</v>
      </c>
      <c r="GP9" s="79">
        <f t="shared" si="126"/>
        <v>2592.6764982</v>
      </c>
      <c r="GQ9" s="77">
        <f t="shared" si="127"/>
        <v>154.91899429999998</v>
      </c>
      <c r="GR9" s="79"/>
      <c r="GS9" s="78">
        <f aca="true" t="shared" si="167" ref="GS9:GS15">C9*0.12482/100</f>
        <v>7532.887</v>
      </c>
      <c r="GT9" s="78">
        <f t="shared" si="128"/>
        <v>150.65774</v>
      </c>
      <c r="GU9" s="78">
        <f t="shared" si="129"/>
        <v>7683.544739999999</v>
      </c>
      <c r="GV9" s="79">
        <f t="shared" si="130"/>
        <v>137.5990716</v>
      </c>
      <c r="GW9" s="77">
        <f t="shared" si="131"/>
        <v>8.2218934</v>
      </c>
      <c r="GX9" s="79"/>
      <c r="GY9" s="78">
        <f aca="true" t="shared" si="168" ref="GY9:GY15">C9*0.71564/100</f>
        <v>43188.874</v>
      </c>
      <c r="GZ9" s="78">
        <f t="shared" si="132"/>
        <v>863.7774800000001</v>
      </c>
      <c r="HA9" s="78">
        <f t="shared" si="133"/>
        <v>44052.65148</v>
      </c>
      <c r="HB9" s="79">
        <f t="shared" si="134"/>
        <v>788.9072232</v>
      </c>
      <c r="HC9" s="77">
        <f t="shared" si="135"/>
        <v>47.139206800000004</v>
      </c>
      <c r="HD9" s="79"/>
      <c r="HE9" s="79"/>
      <c r="HF9" s="79"/>
      <c r="HG9" s="79"/>
      <c r="HH9" s="79"/>
      <c r="HI9" s="79"/>
    </row>
    <row r="10" spans="1:217" s="52" customFormat="1" ht="12.75" hidden="1">
      <c r="A10" s="51">
        <v>44470</v>
      </c>
      <c r="C10" s="80"/>
      <c r="D10" s="80"/>
      <c r="E10" s="77">
        <f t="shared" si="0"/>
        <v>0</v>
      </c>
      <c r="F10" s="77"/>
      <c r="G10" s="77"/>
      <c r="H10" s="79"/>
      <c r="I10" s="79"/>
      <c r="J10" s="79">
        <f t="shared" si="1"/>
        <v>0</v>
      </c>
      <c r="K10" s="79">
        <f t="shared" si="2"/>
        <v>0</v>
      </c>
      <c r="L10" s="79">
        <f t="shared" si="3"/>
        <v>0</v>
      </c>
      <c r="M10" s="79">
        <f t="shared" si="3"/>
        <v>0</v>
      </c>
      <c r="N10" s="79"/>
      <c r="O10" s="78"/>
      <c r="P10" s="78">
        <f t="shared" si="4"/>
        <v>0</v>
      </c>
      <c r="Q10" s="79">
        <f t="shared" si="5"/>
        <v>0</v>
      </c>
      <c r="R10" s="79">
        <f t="shared" si="6"/>
        <v>0</v>
      </c>
      <c r="S10" s="77">
        <f t="shared" si="7"/>
        <v>0</v>
      </c>
      <c r="T10" s="79"/>
      <c r="U10" s="78"/>
      <c r="V10" s="78">
        <f t="shared" si="8"/>
        <v>0</v>
      </c>
      <c r="W10" s="78">
        <f t="shared" si="9"/>
        <v>0</v>
      </c>
      <c r="X10" s="79">
        <f t="shared" si="10"/>
        <v>0</v>
      </c>
      <c r="Y10" s="77">
        <f t="shared" si="11"/>
        <v>0</v>
      </c>
      <c r="Z10" s="79"/>
      <c r="AA10" s="79"/>
      <c r="AB10" s="78">
        <f t="shared" si="12"/>
        <v>0</v>
      </c>
      <c r="AC10" s="78">
        <f t="shared" si="13"/>
        <v>0</v>
      </c>
      <c r="AD10" s="79">
        <f t="shared" si="14"/>
        <v>0</v>
      </c>
      <c r="AE10" s="77">
        <f t="shared" si="15"/>
        <v>0</v>
      </c>
      <c r="AF10" s="79"/>
      <c r="AG10" s="78"/>
      <c r="AH10" s="78">
        <f t="shared" si="16"/>
        <v>0</v>
      </c>
      <c r="AI10" s="78">
        <f t="shared" si="17"/>
        <v>0</v>
      </c>
      <c r="AJ10" s="79">
        <f t="shared" si="18"/>
        <v>0</v>
      </c>
      <c r="AK10" s="77">
        <f t="shared" si="19"/>
        <v>0</v>
      </c>
      <c r="AL10" s="79"/>
      <c r="AM10" s="78"/>
      <c r="AN10" s="78">
        <f t="shared" si="20"/>
        <v>0</v>
      </c>
      <c r="AO10" s="78">
        <f t="shared" si="21"/>
        <v>0</v>
      </c>
      <c r="AP10" s="79">
        <f t="shared" si="22"/>
        <v>0</v>
      </c>
      <c r="AQ10" s="77">
        <f t="shared" si="23"/>
        <v>0</v>
      </c>
      <c r="AR10" s="78"/>
      <c r="AS10" s="78"/>
      <c r="AT10" s="78">
        <f t="shared" si="24"/>
        <v>0</v>
      </c>
      <c r="AU10" s="78">
        <f t="shared" si="25"/>
        <v>0</v>
      </c>
      <c r="AV10" s="79">
        <f t="shared" si="26"/>
        <v>0</v>
      </c>
      <c r="AW10" s="77">
        <f t="shared" si="27"/>
        <v>0</v>
      </c>
      <c r="AX10" s="79"/>
      <c r="AY10" s="78"/>
      <c r="AZ10" s="78">
        <f t="shared" si="28"/>
        <v>0</v>
      </c>
      <c r="BA10" s="78">
        <f t="shared" si="29"/>
        <v>0</v>
      </c>
      <c r="BB10" s="79">
        <f t="shared" si="30"/>
        <v>0</v>
      </c>
      <c r="BC10" s="77">
        <f t="shared" si="31"/>
        <v>0</v>
      </c>
      <c r="BD10" s="79"/>
      <c r="BE10" s="78"/>
      <c r="BF10" s="78">
        <f t="shared" si="32"/>
        <v>0</v>
      </c>
      <c r="BG10" s="78">
        <f t="shared" si="33"/>
        <v>0</v>
      </c>
      <c r="BH10" s="79">
        <f t="shared" si="34"/>
        <v>0</v>
      </c>
      <c r="BI10" s="77">
        <f t="shared" si="35"/>
        <v>0</v>
      </c>
      <c r="BJ10" s="79"/>
      <c r="BK10" s="78"/>
      <c r="BL10" s="78">
        <f t="shared" si="36"/>
        <v>0</v>
      </c>
      <c r="BM10" s="78">
        <f t="shared" si="37"/>
        <v>0</v>
      </c>
      <c r="BN10" s="79">
        <f t="shared" si="38"/>
        <v>0</v>
      </c>
      <c r="BO10" s="77">
        <f t="shared" si="39"/>
        <v>0</v>
      </c>
      <c r="BP10" s="79"/>
      <c r="BQ10" s="78"/>
      <c r="BR10" s="78">
        <f t="shared" si="40"/>
        <v>0</v>
      </c>
      <c r="BS10" s="78">
        <f t="shared" si="41"/>
        <v>0</v>
      </c>
      <c r="BT10" s="79">
        <f t="shared" si="42"/>
        <v>0</v>
      </c>
      <c r="BU10" s="77">
        <f t="shared" si="43"/>
        <v>0</v>
      </c>
      <c r="BV10" s="79"/>
      <c r="BW10" s="78"/>
      <c r="BX10" s="78">
        <f t="shared" si="44"/>
        <v>0</v>
      </c>
      <c r="BY10" s="78">
        <f t="shared" si="45"/>
        <v>0</v>
      </c>
      <c r="BZ10" s="79">
        <f t="shared" si="46"/>
        <v>0</v>
      </c>
      <c r="CA10" s="77">
        <f t="shared" si="47"/>
        <v>0</v>
      </c>
      <c r="CB10" s="78"/>
      <c r="CC10" s="78"/>
      <c r="CD10" s="78">
        <f t="shared" si="48"/>
        <v>0</v>
      </c>
      <c r="CE10" s="78">
        <f t="shared" si="49"/>
        <v>0</v>
      </c>
      <c r="CF10" s="79">
        <f t="shared" si="50"/>
        <v>0</v>
      </c>
      <c r="CG10" s="77">
        <f t="shared" si="51"/>
        <v>0</v>
      </c>
      <c r="CH10" s="79"/>
      <c r="CI10" s="78"/>
      <c r="CJ10" s="78">
        <f t="shared" si="52"/>
        <v>0</v>
      </c>
      <c r="CK10" s="78">
        <f t="shared" si="53"/>
        <v>0</v>
      </c>
      <c r="CL10" s="79">
        <f t="shared" si="54"/>
        <v>0</v>
      </c>
      <c r="CM10" s="77">
        <f t="shared" si="55"/>
        <v>0</v>
      </c>
      <c r="CN10" s="79"/>
      <c r="CO10" s="78"/>
      <c r="CP10" s="78">
        <f t="shared" si="56"/>
        <v>0</v>
      </c>
      <c r="CQ10" s="78">
        <f t="shared" si="57"/>
        <v>0</v>
      </c>
      <c r="CR10" s="79">
        <f t="shared" si="58"/>
        <v>0</v>
      </c>
      <c r="CS10" s="77">
        <f t="shared" si="59"/>
        <v>0</v>
      </c>
      <c r="CT10" s="79"/>
      <c r="CU10" s="78"/>
      <c r="CV10" s="78">
        <f t="shared" si="60"/>
        <v>0</v>
      </c>
      <c r="CW10" s="78">
        <f t="shared" si="61"/>
        <v>0</v>
      </c>
      <c r="CX10" s="79">
        <f t="shared" si="62"/>
        <v>0</v>
      </c>
      <c r="CY10" s="77">
        <f t="shared" si="63"/>
        <v>0</v>
      </c>
      <c r="CZ10" s="79"/>
      <c r="DA10" s="78"/>
      <c r="DB10" s="78">
        <f t="shared" si="64"/>
        <v>0</v>
      </c>
      <c r="DC10" s="78">
        <f t="shared" si="65"/>
        <v>0</v>
      </c>
      <c r="DD10" s="79">
        <f t="shared" si="66"/>
        <v>0</v>
      </c>
      <c r="DE10" s="77">
        <f t="shared" si="67"/>
        <v>0</v>
      </c>
      <c r="DF10" s="79"/>
      <c r="DG10" s="78"/>
      <c r="DH10" s="78">
        <f t="shared" si="68"/>
        <v>0</v>
      </c>
      <c r="DI10" s="78">
        <f t="shared" si="69"/>
        <v>0</v>
      </c>
      <c r="DJ10" s="79">
        <f t="shared" si="70"/>
        <v>0</v>
      </c>
      <c r="DK10" s="77">
        <f t="shared" si="71"/>
        <v>0</v>
      </c>
      <c r="DL10" s="79"/>
      <c r="DM10" s="78"/>
      <c r="DN10" s="78">
        <f t="shared" si="72"/>
        <v>0</v>
      </c>
      <c r="DO10" s="78">
        <f t="shared" si="73"/>
        <v>0</v>
      </c>
      <c r="DP10" s="79">
        <f t="shared" si="74"/>
        <v>0</v>
      </c>
      <c r="DQ10" s="77">
        <f t="shared" si="75"/>
        <v>0</v>
      </c>
      <c r="DR10" s="79"/>
      <c r="DS10" s="78"/>
      <c r="DT10" s="78">
        <f t="shared" si="76"/>
        <v>0</v>
      </c>
      <c r="DU10" s="78">
        <f t="shared" si="77"/>
        <v>0</v>
      </c>
      <c r="DV10" s="79">
        <f t="shared" si="78"/>
        <v>0</v>
      </c>
      <c r="DW10" s="77">
        <f t="shared" si="79"/>
        <v>0</v>
      </c>
      <c r="DX10" s="79"/>
      <c r="DY10" s="78"/>
      <c r="DZ10" s="78">
        <f t="shared" si="80"/>
        <v>0</v>
      </c>
      <c r="EA10" s="78">
        <f t="shared" si="81"/>
        <v>0</v>
      </c>
      <c r="EB10" s="79">
        <f t="shared" si="82"/>
        <v>0</v>
      </c>
      <c r="EC10" s="77">
        <f t="shared" si="83"/>
        <v>0</v>
      </c>
      <c r="ED10" s="79"/>
      <c r="EE10" s="78"/>
      <c r="EF10" s="78">
        <f t="shared" si="84"/>
        <v>0</v>
      </c>
      <c r="EG10" s="78">
        <f t="shared" si="85"/>
        <v>0</v>
      </c>
      <c r="EH10" s="79">
        <f t="shared" si="86"/>
        <v>0</v>
      </c>
      <c r="EI10" s="77">
        <f t="shared" si="87"/>
        <v>0</v>
      </c>
      <c r="EJ10" s="79"/>
      <c r="EK10" s="78"/>
      <c r="EL10" s="78">
        <f t="shared" si="88"/>
        <v>0</v>
      </c>
      <c r="EM10" s="78">
        <f t="shared" si="89"/>
        <v>0</v>
      </c>
      <c r="EN10" s="79">
        <f t="shared" si="90"/>
        <v>0</v>
      </c>
      <c r="EO10" s="77">
        <f t="shared" si="91"/>
        <v>0</v>
      </c>
      <c r="EP10" s="79"/>
      <c r="EQ10" s="78"/>
      <c r="ER10" s="78">
        <f t="shared" si="92"/>
        <v>0</v>
      </c>
      <c r="ES10" s="78">
        <f t="shared" si="93"/>
        <v>0</v>
      </c>
      <c r="ET10" s="79">
        <f t="shared" si="94"/>
        <v>0</v>
      </c>
      <c r="EU10" s="77">
        <f t="shared" si="95"/>
        <v>0</v>
      </c>
      <c r="EV10" s="79"/>
      <c r="EW10" s="78"/>
      <c r="EX10" s="78">
        <f t="shared" si="96"/>
        <v>0</v>
      </c>
      <c r="EY10" s="78">
        <f t="shared" si="97"/>
        <v>0</v>
      </c>
      <c r="EZ10" s="79">
        <f t="shared" si="98"/>
        <v>0</v>
      </c>
      <c r="FA10" s="77">
        <f t="shared" si="99"/>
        <v>0</v>
      </c>
      <c r="FB10" s="79"/>
      <c r="FC10" s="78"/>
      <c r="FD10" s="78">
        <f t="shared" si="100"/>
        <v>0</v>
      </c>
      <c r="FE10" s="78">
        <f t="shared" si="101"/>
        <v>0</v>
      </c>
      <c r="FF10" s="79">
        <f t="shared" si="102"/>
        <v>0</v>
      </c>
      <c r="FG10" s="77">
        <f t="shared" si="103"/>
        <v>0</v>
      </c>
      <c r="FH10" s="79"/>
      <c r="FI10" s="78"/>
      <c r="FJ10" s="78">
        <f t="shared" si="104"/>
        <v>0</v>
      </c>
      <c r="FK10" s="78">
        <f t="shared" si="105"/>
        <v>0</v>
      </c>
      <c r="FL10" s="79">
        <f t="shared" si="106"/>
        <v>0</v>
      </c>
      <c r="FM10" s="77">
        <f t="shared" si="107"/>
        <v>0</v>
      </c>
      <c r="FN10" s="79"/>
      <c r="FO10" s="78"/>
      <c r="FP10" s="78">
        <f t="shared" si="108"/>
        <v>0</v>
      </c>
      <c r="FQ10" s="78">
        <f t="shared" si="109"/>
        <v>0</v>
      </c>
      <c r="FR10" s="79">
        <f t="shared" si="110"/>
        <v>0</v>
      </c>
      <c r="FS10" s="77">
        <f t="shared" si="111"/>
        <v>0</v>
      </c>
      <c r="FT10" s="79"/>
      <c r="FU10" s="78"/>
      <c r="FV10" s="78">
        <f t="shared" si="112"/>
        <v>0</v>
      </c>
      <c r="FW10" s="78">
        <f t="shared" si="113"/>
        <v>0</v>
      </c>
      <c r="FX10" s="79">
        <f t="shared" si="114"/>
        <v>0</v>
      </c>
      <c r="FY10" s="77">
        <f t="shared" si="115"/>
        <v>0</v>
      </c>
      <c r="FZ10" s="79"/>
      <c r="GA10" s="78"/>
      <c r="GB10" s="78">
        <f t="shared" si="116"/>
        <v>0</v>
      </c>
      <c r="GC10" s="78">
        <f t="shared" si="117"/>
        <v>0</v>
      </c>
      <c r="GD10" s="79">
        <f t="shared" si="118"/>
        <v>0</v>
      </c>
      <c r="GE10" s="77">
        <f t="shared" si="119"/>
        <v>0</v>
      </c>
      <c r="GF10" s="79"/>
      <c r="GG10" s="78"/>
      <c r="GH10" s="78">
        <f t="shared" si="120"/>
        <v>0</v>
      </c>
      <c r="GI10" s="78">
        <f t="shared" si="121"/>
        <v>0</v>
      </c>
      <c r="GJ10" s="79">
        <f t="shared" si="122"/>
        <v>0</v>
      </c>
      <c r="GK10" s="77">
        <f t="shared" si="123"/>
        <v>0</v>
      </c>
      <c r="GL10" s="79"/>
      <c r="GM10" s="78"/>
      <c r="GN10" s="78">
        <f t="shared" si="124"/>
        <v>0</v>
      </c>
      <c r="GO10" s="78">
        <f t="shared" si="125"/>
        <v>0</v>
      </c>
      <c r="GP10" s="79">
        <f t="shared" si="126"/>
        <v>0</v>
      </c>
      <c r="GQ10" s="77">
        <f t="shared" si="127"/>
        <v>0</v>
      </c>
      <c r="GR10" s="79"/>
      <c r="GS10" s="78"/>
      <c r="GT10" s="78">
        <f t="shared" si="128"/>
        <v>0</v>
      </c>
      <c r="GU10" s="78">
        <f t="shared" si="129"/>
        <v>0</v>
      </c>
      <c r="GV10" s="79">
        <f t="shared" si="130"/>
        <v>0</v>
      </c>
      <c r="GW10" s="77">
        <f t="shared" si="131"/>
        <v>0</v>
      </c>
      <c r="GX10" s="79"/>
      <c r="GY10" s="78"/>
      <c r="GZ10" s="78">
        <f t="shared" si="132"/>
        <v>0</v>
      </c>
      <c r="HA10" s="78">
        <f t="shared" si="133"/>
        <v>0</v>
      </c>
      <c r="HB10" s="79">
        <f t="shared" si="134"/>
        <v>0</v>
      </c>
      <c r="HC10" s="77">
        <f t="shared" si="135"/>
        <v>0</v>
      </c>
      <c r="HD10" s="79"/>
      <c r="HE10" s="79"/>
      <c r="HF10" s="79"/>
      <c r="HG10" s="79"/>
      <c r="HH10" s="79"/>
      <c r="HI10" s="79"/>
    </row>
    <row r="11" spans="1:217" s="52" customFormat="1" ht="12.75" hidden="1">
      <c r="A11" s="51">
        <v>44652</v>
      </c>
      <c r="C11" s="80"/>
      <c r="D11" s="80"/>
      <c r="E11" s="77">
        <f t="shared" si="0"/>
        <v>0</v>
      </c>
      <c r="F11" s="77"/>
      <c r="G11" s="77"/>
      <c r="H11" s="79"/>
      <c r="I11" s="79">
        <f>O11+U11+AA11+AG11+AM11+AS11+AY11+BE11+BK11+BQ11+BW11+CC11+CI11+CO11+CU11+DA11+DG11+DM11+DS11+DY11+EE11+EK11+EQ11+EW11+FC11+FI11+FO11+FU11+GA11+GG11+GM11+GS11+GY11</f>
        <v>0</v>
      </c>
      <c r="J11" s="79">
        <f t="shared" si="1"/>
        <v>0</v>
      </c>
      <c r="K11" s="79">
        <f t="shared" si="2"/>
        <v>0</v>
      </c>
      <c r="L11" s="79">
        <f t="shared" si="3"/>
        <v>0</v>
      </c>
      <c r="M11" s="79">
        <f t="shared" si="3"/>
        <v>0</v>
      </c>
      <c r="N11" s="79"/>
      <c r="O11" s="78">
        <f t="shared" si="136"/>
        <v>0</v>
      </c>
      <c r="P11" s="78">
        <f t="shared" si="4"/>
        <v>0</v>
      </c>
      <c r="Q11" s="79">
        <f t="shared" si="5"/>
        <v>0</v>
      </c>
      <c r="R11" s="79">
        <f t="shared" si="6"/>
        <v>0</v>
      </c>
      <c r="S11" s="77">
        <f t="shared" si="7"/>
        <v>0</v>
      </c>
      <c r="T11" s="79"/>
      <c r="U11" s="78">
        <f t="shared" si="137"/>
        <v>0</v>
      </c>
      <c r="V11" s="78">
        <f t="shared" si="8"/>
        <v>0</v>
      </c>
      <c r="W11" s="78">
        <f t="shared" si="9"/>
        <v>0</v>
      </c>
      <c r="X11" s="79">
        <f t="shared" si="10"/>
        <v>0</v>
      </c>
      <c r="Y11" s="77">
        <f t="shared" si="11"/>
        <v>0</v>
      </c>
      <c r="Z11" s="79"/>
      <c r="AA11" s="79">
        <f t="shared" si="138"/>
        <v>0</v>
      </c>
      <c r="AB11" s="78">
        <f t="shared" si="12"/>
        <v>0</v>
      </c>
      <c r="AC11" s="78">
        <f t="shared" si="13"/>
        <v>0</v>
      </c>
      <c r="AD11" s="79">
        <f t="shared" si="14"/>
        <v>0</v>
      </c>
      <c r="AE11" s="77">
        <f t="shared" si="15"/>
        <v>0</v>
      </c>
      <c r="AF11" s="79"/>
      <c r="AG11" s="78">
        <f t="shared" si="139"/>
        <v>0</v>
      </c>
      <c r="AH11" s="78">
        <f t="shared" si="16"/>
        <v>0</v>
      </c>
      <c r="AI11" s="78">
        <f t="shared" si="17"/>
        <v>0</v>
      </c>
      <c r="AJ11" s="79">
        <f t="shared" si="18"/>
        <v>0</v>
      </c>
      <c r="AK11" s="77">
        <f t="shared" si="19"/>
        <v>0</v>
      </c>
      <c r="AL11" s="79"/>
      <c r="AM11" s="78">
        <f t="shared" si="140"/>
        <v>0</v>
      </c>
      <c r="AN11" s="78">
        <f t="shared" si="20"/>
        <v>0</v>
      </c>
      <c r="AO11" s="78">
        <f t="shared" si="21"/>
        <v>0</v>
      </c>
      <c r="AP11" s="79">
        <f t="shared" si="22"/>
        <v>0</v>
      </c>
      <c r="AQ11" s="77">
        <f t="shared" si="23"/>
        <v>0</v>
      </c>
      <c r="AR11" s="78"/>
      <c r="AS11" s="78">
        <f t="shared" si="141"/>
        <v>0</v>
      </c>
      <c r="AT11" s="78">
        <f t="shared" si="24"/>
        <v>0</v>
      </c>
      <c r="AU11" s="78">
        <f t="shared" si="25"/>
        <v>0</v>
      </c>
      <c r="AV11" s="79">
        <f t="shared" si="26"/>
        <v>0</v>
      </c>
      <c r="AW11" s="77">
        <f t="shared" si="27"/>
        <v>0</v>
      </c>
      <c r="AX11" s="79"/>
      <c r="AY11" s="78">
        <f t="shared" si="142"/>
        <v>0</v>
      </c>
      <c r="AZ11" s="78">
        <f t="shared" si="28"/>
        <v>0</v>
      </c>
      <c r="BA11" s="78">
        <f t="shared" si="29"/>
        <v>0</v>
      </c>
      <c r="BB11" s="79">
        <f t="shared" si="30"/>
        <v>0</v>
      </c>
      <c r="BC11" s="77">
        <f t="shared" si="31"/>
        <v>0</v>
      </c>
      <c r="BD11" s="79"/>
      <c r="BE11" s="78">
        <f t="shared" si="143"/>
        <v>0</v>
      </c>
      <c r="BF11" s="78">
        <f t="shared" si="32"/>
        <v>0</v>
      </c>
      <c r="BG11" s="78">
        <f t="shared" si="33"/>
        <v>0</v>
      </c>
      <c r="BH11" s="79">
        <f t="shared" si="34"/>
        <v>0</v>
      </c>
      <c r="BI11" s="77">
        <f t="shared" si="35"/>
        <v>0</v>
      </c>
      <c r="BJ11" s="79"/>
      <c r="BK11" s="78">
        <f t="shared" si="144"/>
        <v>0</v>
      </c>
      <c r="BL11" s="78">
        <f t="shared" si="36"/>
        <v>0</v>
      </c>
      <c r="BM11" s="78">
        <f t="shared" si="37"/>
        <v>0</v>
      </c>
      <c r="BN11" s="79">
        <f t="shared" si="38"/>
        <v>0</v>
      </c>
      <c r="BO11" s="77">
        <f t="shared" si="39"/>
        <v>0</v>
      </c>
      <c r="BP11" s="79"/>
      <c r="BQ11" s="78">
        <f t="shared" si="145"/>
        <v>0</v>
      </c>
      <c r="BR11" s="78">
        <f t="shared" si="40"/>
        <v>0</v>
      </c>
      <c r="BS11" s="78">
        <f t="shared" si="41"/>
        <v>0</v>
      </c>
      <c r="BT11" s="79">
        <f t="shared" si="42"/>
        <v>0</v>
      </c>
      <c r="BU11" s="77">
        <f t="shared" si="43"/>
        <v>0</v>
      </c>
      <c r="BV11" s="79"/>
      <c r="BW11" s="78">
        <f t="shared" si="146"/>
        <v>0</v>
      </c>
      <c r="BX11" s="78">
        <f t="shared" si="44"/>
        <v>0</v>
      </c>
      <c r="BY11" s="78">
        <f t="shared" si="45"/>
        <v>0</v>
      </c>
      <c r="BZ11" s="79">
        <f t="shared" si="46"/>
        <v>0</v>
      </c>
      <c r="CA11" s="77">
        <f t="shared" si="47"/>
        <v>0</v>
      </c>
      <c r="CB11" s="78"/>
      <c r="CC11" s="78">
        <f t="shared" si="147"/>
        <v>0</v>
      </c>
      <c r="CD11" s="78">
        <f t="shared" si="48"/>
        <v>0</v>
      </c>
      <c r="CE11" s="78">
        <f t="shared" si="49"/>
        <v>0</v>
      </c>
      <c r="CF11" s="79">
        <f t="shared" si="50"/>
        <v>0</v>
      </c>
      <c r="CG11" s="77">
        <f t="shared" si="51"/>
        <v>0</v>
      </c>
      <c r="CH11" s="79"/>
      <c r="CI11" s="78">
        <f t="shared" si="148"/>
        <v>0</v>
      </c>
      <c r="CJ11" s="78">
        <f t="shared" si="52"/>
        <v>0</v>
      </c>
      <c r="CK11" s="78">
        <f t="shared" si="53"/>
        <v>0</v>
      </c>
      <c r="CL11" s="79">
        <f t="shared" si="54"/>
        <v>0</v>
      </c>
      <c r="CM11" s="77">
        <f t="shared" si="55"/>
        <v>0</v>
      </c>
      <c r="CN11" s="79"/>
      <c r="CO11" s="78">
        <f t="shared" si="149"/>
        <v>0</v>
      </c>
      <c r="CP11" s="78">
        <f t="shared" si="56"/>
        <v>0</v>
      </c>
      <c r="CQ11" s="78">
        <f t="shared" si="57"/>
        <v>0</v>
      </c>
      <c r="CR11" s="79">
        <f t="shared" si="58"/>
        <v>0</v>
      </c>
      <c r="CS11" s="77">
        <f t="shared" si="59"/>
        <v>0</v>
      </c>
      <c r="CT11" s="79"/>
      <c r="CU11" s="78">
        <f t="shared" si="150"/>
        <v>0</v>
      </c>
      <c r="CV11" s="78">
        <f t="shared" si="60"/>
        <v>0</v>
      </c>
      <c r="CW11" s="78">
        <f t="shared" si="61"/>
        <v>0</v>
      </c>
      <c r="CX11" s="79">
        <f t="shared" si="62"/>
        <v>0</v>
      </c>
      <c r="CY11" s="77">
        <f t="shared" si="63"/>
        <v>0</v>
      </c>
      <c r="CZ11" s="79"/>
      <c r="DA11" s="78">
        <f t="shared" si="151"/>
        <v>0</v>
      </c>
      <c r="DB11" s="78">
        <f t="shared" si="64"/>
        <v>0</v>
      </c>
      <c r="DC11" s="78">
        <f t="shared" si="65"/>
        <v>0</v>
      </c>
      <c r="DD11" s="79">
        <f t="shared" si="66"/>
        <v>0</v>
      </c>
      <c r="DE11" s="77">
        <f t="shared" si="67"/>
        <v>0</v>
      </c>
      <c r="DF11" s="79"/>
      <c r="DG11" s="78">
        <f t="shared" si="152"/>
        <v>0</v>
      </c>
      <c r="DH11" s="78">
        <f t="shared" si="68"/>
        <v>0</v>
      </c>
      <c r="DI11" s="78">
        <f t="shared" si="69"/>
        <v>0</v>
      </c>
      <c r="DJ11" s="79">
        <f t="shared" si="70"/>
        <v>0</v>
      </c>
      <c r="DK11" s="77">
        <f t="shared" si="71"/>
        <v>0</v>
      </c>
      <c r="DL11" s="79"/>
      <c r="DM11" s="78">
        <f t="shared" si="153"/>
        <v>0</v>
      </c>
      <c r="DN11" s="78">
        <f t="shared" si="72"/>
        <v>0</v>
      </c>
      <c r="DO11" s="78">
        <f t="shared" si="73"/>
        <v>0</v>
      </c>
      <c r="DP11" s="79">
        <f t="shared" si="74"/>
        <v>0</v>
      </c>
      <c r="DQ11" s="77">
        <f t="shared" si="75"/>
        <v>0</v>
      </c>
      <c r="DR11" s="79"/>
      <c r="DS11" s="78">
        <f t="shared" si="154"/>
        <v>0</v>
      </c>
      <c r="DT11" s="78">
        <f t="shared" si="76"/>
        <v>0</v>
      </c>
      <c r="DU11" s="78">
        <f t="shared" si="77"/>
        <v>0</v>
      </c>
      <c r="DV11" s="79">
        <f t="shared" si="78"/>
        <v>0</v>
      </c>
      <c r="DW11" s="77">
        <f t="shared" si="79"/>
        <v>0</v>
      </c>
      <c r="DX11" s="79"/>
      <c r="DY11" s="78">
        <f t="shared" si="155"/>
        <v>0</v>
      </c>
      <c r="DZ11" s="78">
        <f t="shared" si="80"/>
        <v>0</v>
      </c>
      <c r="EA11" s="78">
        <f t="shared" si="81"/>
        <v>0</v>
      </c>
      <c r="EB11" s="79">
        <f t="shared" si="82"/>
        <v>0</v>
      </c>
      <c r="EC11" s="77">
        <f t="shared" si="83"/>
        <v>0</v>
      </c>
      <c r="ED11" s="79"/>
      <c r="EE11" s="78">
        <f t="shared" si="156"/>
        <v>0</v>
      </c>
      <c r="EF11" s="78">
        <f t="shared" si="84"/>
        <v>0</v>
      </c>
      <c r="EG11" s="78">
        <f t="shared" si="85"/>
        <v>0</v>
      </c>
      <c r="EH11" s="79">
        <f t="shared" si="86"/>
        <v>0</v>
      </c>
      <c r="EI11" s="77">
        <f t="shared" si="87"/>
        <v>0</v>
      </c>
      <c r="EJ11" s="79"/>
      <c r="EK11" s="78">
        <f t="shared" si="157"/>
        <v>0</v>
      </c>
      <c r="EL11" s="78">
        <f t="shared" si="88"/>
        <v>0</v>
      </c>
      <c r="EM11" s="78">
        <f t="shared" si="89"/>
        <v>0</v>
      </c>
      <c r="EN11" s="79">
        <f t="shared" si="90"/>
        <v>0</v>
      </c>
      <c r="EO11" s="77">
        <f t="shared" si="91"/>
        <v>0</v>
      </c>
      <c r="EP11" s="79"/>
      <c r="EQ11" s="78">
        <f t="shared" si="158"/>
        <v>0</v>
      </c>
      <c r="ER11" s="78">
        <f t="shared" si="92"/>
        <v>0</v>
      </c>
      <c r="ES11" s="78">
        <f t="shared" si="93"/>
        <v>0</v>
      </c>
      <c r="ET11" s="79">
        <f t="shared" si="94"/>
        <v>0</v>
      </c>
      <c r="EU11" s="77">
        <f t="shared" si="95"/>
        <v>0</v>
      </c>
      <c r="EV11" s="79"/>
      <c r="EW11" s="78">
        <f t="shared" si="159"/>
        <v>0</v>
      </c>
      <c r="EX11" s="78">
        <f t="shared" si="96"/>
        <v>0</v>
      </c>
      <c r="EY11" s="78">
        <f t="shared" si="97"/>
        <v>0</v>
      </c>
      <c r="EZ11" s="79">
        <f t="shared" si="98"/>
        <v>0</v>
      </c>
      <c r="FA11" s="77">
        <f t="shared" si="99"/>
        <v>0</v>
      </c>
      <c r="FB11" s="79"/>
      <c r="FC11" s="78">
        <f t="shared" si="160"/>
        <v>0</v>
      </c>
      <c r="FD11" s="78">
        <f t="shared" si="100"/>
        <v>0</v>
      </c>
      <c r="FE11" s="78">
        <f t="shared" si="101"/>
        <v>0</v>
      </c>
      <c r="FF11" s="79">
        <f t="shared" si="102"/>
        <v>0</v>
      </c>
      <c r="FG11" s="77">
        <f t="shared" si="103"/>
        <v>0</v>
      </c>
      <c r="FH11" s="79"/>
      <c r="FI11" s="78">
        <f t="shared" si="161"/>
        <v>0</v>
      </c>
      <c r="FJ11" s="78">
        <f t="shared" si="104"/>
        <v>0</v>
      </c>
      <c r="FK11" s="78">
        <f t="shared" si="105"/>
        <v>0</v>
      </c>
      <c r="FL11" s="79">
        <f t="shared" si="106"/>
        <v>0</v>
      </c>
      <c r="FM11" s="77">
        <f t="shared" si="107"/>
        <v>0</v>
      </c>
      <c r="FN11" s="79"/>
      <c r="FO11" s="78">
        <f t="shared" si="162"/>
        <v>0</v>
      </c>
      <c r="FP11" s="78">
        <f t="shared" si="108"/>
        <v>0</v>
      </c>
      <c r="FQ11" s="78">
        <f t="shared" si="109"/>
        <v>0</v>
      </c>
      <c r="FR11" s="79">
        <f t="shared" si="110"/>
        <v>0</v>
      </c>
      <c r="FS11" s="77">
        <f t="shared" si="111"/>
        <v>0</v>
      </c>
      <c r="FT11" s="79"/>
      <c r="FU11" s="78">
        <f t="shared" si="163"/>
        <v>0</v>
      </c>
      <c r="FV11" s="78">
        <f t="shared" si="112"/>
        <v>0</v>
      </c>
      <c r="FW11" s="78">
        <f t="shared" si="113"/>
        <v>0</v>
      </c>
      <c r="FX11" s="79">
        <f t="shared" si="114"/>
        <v>0</v>
      </c>
      <c r="FY11" s="77">
        <f t="shared" si="115"/>
        <v>0</v>
      </c>
      <c r="FZ11" s="79"/>
      <c r="GA11" s="78">
        <f t="shared" si="164"/>
        <v>0</v>
      </c>
      <c r="GB11" s="78">
        <f t="shared" si="116"/>
        <v>0</v>
      </c>
      <c r="GC11" s="78">
        <f t="shared" si="117"/>
        <v>0</v>
      </c>
      <c r="GD11" s="79">
        <f t="shared" si="118"/>
        <v>0</v>
      </c>
      <c r="GE11" s="77">
        <f t="shared" si="119"/>
        <v>0</v>
      </c>
      <c r="GF11" s="79"/>
      <c r="GG11" s="78">
        <f t="shared" si="165"/>
        <v>0</v>
      </c>
      <c r="GH11" s="78">
        <f t="shared" si="120"/>
        <v>0</v>
      </c>
      <c r="GI11" s="78">
        <f t="shared" si="121"/>
        <v>0</v>
      </c>
      <c r="GJ11" s="79">
        <f t="shared" si="122"/>
        <v>0</v>
      </c>
      <c r="GK11" s="77">
        <f t="shared" si="123"/>
        <v>0</v>
      </c>
      <c r="GL11" s="79"/>
      <c r="GM11" s="78">
        <f t="shared" si="166"/>
        <v>0</v>
      </c>
      <c r="GN11" s="78">
        <f t="shared" si="124"/>
        <v>0</v>
      </c>
      <c r="GO11" s="78">
        <f t="shared" si="125"/>
        <v>0</v>
      </c>
      <c r="GP11" s="79">
        <f t="shared" si="126"/>
        <v>0</v>
      </c>
      <c r="GQ11" s="77">
        <f t="shared" si="127"/>
        <v>0</v>
      </c>
      <c r="GR11" s="79"/>
      <c r="GS11" s="78">
        <f t="shared" si="167"/>
        <v>0</v>
      </c>
      <c r="GT11" s="78">
        <f t="shared" si="128"/>
        <v>0</v>
      </c>
      <c r="GU11" s="78">
        <f t="shared" si="129"/>
        <v>0</v>
      </c>
      <c r="GV11" s="79">
        <f t="shared" si="130"/>
        <v>0</v>
      </c>
      <c r="GW11" s="77">
        <f t="shared" si="131"/>
        <v>0</v>
      </c>
      <c r="GX11" s="79"/>
      <c r="GY11" s="78">
        <f t="shared" si="168"/>
        <v>0</v>
      </c>
      <c r="GZ11" s="78">
        <f t="shared" si="132"/>
        <v>0</v>
      </c>
      <c r="HA11" s="78">
        <f t="shared" si="133"/>
        <v>0</v>
      </c>
      <c r="HB11" s="79">
        <f t="shared" si="134"/>
        <v>0</v>
      </c>
      <c r="HC11" s="77">
        <f t="shared" si="135"/>
        <v>0</v>
      </c>
      <c r="HD11" s="79"/>
      <c r="HE11" s="79"/>
      <c r="HF11" s="79"/>
      <c r="HG11" s="79"/>
      <c r="HH11" s="79"/>
      <c r="HI11" s="79"/>
    </row>
    <row r="12" spans="1:217" s="52" customFormat="1" ht="12.75" hidden="1">
      <c r="A12" s="51">
        <v>44835</v>
      </c>
      <c r="C12" s="80"/>
      <c r="D12" s="80"/>
      <c r="E12" s="77">
        <f t="shared" si="0"/>
        <v>0</v>
      </c>
      <c r="F12" s="77"/>
      <c r="G12" s="77"/>
      <c r="H12" s="79"/>
      <c r="I12" s="79"/>
      <c r="J12" s="79">
        <f t="shared" si="1"/>
        <v>0</v>
      </c>
      <c r="K12" s="79">
        <f t="shared" si="2"/>
        <v>0</v>
      </c>
      <c r="L12" s="79">
        <f t="shared" si="3"/>
        <v>0</v>
      </c>
      <c r="M12" s="79">
        <f t="shared" si="3"/>
        <v>0</v>
      </c>
      <c r="N12" s="79"/>
      <c r="O12" s="78"/>
      <c r="P12" s="78">
        <f t="shared" si="4"/>
        <v>0</v>
      </c>
      <c r="Q12" s="79">
        <f t="shared" si="5"/>
        <v>0</v>
      </c>
      <c r="R12" s="79">
        <f t="shared" si="6"/>
        <v>0</v>
      </c>
      <c r="S12" s="77">
        <f t="shared" si="7"/>
        <v>0</v>
      </c>
      <c r="T12" s="79"/>
      <c r="U12" s="78"/>
      <c r="V12" s="78">
        <f t="shared" si="8"/>
        <v>0</v>
      </c>
      <c r="W12" s="78">
        <f t="shared" si="9"/>
        <v>0</v>
      </c>
      <c r="X12" s="79">
        <f t="shared" si="10"/>
        <v>0</v>
      </c>
      <c r="Y12" s="77">
        <f t="shared" si="11"/>
        <v>0</v>
      </c>
      <c r="Z12" s="79"/>
      <c r="AA12" s="79"/>
      <c r="AB12" s="78">
        <f t="shared" si="12"/>
        <v>0</v>
      </c>
      <c r="AC12" s="78">
        <f t="shared" si="13"/>
        <v>0</v>
      </c>
      <c r="AD12" s="79">
        <f t="shared" si="14"/>
        <v>0</v>
      </c>
      <c r="AE12" s="77">
        <f t="shared" si="15"/>
        <v>0</v>
      </c>
      <c r="AF12" s="79"/>
      <c r="AG12" s="78"/>
      <c r="AH12" s="78">
        <f t="shared" si="16"/>
        <v>0</v>
      </c>
      <c r="AI12" s="78">
        <f t="shared" si="17"/>
        <v>0</v>
      </c>
      <c r="AJ12" s="79">
        <f t="shared" si="18"/>
        <v>0</v>
      </c>
      <c r="AK12" s="77">
        <f t="shared" si="19"/>
        <v>0</v>
      </c>
      <c r="AL12" s="79"/>
      <c r="AM12" s="78"/>
      <c r="AN12" s="78">
        <f t="shared" si="20"/>
        <v>0</v>
      </c>
      <c r="AO12" s="78">
        <f t="shared" si="21"/>
        <v>0</v>
      </c>
      <c r="AP12" s="79">
        <f t="shared" si="22"/>
        <v>0</v>
      </c>
      <c r="AQ12" s="77">
        <f t="shared" si="23"/>
        <v>0</v>
      </c>
      <c r="AR12" s="78"/>
      <c r="AS12" s="78"/>
      <c r="AT12" s="78">
        <f t="shared" si="24"/>
        <v>0</v>
      </c>
      <c r="AU12" s="78">
        <f t="shared" si="25"/>
        <v>0</v>
      </c>
      <c r="AV12" s="79">
        <f t="shared" si="26"/>
        <v>0</v>
      </c>
      <c r="AW12" s="77">
        <f t="shared" si="27"/>
        <v>0</v>
      </c>
      <c r="AX12" s="79"/>
      <c r="AY12" s="78"/>
      <c r="AZ12" s="78">
        <f t="shared" si="28"/>
        <v>0</v>
      </c>
      <c r="BA12" s="78">
        <f t="shared" si="29"/>
        <v>0</v>
      </c>
      <c r="BB12" s="79">
        <f t="shared" si="30"/>
        <v>0</v>
      </c>
      <c r="BC12" s="77">
        <f t="shared" si="31"/>
        <v>0</v>
      </c>
      <c r="BD12" s="79"/>
      <c r="BE12" s="78"/>
      <c r="BF12" s="78">
        <f t="shared" si="32"/>
        <v>0</v>
      </c>
      <c r="BG12" s="78">
        <f t="shared" si="33"/>
        <v>0</v>
      </c>
      <c r="BH12" s="79">
        <f t="shared" si="34"/>
        <v>0</v>
      </c>
      <c r="BI12" s="77">
        <f t="shared" si="35"/>
        <v>0</v>
      </c>
      <c r="BJ12" s="79"/>
      <c r="BK12" s="78"/>
      <c r="BL12" s="78">
        <f t="shared" si="36"/>
        <v>0</v>
      </c>
      <c r="BM12" s="78">
        <f t="shared" si="37"/>
        <v>0</v>
      </c>
      <c r="BN12" s="79">
        <f t="shared" si="38"/>
        <v>0</v>
      </c>
      <c r="BO12" s="77">
        <f t="shared" si="39"/>
        <v>0</v>
      </c>
      <c r="BP12" s="79"/>
      <c r="BQ12" s="78"/>
      <c r="BR12" s="78">
        <f t="shared" si="40"/>
        <v>0</v>
      </c>
      <c r="BS12" s="78">
        <f t="shared" si="41"/>
        <v>0</v>
      </c>
      <c r="BT12" s="79">
        <f t="shared" si="42"/>
        <v>0</v>
      </c>
      <c r="BU12" s="77">
        <f t="shared" si="43"/>
        <v>0</v>
      </c>
      <c r="BV12" s="79"/>
      <c r="BW12" s="78"/>
      <c r="BX12" s="78">
        <f t="shared" si="44"/>
        <v>0</v>
      </c>
      <c r="BY12" s="78">
        <f t="shared" si="45"/>
        <v>0</v>
      </c>
      <c r="BZ12" s="79">
        <f t="shared" si="46"/>
        <v>0</v>
      </c>
      <c r="CA12" s="77">
        <f t="shared" si="47"/>
        <v>0</v>
      </c>
      <c r="CB12" s="78"/>
      <c r="CC12" s="78"/>
      <c r="CD12" s="78">
        <f t="shared" si="48"/>
        <v>0</v>
      </c>
      <c r="CE12" s="78">
        <f t="shared" si="49"/>
        <v>0</v>
      </c>
      <c r="CF12" s="79">
        <f t="shared" si="50"/>
        <v>0</v>
      </c>
      <c r="CG12" s="77">
        <f t="shared" si="51"/>
        <v>0</v>
      </c>
      <c r="CH12" s="79"/>
      <c r="CI12" s="78"/>
      <c r="CJ12" s="78">
        <f t="shared" si="52"/>
        <v>0</v>
      </c>
      <c r="CK12" s="78">
        <f t="shared" si="53"/>
        <v>0</v>
      </c>
      <c r="CL12" s="79">
        <f t="shared" si="54"/>
        <v>0</v>
      </c>
      <c r="CM12" s="77">
        <f t="shared" si="55"/>
        <v>0</v>
      </c>
      <c r="CN12" s="79"/>
      <c r="CO12" s="78"/>
      <c r="CP12" s="78">
        <f t="shared" si="56"/>
        <v>0</v>
      </c>
      <c r="CQ12" s="78">
        <f t="shared" si="57"/>
        <v>0</v>
      </c>
      <c r="CR12" s="79">
        <f t="shared" si="58"/>
        <v>0</v>
      </c>
      <c r="CS12" s="77">
        <f t="shared" si="59"/>
        <v>0</v>
      </c>
      <c r="CT12" s="79"/>
      <c r="CU12" s="78"/>
      <c r="CV12" s="78">
        <f t="shared" si="60"/>
        <v>0</v>
      </c>
      <c r="CW12" s="78">
        <f t="shared" si="61"/>
        <v>0</v>
      </c>
      <c r="CX12" s="79">
        <f t="shared" si="62"/>
        <v>0</v>
      </c>
      <c r="CY12" s="77">
        <f t="shared" si="63"/>
        <v>0</v>
      </c>
      <c r="CZ12" s="79"/>
      <c r="DA12" s="78"/>
      <c r="DB12" s="78">
        <f t="shared" si="64"/>
        <v>0</v>
      </c>
      <c r="DC12" s="78">
        <f t="shared" si="65"/>
        <v>0</v>
      </c>
      <c r="DD12" s="79">
        <f t="shared" si="66"/>
        <v>0</v>
      </c>
      <c r="DE12" s="77">
        <f t="shared" si="67"/>
        <v>0</v>
      </c>
      <c r="DF12" s="79"/>
      <c r="DG12" s="78"/>
      <c r="DH12" s="78">
        <f t="shared" si="68"/>
        <v>0</v>
      </c>
      <c r="DI12" s="78">
        <f t="shared" si="69"/>
        <v>0</v>
      </c>
      <c r="DJ12" s="79">
        <f t="shared" si="70"/>
        <v>0</v>
      </c>
      <c r="DK12" s="77">
        <f t="shared" si="71"/>
        <v>0</v>
      </c>
      <c r="DL12" s="79"/>
      <c r="DM12" s="78"/>
      <c r="DN12" s="78">
        <f t="shared" si="72"/>
        <v>0</v>
      </c>
      <c r="DO12" s="78">
        <f t="shared" si="73"/>
        <v>0</v>
      </c>
      <c r="DP12" s="79">
        <f t="shared" si="74"/>
        <v>0</v>
      </c>
      <c r="DQ12" s="77">
        <f t="shared" si="75"/>
        <v>0</v>
      </c>
      <c r="DR12" s="79"/>
      <c r="DS12" s="78"/>
      <c r="DT12" s="78">
        <f t="shared" si="76"/>
        <v>0</v>
      </c>
      <c r="DU12" s="78">
        <f t="shared" si="77"/>
        <v>0</v>
      </c>
      <c r="DV12" s="79">
        <f t="shared" si="78"/>
        <v>0</v>
      </c>
      <c r="DW12" s="77">
        <f t="shared" si="79"/>
        <v>0</v>
      </c>
      <c r="DX12" s="79"/>
      <c r="DY12" s="78"/>
      <c r="DZ12" s="78">
        <f t="shared" si="80"/>
        <v>0</v>
      </c>
      <c r="EA12" s="78">
        <f t="shared" si="81"/>
        <v>0</v>
      </c>
      <c r="EB12" s="79">
        <f t="shared" si="82"/>
        <v>0</v>
      </c>
      <c r="EC12" s="77">
        <f t="shared" si="83"/>
        <v>0</v>
      </c>
      <c r="ED12" s="79"/>
      <c r="EE12" s="78"/>
      <c r="EF12" s="78">
        <f t="shared" si="84"/>
        <v>0</v>
      </c>
      <c r="EG12" s="78">
        <f t="shared" si="85"/>
        <v>0</v>
      </c>
      <c r="EH12" s="79">
        <f t="shared" si="86"/>
        <v>0</v>
      </c>
      <c r="EI12" s="77">
        <f t="shared" si="87"/>
        <v>0</v>
      </c>
      <c r="EJ12" s="79"/>
      <c r="EK12" s="78"/>
      <c r="EL12" s="78">
        <f t="shared" si="88"/>
        <v>0</v>
      </c>
      <c r="EM12" s="78">
        <f t="shared" si="89"/>
        <v>0</v>
      </c>
      <c r="EN12" s="79">
        <f t="shared" si="90"/>
        <v>0</v>
      </c>
      <c r="EO12" s="77">
        <f t="shared" si="91"/>
        <v>0</v>
      </c>
      <c r="EP12" s="79"/>
      <c r="EQ12" s="78"/>
      <c r="ER12" s="78">
        <f t="shared" si="92"/>
        <v>0</v>
      </c>
      <c r="ES12" s="78">
        <f t="shared" si="93"/>
        <v>0</v>
      </c>
      <c r="ET12" s="79">
        <f t="shared" si="94"/>
        <v>0</v>
      </c>
      <c r="EU12" s="77">
        <f t="shared" si="95"/>
        <v>0</v>
      </c>
      <c r="EV12" s="79"/>
      <c r="EW12" s="78"/>
      <c r="EX12" s="78">
        <f t="shared" si="96"/>
        <v>0</v>
      </c>
      <c r="EY12" s="78">
        <f t="shared" si="97"/>
        <v>0</v>
      </c>
      <c r="EZ12" s="79">
        <f t="shared" si="98"/>
        <v>0</v>
      </c>
      <c r="FA12" s="77">
        <f t="shared" si="99"/>
        <v>0</v>
      </c>
      <c r="FB12" s="79"/>
      <c r="FC12" s="78"/>
      <c r="FD12" s="78">
        <f t="shared" si="100"/>
        <v>0</v>
      </c>
      <c r="FE12" s="78">
        <f t="shared" si="101"/>
        <v>0</v>
      </c>
      <c r="FF12" s="79">
        <f t="shared" si="102"/>
        <v>0</v>
      </c>
      <c r="FG12" s="77">
        <f t="shared" si="103"/>
        <v>0</v>
      </c>
      <c r="FH12" s="79"/>
      <c r="FI12" s="78"/>
      <c r="FJ12" s="78">
        <f t="shared" si="104"/>
        <v>0</v>
      </c>
      <c r="FK12" s="78">
        <f t="shared" si="105"/>
        <v>0</v>
      </c>
      <c r="FL12" s="79">
        <f t="shared" si="106"/>
        <v>0</v>
      </c>
      <c r="FM12" s="77">
        <f t="shared" si="107"/>
        <v>0</v>
      </c>
      <c r="FN12" s="79"/>
      <c r="FO12" s="78"/>
      <c r="FP12" s="78">
        <f t="shared" si="108"/>
        <v>0</v>
      </c>
      <c r="FQ12" s="78">
        <f t="shared" si="109"/>
        <v>0</v>
      </c>
      <c r="FR12" s="79">
        <f t="shared" si="110"/>
        <v>0</v>
      </c>
      <c r="FS12" s="77">
        <f t="shared" si="111"/>
        <v>0</v>
      </c>
      <c r="FT12" s="79"/>
      <c r="FU12" s="78"/>
      <c r="FV12" s="78">
        <f t="shared" si="112"/>
        <v>0</v>
      </c>
      <c r="FW12" s="78">
        <f t="shared" si="113"/>
        <v>0</v>
      </c>
      <c r="FX12" s="79">
        <f t="shared" si="114"/>
        <v>0</v>
      </c>
      <c r="FY12" s="77">
        <f t="shared" si="115"/>
        <v>0</v>
      </c>
      <c r="FZ12" s="79"/>
      <c r="GA12" s="78"/>
      <c r="GB12" s="78">
        <f t="shared" si="116"/>
        <v>0</v>
      </c>
      <c r="GC12" s="78">
        <f t="shared" si="117"/>
        <v>0</v>
      </c>
      <c r="GD12" s="79">
        <f t="shared" si="118"/>
        <v>0</v>
      </c>
      <c r="GE12" s="77">
        <f t="shared" si="119"/>
        <v>0</v>
      </c>
      <c r="GF12" s="79"/>
      <c r="GG12" s="78"/>
      <c r="GH12" s="78">
        <f t="shared" si="120"/>
        <v>0</v>
      </c>
      <c r="GI12" s="78">
        <f t="shared" si="121"/>
        <v>0</v>
      </c>
      <c r="GJ12" s="79">
        <f t="shared" si="122"/>
        <v>0</v>
      </c>
      <c r="GK12" s="77">
        <f t="shared" si="123"/>
        <v>0</v>
      </c>
      <c r="GL12" s="79"/>
      <c r="GM12" s="78"/>
      <c r="GN12" s="78">
        <f t="shared" si="124"/>
        <v>0</v>
      </c>
      <c r="GO12" s="78">
        <f t="shared" si="125"/>
        <v>0</v>
      </c>
      <c r="GP12" s="79">
        <f t="shared" si="126"/>
        <v>0</v>
      </c>
      <c r="GQ12" s="77">
        <f t="shared" si="127"/>
        <v>0</v>
      </c>
      <c r="GR12" s="79"/>
      <c r="GS12" s="78"/>
      <c r="GT12" s="78">
        <f t="shared" si="128"/>
        <v>0</v>
      </c>
      <c r="GU12" s="78">
        <f t="shared" si="129"/>
        <v>0</v>
      </c>
      <c r="GV12" s="79">
        <f t="shared" si="130"/>
        <v>0</v>
      </c>
      <c r="GW12" s="77">
        <f t="shared" si="131"/>
        <v>0</v>
      </c>
      <c r="GX12" s="79"/>
      <c r="GY12" s="78"/>
      <c r="GZ12" s="78">
        <f t="shared" si="132"/>
        <v>0</v>
      </c>
      <c r="HA12" s="78">
        <f t="shared" si="133"/>
        <v>0</v>
      </c>
      <c r="HB12" s="79">
        <f t="shared" si="134"/>
        <v>0</v>
      </c>
      <c r="HC12" s="77">
        <f t="shared" si="135"/>
        <v>0</v>
      </c>
      <c r="HD12" s="79"/>
      <c r="HE12" s="79"/>
      <c r="HF12" s="79"/>
      <c r="HG12" s="79"/>
      <c r="HH12" s="79"/>
      <c r="HI12" s="79"/>
    </row>
    <row r="13" spans="1:217" s="52" customFormat="1" ht="12.75" hidden="1">
      <c r="A13" s="51">
        <v>45017</v>
      </c>
      <c r="C13" s="80"/>
      <c r="D13" s="80"/>
      <c r="E13" s="77">
        <f t="shared" si="0"/>
        <v>0</v>
      </c>
      <c r="F13" s="77"/>
      <c r="G13" s="77"/>
      <c r="H13" s="79"/>
      <c r="I13" s="79">
        <f>O13+U13+AA13+AG13+AM13+AS13+AY13+BE13+BK13+BQ13+BW13+CC13+CI13+CO13+CU13+DA13+DG13+DM13+DS13+DY13+EE13+EK13+EQ13+EW13+FC13+FI13+FO13+FU13+GA13+GG13+GM13+GS13+GY13</f>
        <v>0</v>
      </c>
      <c r="J13" s="79">
        <f t="shared" si="1"/>
        <v>0</v>
      </c>
      <c r="K13" s="79">
        <f t="shared" si="2"/>
        <v>0</v>
      </c>
      <c r="L13" s="79">
        <f t="shared" si="3"/>
        <v>0</v>
      </c>
      <c r="M13" s="79">
        <f t="shared" si="3"/>
        <v>0</v>
      </c>
      <c r="N13" s="79"/>
      <c r="O13" s="78">
        <f t="shared" si="136"/>
        <v>0</v>
      </c>
      <c r="P13" s="78">
        <f t="shared" si="4"/>
        <v>0</v>
      </c>
      <c r="Q13" s="79">
        <f t="shared" si="5"/>
        <v>0</v>
      </c>
      <c r="R13" s="79">
        <f t="shared" si="6"/>
        <v>0</v>
      </c>
      <c r="S13" s="77">
        <f t="shared" si="7"/>
        <v>0</v>
      </c>
      <c r="T13" s="79"/>
      <c r="U13" s="78">
        <f t="shared" si="137"/>
        <v>0</v>
      </c>
      <c r="V13" s="78">
        <f t="shared" si="8"/>
        <v>0</v>
      </c>
      <c r="W13" s="78">
        <f t="shared" si="9"/>
        <v>0</v>
      </c>
      <c r="X13" s="79">
        <f t="shared" si="10"/>
        <v>0</v>
      </c>
      <c r="Y13" s="77">
        <f t="shared" si="11"/>
        <v>0</v>
      </c>
      <c r="Z13" s="79"/>
      <c r="AA13" s="79">
        <f t="shared" si="138"/>
        <v>0</v>
      </c>
      <c r="AB13" s="78">
        <f t="shared" si="12"/>
        <v>0</v>
      </c>
      <c r="AC13" s="78">
        <f t="shared" si="13"/>
        <v>0</v>
      </c>
      <c r="AD13" s="79">
        <f t="shared" si="14"/>
        <v>0</v>
      </c>
      <c r="AE13" s="77">
        <f t="shared" si="15"/>
        <v>0</v>
      </c>
      <c r="AF13" s="79"/>
      <c r="AG13" s="78">
        <f t="shared" si="139"/>
        <v>0</v>
      </c>
      <c r="AH13" s="78">
        <f t="shared" si="16"/>
        <v>0</v>
      </c>
      <c r="AI13" s="78">
        <f t="shared" si="17"/>
        <v>0</v>
      </c>
      <c r="AJ13" s="79">
        <f t="shared" si="18"/>
        <v>0</v>
      </c>
      <c r="AK13" s="77">
        <f t="shared" si="19"/>
        <v>0</v>
      </c>
      <c r="AL13" s="79"/>
      <c r="AM13" s="78">
        <f t="shared" si="140"/>
        <v>0</v>
      </c>
      <c r="AN13" s="78">
        <f t="shared" si="20"/>
        <v>0</v>
      </c>
      <c r="AO13" s="78">
        <f t="shared" si="21"/>
        <v>0</v>
      </c>
      <c r="AP13" s="79">
        <f t="shared" si="22"/>
        <v>0</v>
      </c>
      <c r="AQ13" s="77">
        <f t="shared" si="23"/>
        <v>0</v>
      </c>
      <c r="AR13" s="78"/>
      <c r="AS13" s="78">
        <f t="shared" si="141"/>
        <v>0</v>
      </c>
      <c r="AT13" s="78">
        <f t="shared" si="24"/>
        <v>0</v>
      </c>
      <c r="AU13" s="78">
        <f t="shared" si="25"/>
        <v>0</v>
      </c>
      <c r="AV13" s="79">
        <f t="shared" si="26"/>
        <v>0</v>
      </c>
      <c r="AW13" s="77">
        <f t="shared" si="27"/>
        <v>0</v>
      </c>
      <c r="AX13" s="79"/>
      <c r="AY13" s="78">
        <f t="shared" si="142"/>
        <v>0</v>
      </c>
      <c r="AZ13" s="78">
        <f t="shared" si="28"/>
        <v>0</v>
      </c>
      <c r="BA13" s="78">
        <f t="shared" si="29"/>
        <v>0</v>
      </c>
      <c r="BB13" s="79">
        <f t="shared" si="30"/>
        <v>0</v>
      </c>
      <c r="BC13" s="77">
        <f t="shared" si="31"/>
        <v>0</v>
      </c>
      <c r="BD13" s="79"/>
      <c r="BE13" s="78">
        <f t="shared" si="143"/>
        <v>0</v>
      </c>
      <c r="BF13" s="78">
        <f t="shared" si="32"/>
        <v>0</v>
      </c>
      <c r="BG13" s="78">
        <f t="shared" si="33"/>
        <v>0</v>
      </c>
      <c r="BH13" s="79">
        <f t="shared" si="34"/>
        <v>0</v>
      </c>
      <c r="BI13" s="77">
        <f t="shared" si="35"/>
        <v>0</v>
      </c>
      <c r="BJ13" s="79"/>
      <c r="BK13" s="78">
        <f t="shared" si="144"/>
        <v>0</v>
      </c>
      <c r="BL13" s="78">
        <f t="shared" si="36"/>
        <v>0</v>
      </c>
      <c r="BM13" s="78">
        <f t="shared" si="37"/>
        <v>0</v>
      </c>
      <c r="BN13" s="79">
        <f t="shared" si="38"/>
        <v>0</v>
      </c>
      <c r="BO13" s="77">
        <f t="shared" si="39"/>
        <v>0</v>
      </c>
      <c r="BP13" s="79"/>
      <c r="BQ13" s="78">
        <f t="shared" si="145"/>
        <v>0</v>
      </c>
      <c r="BR13" s="78">
        <f t="shared" si="40"/>
        <v>0</v>
      </c>
      <c r="BS13" s="78">
        <f t="shared" si="41"/>
        <v>0</v>
      </c>
      <c r="BT13" s="79">
        <f t="shared" si="42"/>
        <v>0</v>
      </c>
      <c r="BU13" s="77">
        <f t="shared" si="43"/>
        <v>0</v>
      </c>
      <c r="BV13" s="79"/>
      <c r="BW13" s="78">
        <f t="shared" si="146"/>
        <v>0</v>
      </c>
      <c r="BX13" s="78">
        <f t="shared" si="44"/>
        <v>0</v>
      </c>
      <c r="BY13" s="78">
        <f t="shared" si="45"/>
        <v>0</v>
      </c>
      <c r="BZ13" s="79">
        <f t="shared" si="46"/>
        <v>0</v>
      </c>
      <c r="CA13" s="77">
        <f t="shared" si="47"/>
        <v>0</v>
      </c>
      <c r="CB13" s="78"/>
      <c r="CC13" s="78">
        <f t="shared" si="147"/>
        <v>0</v>
      </c>
      <c r="CD13" s="78">
        <f t="shared" si="48"/>
        <v>0</v>
      </c>
      <c r="CE13" s="78">
        <f t="shared" si="49"/>
        <v>0</v>
      </c>
      <c r="CF13" s="79">
        <f t="shared" si="50"/>
        <v>0</v>
      </c>
      <c r="CG13" s="77">
        <f t="shared" si="51"/>
        <v>0</v>
      </c>
      <c r="CH13" s="79"/>
      <c r="CI13" s="78">
        <f t="shared" si="148"/>
        <v>0</v>
      </c>
      <c r="CJ13" s="78">
        <f t="shared" si="52"/>
        <v>0</v>
      </c>
      <c r="CK13" s="78">
        <f t="shared" si="53"/>
        <v>0</v>
      </c>
      <c r="CL13" s="79">
        <f t="shared" si="54"/>
        <v>0</v>
      </c>
      <c r="CM13" s="77">
        <f t="shared" si="55"/>
        <v>0</v>
      </c>
      <c r="CN13" s="79"/>
      <c r="CO13" s="78">
        <f t="shared" si="149"/>
        <v>0</v>
      </c>
      <c r="CP13" s="78">
        <f t="shared" si="56"/>
        <v>0</v>
      </c>
      <c r="CQ13" s="78">
        <f t="shared" si="57"/>
        <v>0</v>
      </c>
      <c r="CR13" s="79">
        <f t="shared" si="58"/>
        <v>0</v>
      </c>
      <c r="CS13" s="77">
        <f t="shared" si="59"/>
        <v>0</v>
      </c>
      <c r="CT13" s="79"/>
      <c r="CU13" s="78">
        <f t="shared" si="150"/>
        <v>0</v>
      </c>
      <c r="CV13" s="78">
        <f t="shared" si="60"/>
        <v>0</v>
      </c>
      <c r="CW13" s="78">
        <f t="shared" si="61"/>
        <v>0</v>
      </c>
      <c r="CX13" s="79">
        <f t="shared" si="62"/>
        <v>0</v>
      </c>
      <c r="CY13" s="77">
        <f t="shared" si="63"/>
        <v>0</v>
      </c>
      <c r="CZ13" s="79"/>
      <c r="DA13" s="78">
        <f t="shared" si="151"/>
        <v>0</v>
      </c>
      <c r="DB13" s="78">
        <f t="shared" si="64"/>
        <v>0</v>
      </c>
      <c r="DC13" s="78">
        <f t="shared" si="65"/>
        <v>0</v>
      </c>
      <c r="DD13" s="79">
        <f t="shared" si="66"/>
        <v>0</v>
      </c>
      <c r="DE13" s="77">
        <f t="shared" si="67"/>
        <v>0</v>
      </c>
      <c r="DF13" s="79"/>
      <c r="DG13" s="78">
        <f t="shared" si="152"/>
        <v>0</v>
      </c>
      <c r="DH13" s="78">
        <f t="shared" si="68"/>
        <v>0</v>
      </c>
      <c r="DI13" s="78">
        <f t="shared" si="69"/>
        <v>0</v>
      </c>
      <c r="DJ13" s="79">
        <f t="shared" si="70"/>
        <v>0</v>
      </c>
      <c r="DK13" s="77">
        <f t="shared" si="71"/>
        <v>0</v>
      </c>
      <c r="DL13" s="79"/>
      <c r="DM13" s="78">
        <f t="shared" si="153"/>
        <v>0</v>
      </c>
      <c r="DN13" s="78">
        <f t="shared" si="72"/>
        <v>0</v>
      </c>
      <c r="DO13" s="78">
        <f t="shared" si="73"/>
        <v>0</v>
      </c>
      <c r="DP13" s="79">
        <f t="shared" si="74"/>
        <v>0</v>
      </c>
      <c r="DQ13" s="77">
        <f t="shared" si="75"/>
        <v>0</v>
      </c>
      <c r="DR13" s="79"/>
      <c r="DS13" s="78">
        <f t="shared" si="154"/>
        <v>0</v>
      </c>
      <c r="DT13" s="78">
        <f t="shared" si="76"/>
        <v>0</v>
      </c>
      <c r="DU13" s="78">
        <f t="shared" si="77"/>
        <v>0</v>
      </c>
      <c r="DV13" s="79">
        <f t="shared" si="78"/>
        <v>0</v>
      </c>
      <c r="DW13" s="77">
        <f t="shared" si="79"/>
        <v>0</v>
      </c>
      <c r="DX13" s="79"/>
      <c r="DY13" s="78">
        <f t="shared" si="155"/>
        <v>0</v>
      </c>
      <c r="DZ13" s="78">
        <f t="shared" si="80"/>
        <v>0</v>
      </c>
      <c r="EA13" s="78">
        <f t="shared" si="81"/>
        <v>0</v>
      </c>
      <c r="EB13" s="79">
        <f t="shared" si="82"/>
        <v>0</v>
      </c>
      <c r="EC13" s="77">
        <f t="shared" si="83"/>
        <v>0</v>
      </c>
      <c r="ED13" s="79"/>
      <c r="EE13" s="78">
        <f t="shared" si="156"/>
        <v>0</v>
      </c>
      <c r="EF13" s="78">
        <f t="shared" si="84"/>
        <v>0</v>
      </c>
      <c r="EG13" s="78">
        <f t="shared" si="85"/>
        <v>0</v>
      </c>
      <c r="EH13" s="79">
        <f t="shared" si="86"/>
        <v>0</v>
      </c>
      <c r="EI13" s="77">
        <f t="shared" si="87"/>
        <v>0</v>
      </c>
      <c r="EJ13" s="79"/>
      <c r="EK13" s="78">
        <f t="shared" si="157"/>
        <v>0</v>
      </c>
      <c r="EL13" s="78">
        <f t="shared" si="88"/>
        <v>0</v>
      </c>
      <c r="EM13" s="78">
        <f t="shared" si="89"/>
        <v>0</v>
      </c>
      <c r="EN13" s="79">
        <f t="shared" si="90"/>
        <v>0</v>
      </c>
      <c r="EO13" s="77">
        <f t="shared" si="91"/>
        <v>0</v>
      </c>
      <c r="EP13" s="79"/>
      <c r="EQ13" s="78">
        <f t="shared" si="158"/>
        <v>0</v>
      </c>
      <c r="ER13" s="78">
        <f t="shared" si="92"/>
        <v>0</v>
      </c>
      <c r="ES13" s="78">
        <f t="shared" si="93"/>
        <v>0</v>
      </c>
      <c r="ET13" s="79">
        <f t="shared" si="94"/>
        <v>0</v>
      </c>
      <c r="EU13" s="77">
        <f t="shared" si="95"/>
        <v>0</v>
      </c>
      <c r="EV13" s="79"/>
      <c r="EW13" s="78">
        <f t="shared" si="159"/>
        <v>0</v>
      </c>
      <c r="EX13" s="78">
        <f t="shared" si="96"/>
        <v>0</v>
      </c>
      <c r="EY13" s="78">
        <f t="shared" si="97"/>
        <v>0</v>
      </c>
      <c r="EZ13" s="79">
        <f t="shared" si="98"/>
        <v>0</v>
      </c>
      <c r="FA13" s="77">
        <f t="shared" si="99"/>
        <v>0</v>
      </c>
      <c r="FB13" s="79"/>
      <c r="FC13" s="78">
        <f t="shared" si="160"/>
        <v>0</v>
      </c>
      <c r="FD13" s="78">
        <f t="shared" si="100"/>
        <v>0</v>
      </c>
      <c r="FE13" s="78">
        <f t="shared" si="101"/>
        <v>0</v>
      </c>
      <c r="FF13" s="79">
        <f t="shared" si="102"/>
        <v>0</v>
      </c>
      <c r="FG13" s="77">
        <f t="shared" si="103"/>
        <v>0</v>
      </c>
      <c r="FH13" s="79"/>
      <c r="FI13" s="78">
        <f t="shared" si="161"/>
        <v>0</v>
      </c>
      <c r="FJ13" s="78">
        <f t="shared" si="104"/>
        <v>0</v>
      </c>
      <c r="FK13" s="78">
        <f t="shared" si="105"/>
        <v>0</v>
      </c>
      <c r="FL13" s="79">
        <f t="shared" si="106"/>
        <v>0</v>
      </c>
      <c r="FM13" s="77">
        <f t="shared" si="107"/>
        <v>0</v>
      </c>
      <c r="FN13" s="79"/>
      <c r="FO13" s="78">
        <f t="shared" si="162"/>
        <v>0</v>
      </c>
      <c r="FP13" s="78">
        <f t="shared" si="108"/>
        <v>0</v>
      </c>
      <c r="FQ13" s="78">
        <f t="shared" si="109"/>
        <v>0</v>
      </c>
      <c r="FR13" s="79">
        <f t="shared" si="110"/>
        <v>0</v>
      </c>
      <c r="FS13" s="77">
        <f t="shared" si="111"/>
        <v>0</v>
      </c>
      <c r="FT13" s="79"/>
      <c r="FU13" s="78">
        <f t="shared" si="163"/>
        <v>0</v>
      </c>
      <c r="FV13" s="78">
        <f t="shared" si="112"/>
        <v>0</v>
      </c>
      <c r="FW13" s="78">
        <f t="shared" si="113"/>
        <v>0</v>
      </c>
      <c r="FX13" s="79">
        <f t="shared" si="114"/>
        <v>0</v>
      </c>
      <c r="FY13" s="77">
        <f t="shared" si="115"/>
        <v>0</v>
      </c>
      <c r="FZ13" s="79"/>
      <c r="GA13" s="78">
        <f t="shared" si="164"/>
        <v>0</v>
      </c>
      <c r="GB13" s="78">
        <f t="shared" si="116"/>
        <v>0</v>
      </c>
      <c r="GC13" s="78">
        <f t="shared" si="117"/>
        <v>0</v>
      </c>
      <c r="GD13" s="79">
        <f t="shared" si="118"/>
        <v>0</v>
      </c>
      <c r="GE13" s="77">
        <f t="shared" si="119"/>
        <v>0</v>
      </c>
      <c r="GF13" s="79"/>
      <c r="GG13" s="78">
        <f t="shared" si="165"/>
        <v>0</v>
      </c>
      <c r="GH13" s="78">
        <f t="shared" si="120"/>
        <v>0</v>
      </c>
      <c r="GI13" s="78">
        <f t="shared" si="121"/>
        <v>0</v>
      </c>
      <c r="GJ13" s="79">
        <f t="shared" si="122"/>
        <v>0</v>
      </c>
      <c r="GK13" s="77">
        <f t="shared" si="123"/>
        <v>0</v>
      </c>
      <c r="GL13" s="79"/>
      <c r="GM13" s="78">
        <f t="shared" si="166"/>
        <v>0</v>
      </c>
      <c r="GN13" s="78">
        <f t="shared" si="124"/>
        <v>0</v>
      </c>
      <c r="GO13" s="78">
        <f t="shared" si="125"/>
        <v>0</v>
      </c>
      <c r="GP13" s="79">
        <f t="shared" si="126"/>
        <v>0</v>
      </c>
      <c r="GQ13" s="77">
        <f t="shared" si="127"/>
        <v>0</v>
      </c>
      <c r="GR13" s="79"/>
      <c r="GS13" s="78">
        <f t="shared" si="167"/>
        <v>0</v>
      </c>
      <c r="GT13" s="78">
        <f t="shared" si="128"/>
        <v>0</v>
      </c>
      <c r="GU13" s="78">
        <f t="shared" si="129"/>
        <v>0</v>
      </c>
      <c r="GV13" s="79">
        <f t="shared" si="130"/>
        <v>0</v>
      </c>
      <c r="GW13" s="77">
        <f t="shared" si="131"/>
        <v>0</v>
      </c>
      <c r="GX13" s="79"/>
      <c r="GY13" s="78">
        <f t="shared" si="168"/>
        <v>0</v>
      </c>
      <c r="GZ13" s="78">
        <f t="shared" si="132"/>
        <v>0</v>
      </c>
      <c r="HA13" s="78">
        <f t="shared" si="133"/>
        <v>0</v>
      </c>
      <c r="HB13" s="79">
        <f t="shared" si="134"/>
        <v>0</v>
      </c>
      <c r="HC13" s="77">
        <f t="shared" si="135"/>
        <v>0</v>
      </c>
      <c r="HD13" s="79"/>
      <c r="HE13" s="79"/>
      <c r="HF13" s="79"/>
      <c r="HG13" s="79"/>
      <c r="HH13" s="79"/>
      <c r="HI13" s="79"/>
    </row>
    <row r="14" spans="1:217" s="52" customFormat="1" ht="12.75" hidden="1">
      <c r="A14" s="51">
        <v>45200</v>
      </c>
      <c r="C14" s="80"/>
      <c r="D14" s="80"/>
      <c r="E14" s="77">
        <f t="shared" si="0"/>
        <v>0</v>
      </c>
      <c r="F14" s="77"/>
      <c r="G14" s="77"/>
      <c r="H14" s="79"/>
      <c r="I14" s="79"/>
      <c r="J14" s="79">
        <f t="shared" si="1"/>
        <v>0</v>
      </c>
      <c r="K14" s="79">
        <f t="shared" si="2"/>
        <v>0</v>
      </c>
      <c r="L14" s="79">
        <f t="shared" si="3"/>
        <v>0</v>
      </c>
      <c r="M14" s="79">
        <f t="shared" si="3"/>
        <v>0</v>
      </c>
      <c r="N14" s="79"/>
      <c r="O14" s="78"/>
      <c r="P14" s="78">
        <f t="shared" si="4"/>
        <v>0</v>
      </c>
      <c r="Q14" s="79">
        <f t="shared" si="5"/>
        <v>0</v>
      </c>
      <c r="R14" s="79">
        <f t="shared" si="6"/>
        <v>0</v>
      </c>
      <c r="S14" s="77">
        <f t="shared" si="7"/>
        <v>0</v>
      </c>
      <c r="T14" s="79"/>
      <c r="U14" s="78"/>
      <c r="V14" s="78">
        <f t="shared" si="8"/>
        <v>0</v>
      </c>
      <c r="W14" s="78">
        <f t="shared" si="9"/>
        <v>0</v>
      </c>
      <c r="X14" s="79">
        <f t="shared" si="10"/>
        <v>0</v>
      </c>
      <c r="Y14" s="77">
        <f t="shared" si="11"/>
        <v>0</v>
      </c>
      <c r="Z14" s="79"/>
      <c r="AA14" s="79"/>
      <c r="AB14" s="78">
        <f t="shared" si="12"/>
        <v>0</v>
      </c>
      <c r="AC14" s="78">
        <f t="shared" si="13"/>
        <v>0</v>
      </c>
      <c r="AD14" s="79">
        <f t="shared" si="14"/>
        <v>0</v>
      </c>
      <c r="AE14" s="77">
        <f t="shared" si="15"/>
        <v>0</v>
      </c>
      <c r="AF14" s="79"/>
      <c r="AG14" s="78"/>
      <c r="AH14" s="78">
        <f t="shared" si="16"/>
        <v>0</v>
      </c>
      <c r="AI14" s="78">
        <f t="shared" si="17"/>
        <v>0</v>
      </c>
      <c r="AJ14" s="79">
        <f t="shared" si="18"/>
        <v>0</v>
      </c>
      <c r="AK14" s="77">
        <f t="shared" si="19"/>
        <v>0</v>
      </c>
      <c r="AL14" s="79"/>
      <c r="AM14" s="78"/>
      <c r="AN14" s="78">
        <f t="shared" si="20"/>
        <v>0</v>
      </c>
      <c r="AO14" s="78">
        <f t="shared" si="21"/>
        <v>0</v>
      </c>
      <c r="AP14" s="79">
        <f t="shared" si="22"/>
        <v>0</v>
      </c>
      <c r="AQ14" s="77">
        <f t="shared" si="23"/>
        <v>0</v>
      </c>
      <c r="AR14" s="78"/>
      <c r="AS14" s="78"/>
      <c r="AT14" s="78">
        <f t="shared" si="24"/>
        <v>0</v>
      </c>
      <c r="AU14" s="78">
        <f t="shared" si="25"/>
        <v>0</v>
      </c>
      <c r="AV14" s="79">
        <f t="shared" si="26"/>
        <v>0</v>
      </c>
      <c r="AW14" s="77">
        <f t="shared" si="27"/>
        <v>0</v>
      </c>
      <c r="AX14" s="79"/>
      <c r="AY14" s="78"/>
      <c r="AZ14" s="78">
        <f t="shared" si="28"/>
        <v>0</v>
      </c>
      <c r="BA14" s="78">
        <f t="shared" si="29"/>
        <v>0</v>
      </c>
      <c r="BB14" s="79">
        <f t="shared" si="30"/>
        <v>0</v>
      </c>
      <c r="BC14" s="77">
        <f t="shared" si="31"/>
        <v>0</v>
      </c>
      <c r="BD14" s="79"/>
      <c r="BE14" s="78"/>
      <c r="BF14" s="78">
        <f t="shared" si="32"/>
        <v>0</v>
      </c>
      <c r="BG14" s="78">
        <f t="shared" si="33"/>
        <v>0</v>
      </c>
      <c r="BH14" s="79">
        <f t="shared" si="34"/>
        <v>0</v>
      </c>
      <c r="BI14" s="77">
        <f t="shared" si="35"/>
        <v>0</v>
      </c>
      <c r="BJ14" s="79"/>
      <c r="BK14" s="78"/>
      <c r="BL14" s="78">
        <f t="shared" si="36"/>
        <v>0</v>
      </c>
      <c r="BM14" s="78">
        <f t="shared" si="37"/>
        <v>0</v>
      </c>
      <c r="BN14" s="79">
        <f t="shared" si="38"/>
        <v>0</v>
      </c>
      <c r="BO14" s="77">
        <f t="shared" si="39"/>
        <v>0</v>
      </c>
      <c r="BP14" s="79"/>
      <c r="BQ14" s="78"/>
      <c r="BR14" s="78">
        <f t="shared" si="40"/>
        <v>0</v>
      </c>
      <c r="BS14" s="78">
        <f t="shared" si="41"/>
        <v>0</v>
      </c>
      <c r="BT14" s="79">
        <f t="shared" si="42"/>
        <v>0</v>
      </c>
      <c r="BU14" s="77">
        <f t="shared" si="43"/>
        <v>0</v>
      </c>
      <c r="BV14" s="79"/>
      <c r="BW14" s="78"/>
      <c r="BX14" s="78">
        <f t="shared" si="44"/>
        <v>0</v>
      </c>
      <c r="BY14" s="78">
        <f t="shared" si="45"/>
        <v>0</v>
      </c>
      <c r="BZ14" s="79">
        <f t="shared" si="46"/>
        <v>0</v>
      </c>
      <c r="CA14" s="77">
        <f t="shared" si="47"/>
        <v>0</v>
      </c>
      <c r="CB14" s="78"/>
      <c r="CC14" s="78"/>
      <c r="CD14" s="78">
        <f t="shared" si="48"/>
        <v>0</v>
      </c>
      <c r="CE14" s="78">
        <f t="shared" si="49"/>
        <v>0</v>
      </c>
      <c r="CF14" s="79">
        <f t="shared" si="50"/>
        <v>0</v>
      </c>
      <c r="CG14" s="77">
        <f t="shared" si="51"/>
        <v>0</v>
      </c>
      <c r="CH14" s="79"/>
      <c r="CI14" s="78"/>
      <c r="CJ14" s="78">
        <f t="shared" si="52"/>
        <v>0</v>
      </c>
      <c r="CK14" s="78">
        <f t="shared" si="53"/>
        <v>0</v>
      </c>
      <c r="CL14" s="79">
        <f t="shared" si="54"/>
        <v>0</v>
      </c>
      <c r="CM14" s="77">
        <f t="shared" si="55"/>
        <v>0</v>
      </c>
      <c r="CN14" s="79"/>
      <c r="CO14" s="78"/>
      <c r="CP14" s="78">
        <f t="shared" si="56"/>
        <v>0</v>
      </c>
      <c r="CQ14" s="78">
        <f t="shared" si="57"/>
        <v>0</v>
      </c>
      <c r="CR14" s="79">
        <f t="shared" si="58"/>
        <v>0</v>
      </c>
      <c r="CS14" s="77">
        <f t="shared" si="59"/>
        <v>0</v>
      </c>
      <c r="CT14" s="79"/>
      <c r="CU14" s="78"/>
      <c r="CV14" s="78">
        <f t="shared" si="60"/>
        <v>0</v>
      </c>
      <c r="CW14" s="78">
        <f t="shared" si="61"/>
        <v>0</v>
      </c>
      <c r="CX14" s="79">
        <f t="shared" si="62"/>
        <v>0</v>
      </c>
      <c r="CY14" s="77">
        <f t="shared" si="63"/>
        <v>0</v>
      </c>
      <c r="CZ14" s="79"/>
      <c r="DA14" s="78"/>
      <c r="DB14" s="78">
        <f t="shared" si="64"/>
        <v>0</v>
      </c>
      <c r="DC14" s="78">
        <f t="shared" si="65"/>
        <v>0</v>
      </c>
      <c r="DD14" s="79">
        <f t="shared" si="66"/>
        <v>0</v>
      </c>
      <c r="DE14" s="77">
        <f t="shared" si="67"/>
        <v>0</v>
      </c>
      <c r="DF14" s="79"/>
      <c r="DG14" s="78"/>
      <c r="DH14" s="78">
        <f t="shared" si="68"/>
        <v>0</v>
      </c>
      <c r="DI14" s="78">
        <f t="shared" si="69"/>
        <v>0</v>
      </c>
      <c r="DJ14" s="79">
        <f t="shared" si="70"/>
        <v>0</v>
      </c>
      <c r="DK14" s="77">
        <f t="shared" si="71"/>
        <v>0</v>
      </c>
      <c r="DL14" s="79"/>
      <c r="DM14" s="78"/>
      <c r="DN14" s="78">
        <f t="shared" si="72"/>
        <v>0</v>
      </c>
      <c r="DO14" s="78">
        <f t="shared" si="73"/>
        <v>0</v>
      </c>
      <c r="DP14" s="79">
        <f t="shared" si="74"/>
        <v>0</v>
      </c>
      <c r="DQ14" s="77">
        <f t="shared" si="75"/>
        <v>0</v>
      </c>
      <c r="DR14" s="79"/>
      <c r="DS14" s="78"/>
      <c r="DT14" s="78">
        <f t="shared" si="76"/>
        <v>0</v>
      </c>
      <c r="DU14" s="78">
        <f t="shared" si="77"/>
        <v>0</v>
      </c>
      <c r="DV14" s="79">
        <f t="shared" si="78"/>
        <v>0</v>
      </c>
      <c r="DW14" s="77">
        <f t="shared" si="79"/>
        <v>0</v>
      </c>
      <c r="DX14" s="79"/>
      <c r="DY14" s="78"/>
      <c r="DZ14" s="78">
        <f t="shared" si="80"/>
        <v>0</v>
      </c>
      <c r="EA14" s="78">
        <f t="shared" si="81"/>
        <v>0</v>
      </c>
      <c r="EB14" s="79">
        <f t="shared" si="82"/>
        <v>0</v>
      </c>
      <c r="EC14" s="77">
        <f t="shared" si="83"/>
        <v>0</v>
      </c>
      <c r="ED14" s="79"/>
      <c r="EE14" s="78"/>
      <c r="EF14" s="78">
        <f t="shared" si="84"/>
        <v>0</v>
      </c>
      <c r="EG14" s="78">
        <f t="shared" si="85"/>
        <v>0</v>
      </c>
      <c r="EH14" s="79">
        <f t="shared" si="86"/>
        <v>0</v>
      </c>
      <c r="EI14" s="77">
        <f t="shared" si="87"/>
        <v>0</v>
      </c>
      <c r="EJ14" s="79"/>
      <c r="EK14" s="78"/>
      <c r="EL14" s="78">
        <f t="shared" si="88"/>
        <v>0</v>
      </c>
      <c r="EM14" s="78">
        <f t="shared" si="89"/>
        <v>0</v>
      </c>
      <c r="EN14" s="79">
        <f t="shared" si="90"/>
        <v>0</v>
      </c>
      <c r="EO14" s="77">
        <f t="shared" si="91"/>
        <v>0</v>
      </c>
      <c r="EP14" s="79"/>
      <c r="EQ14" s="78"/>
      <c r="ER14" s="78">
        <f t="shared" si="92"/>
        <v>0</v>
      </c>
      <c r="ES14" s="78">
        <f t="shared" si="93"/>
        <v>0</v>
      </c>
      <c r="ET14" s="79">
        <f t="shared" si="94"/>
        <v>0</v>
      </c>
      <c r="EU14" s="77">
        <f t="shared" si="95"/>
        <v>0</v>
      </c>
      <c r="EV14" s="79"/>
      <c r="EW14" s="78"/>
      <c r="EX14" s="78">
        <f t="shared" si="96"/>
        <v>0</v>
      </c>
      <c r="EY14" s="78">
        <f t="shared" si="97"/>
        <v>0</v>
      </c>
      <c r="EZ14" s="79">
        <f t="shared" si="98"/>
        <v>0</v>
      </c>
      <c r="FA14" s="77">
        <f t="shared" si="99"/>
        <v>0</v>
      </c>
      <c r="FB14" s="79"/>
      <c r="FC14" s="78"/>
      <c r="FD14" s="78">
        <f t="shared" si="100"/>
        <v>0</v>
      </c>
      <c r="FE14" s="78">
        <f t="shared" si="101"/>
        <v>0</v>
      </c>
      <c r="FF14" s="79">
        <f t="shared" si="102"/>
        <v>0</v>
      </c>
      <c r="FG14" s="77">
        <f t="shared" si="103"/>
        <v>0</v>
      </c>
      <c r="FH14" s="79"/>
      <c r="FI14" s="78"/>
      <c r="FJ14" s="78">
        <f t="shared" si="104"/>
        <v>0</v>
      </c>
      <c r="FK14" s="78">
        <f t="shared" si="105"/>
        <v>0</v>
      </c>
      <c r="FL14" s="79">
        <f t="shared" si="106"/>
        <v>0</v>
      </c>
      <c r="FM14" s="77">
        <f t="shared" si="107"/>
        <v>0</v>
      </c>
      <c r="FN14" s="79"/>
      <c r="FO14" s="78"/>
      <c r="FP14" s="78">
        <f t="shared" si="108"/>
        <v>0</v>
      </c>
      <c r="FQ14" s="78">
        <f t="shared" si="109"/>
        <v>0</v>
      </c>
      <c r="FR14" s="79">
        <f t="shared" si="110"/>
        <v>0</v>
      </c>
      <c r="FS14" s="77">
        <f t="shared" si="111"/>
        <v>0</v>
      </c>
      <c r="FT14" s="79"/>
      <c r="FU14" s="78"/>
      <c r="FV14" s="78">
        <f t="shared" si="112"/>
        <v>0</v>
      </c>
      <c r="FW14" s="78">
        <f t="shared" si="113"/>
        <v>0</v>
      </c>
      <c r="FX14" s="79">
        <f t="shared" si="114"/>
        <v>0</v>
      </c>
      <c r="FY14" s="77">
        <f t="shared" si="115"/>
        <v>0</v>
      </c>
      <c r="FZ14" s="79"/>
      <c r="GA14" s="78"/>
      <c r="GB14" s="78">
        <f t="shared" si="116"/>
        <v>0</v>
      </c>
      <c r="GC14" s="78">
        <f t="shared" si="117"/>
        <v>0</v>
      </c>
      <c r="GD14" s="79">
        <f t="shared" si="118"/>
        <v>0</v>
      </c>
      <c r="GE14" s="77">
        <f t="shared" si="119"/>
        <v>0</v>
      </c>
      <c r="GF14" s="79"/>
      <c r="GG14" s="78"/>
      <c r="GH14" s="78">
        <f t="shared" si="120"/>
        <v>0</v>
      </c>
      <c r="GI14" s="78">
        <f t="shared" si="121"/>
        <v>0</v>
      </c>
      <c r="GJ14" s="79">
        <f t="shared" si="122"/>
        <v>0</v>
      </c>
      <c r="GK14" s="77">
        <f t="shared" si="123"/>
        <v>0</v>
      </c>
      <c r="GL14" s="79"/>
      <c r="GM14" s="78"/>
      <c r="GN14" s="78">
        <f t="shared" si="124"/>
        <v>0</v>
      </c>
      <c r="GO14" s="78">
        <f t="shared" si="125"/>
        <v>0</v>
      </c>
      <c r="GP14" s="79">
        <f t="shared" si="126"/>
        <v>0</v>
      </c>
      <c r="GQ14" s="77">
        <f t="shared" si="127"/>
        <v>0</v>
      </c>
      <c r="GR14" s="79"/>
      <c r="GS14" s="78"/>
      <c r="GT14" s="78">
        <f t="shared" si="128"/>
        <v>0</v>
      </c>
      <c r="GU14" s="78">
        <f t="shared" si="129"/>
        <v>0</v>
      </c>
      <c r="GV14" s="79">
        <f t="shared" si="130"/>
        <v>0</v>
      </c>
      <c r="GW14" s="77">
        <f t="shared" si="131"/>
        <v>0</v>
      </c>
      <c r="GX14" s="79"/>
      <c r="GY14" s="78"/>
      <c r="GZ14" s="78">
        <f t="shared" si="132"/>
        <v>0</v>
      </c>
      <c r="HA14" s="78">
        <f t="shared" si="133"/>
        <v>0</v>
      </c>
      <c r="HB14" s="79">
        <f t="shared" si="134"/>
        <v>0</v>
      </c>
      <c r="HC14" s="77">
        <f t="shared" si="135"/>
        <v>0</v>
      </c>
      <c r="HD14" s="79"/>
      <c r="HE14" s="79"/>
      <c r="HF14" s="79"/>
      <c r="HG14" s="79"/>
      <c r="HH14" s="79"/>
      <c r="HI14" s="79"/>
    </row>
    <row r="15" spans="1:217" s="52" customFormat="1" ht="12.75" hidden="1">
      <c r="A15" s="51">
        <v>45383</v>
      </c>
      <c r="C15" s="80"/>
      <c r="D15" s="80"/>
      <c r="E15" s="77">
        <f t="shared" si="0"/>
        <v>0</v>
      </c>
      <c r="F15" s="77"/>
      <c r="G15" s="77"/>
      <c r="H15" s="79"/>
      <c r="I15" s="79">
        <f>O15+U15+AA15+AG15+AM15+AS15+AY15+BE15+BK15+BQ15+BW15+CC15+CI15+CO15+CU15+DA15+DG15+DM15+DS15+DY15+EE15+EK15+EQ15+EW15+FC15+FI15+FO15+FU15+GA15+GG15+GM15+GS15+GY15</f>
        <v>0</v>
      </c>
      <c r="J15" s="79">
        <f t="shared" si="1"/>
        <v>0</v>
      </c>
      <c r="K15" s="79">
        <f t="shared" si="2"/>
        <v>0</v>
      </c>
      <c r="L15" s="79">
        <f t="shared" si="3"/>
        <v>0</v>
      </c>
      <c r="M15" s="79">
        <f t="shared" si="3"/>
        <v>0</v>
      </c>
      <c r="N15" s="79"/>
      <c r="O15" s="78">
        <f t="shared" si="136"/>
        <v>0</v>
      </c>
      <c r="P15" s="78">
        <f t="shared" si="4"/>
        <v>0</v>
      </c>
      <c r="Q15" s="79">
        <f>O15+P15</f>
        <v>0</v>
      </c>
      <c r="R15" s="79">
        <f t="shared" si="6"/>
        <v>0</v>
      </c>
      <c r="S15" s="77">
        <f t="shared" si="7"/>
        <v>0</v>
      </c>
      <c r="T15" s="79"/>
      <c r="U15" s="78">
        <f t="shared" si="137"/>
        <v>0</v>
      </c>
      <c r="V15" s="78">
        <f t="shared" si="8"/>
        <v>0</v>
      </c>
      <c r="W15" s="78">
        <f t="shared" si="9"/>
        <v>0</v>
      </c>
      <c r="X15" s="79">
        <f t="shared" si="10"/>
        <v>0</v>
      </c>
      <c r="Y15" s="77">
        <f t="shared" si="11"/>
        <v>0</v>
      </c>
      <c r="Z15" s="79"/>
      <c r="AA15" s="79">
        <f t="shared" si="138"/>
        <v>0</v>
      </c>
      <c r="AB15" s="78">
        <f t="shared" si="12"/>
        <v>0</v>
      </c>
      <c r="AC15" s="78">
        <f t="shared" si="13"/>
        <v>0</v>
      </c>
      <c r="AD15" s="79">
        <f t="shared" si="14"/>
        <v>0</v>
      </c>
      <c r="AE15" s="77">
        <f t="shared" si="15"/>
        <v>0</v>
      </c>
      <c r="AF15" s="79"/>
      <c r="AG15" s="78">
        <f t="shared" si="139"/>
        <v>0</v>
      </c>
      <c r="AH15" s="78">
        <f t="shared" si="16"/>
        <v>0</v>
      </c>
      <c r="AI15" s="78">
        <f t="shared" si="17"/>
        <v>0</v>
      </c>
      <c r="AJ15" s="79">
        <f t="shared" si="18"/>
        <v>0</v>
      </c>
      <c r="AK15" s="77">
        <f t="shared" si="19"/>
        <v>0</v>
      </c>
      <c r="AL15" s="79"/>
      <c r="AM15" s="78">
        <f t="shared" si="140"/>
        <v>0</v>
      </c>
      <c r="AN15" s="78">
        <f t="shared" si="20"/>
        <v>0</v>
      </c>
      <c r="AO15" s="78">
        <f t="shared" si="21"/>
        <v>0</v>
      </c>
      <c r="AP15" s="79">
        <f t="shared" si="22"/>
        <v>0</v>
      </c>
      <c r="AQ15" s="77">
        <f t="shared" si="23"/>
        <v>0</v>
      </c>
      <c r="AR15" s="78"/>
      <c r="AS15" s="78">
        <f t="shared" si="141"/>
        <v>0</v>
      </c>
      <c r="AT15" s="78">
        <f t="shared" si="24"/>
        <v>0</v>
      </c>
      <c r="AU15" s="78">
        <f t="shared" si="25"/>
        <v>0</v>
      </c>
      <c r="AV15" s="79">
        <f t="shared" si="26"/>
        <v>0</v>
      </c>
      <c r="AW15" s="77">
        <f t="shared" si="27"/>
        <v>0</v>
      </c>
      <c r="AX15" s="79"/>
      <c r="AY15" s="78">
        <f t="shared" si="142"/>
        <v>0</v>
      </c>
      <c r="AZ15" s="78">
        <f t="shared" si="28"/>
        <v>0</v>
      </c>
      <c r="BA15" s="78">
        <f t="shared" si="29"/>
        <v>0</v>
      </c>
      <c r="BB15" s="79">
        <f t="shared" si="30"/>
        <v>0</v>
      </c>
      <c r="BC15" s="77">
        <f t="shared" si="31"/>
        <v>0</v>
      </c>
      <c r="BD15" s="79"/>
      <c r="BE15" s="78">
        <f t="shared" si="143"/>
        <v>0</v>
      </c>
      <c r="BF15" s="78">
        <f t="shared" si="32"/>
        <v>0</v>
      </c>
      <c r="BG15" s="78">
        <f t="shared" si="33"/>
        <v>0</v>
      </c>
      <c r="BH15" s="79">
        <f t="shared" si="34"/>
        <v>0</v>
      </c>
      <c r="BI15" s="77">
        <f t="shared" si="35"/>
        <v>0</v>
      </c>
      <c r="BJ15" s="79"/>
      <c r="BK15" s="78">
        <f t="shared" si="144"/>
        <v>0</v>
      </c>
      <c r="BL15" s="78">
        <f t="shared" si="36"/>
        <v>0</v>
      </c>
      <c r="BM15" s="78">
        <f t="shared" si="37"/>
        <v>0</v>
      </c>
      <c r="BN15" s="79">
        <f t="shared" si="38"/>
        <v>0</v>
      </c>
      <c r="BO15" s="77">
        <f t="shared" si="39"/>
        <v>0</v>
      </c>
      <c r="BP15" s="79"/>
      <c r="BQ15" s="78">
        <f t="shared" si="145"/>
        <v>0</v>
      </c>
      <c r="BR15" s="78">
        <f t="shared" si="40"/>
        <v>0</v>
      </c>
      <c r="BS15" s="78">
        <f t="shared" si="41"/>
        <v>0</v>
      </c>
      <c r="BT15" s="79">
        <f t="shared" si="42"/>
        <v>0</v>
      </c>
      <c r="BU15" s="77">
        <f t="shared" si="43"/>
        <v>0</v>
      </c>
      <c r="BV15" s="79"/>
      <c r="BW15" s="78">
        <f t="shared" si="146"/>
        <v>0</v>
      </c>
      <c r="BX15" s="78">
        <f t="shared" si="44"/>
        <v>0</v>
      </c>
      <c r="BY15" s="78">
        <f t="shared" si="45"/>
        <v>0</v>
      </c>
      <c r="BZ15" s="79">
        <f t="shared" si="46"/>
        <v>0</v>
      </c>
      <c r="CA15" s="77">
        <f t="shared" si="47"/>
        <v>0</v>
      </c>
      <c r="CB15" s="78"/>
      <c r="CC15" s="78">
        <f t="shared" si="147"/>
        <v>0</v>
      </c>
      <c r="CD15" s="78">
        <f t="shared" si="48"/>
        <v>0</v>
      </c>
      <c r="CE15" s="78">
        <f t="shared" si="49"/>
        <v>0</v>
      </c>
      <c r="CF15" s="79">
        <f t="shared" si="50"/>
        <v>0</v>
      </c>
      <c r="CG15" s="77">
        <f t="shared" si="51"/>
        <v>0</v>
      </c>
      <c r="CH15" s="79"/>
      <c r="CI15" s="78">
        <f t="shared" si="148"/>
        <v>0</v>
      </c>
      <c r="CJ15" s="78">
        <f t="shared" si="52"/>
        <v>0</v>
      </c>
      <c r="CK15" s="78">
        <f t="shared" si="53"/>
        <v>0</v>
      </c>
      <c r="CL15" s="79">
        <f t="shared" si="54"/>
        <v>0</v>
      </c>
      <c r="CM15" s="77">
        <f t="shared" si="55"/>
        <v>0</v>
      </c>
      <c r="CN15" s="79"/>
      <c r="CO15" s="78">
        <f t="shared" si="149"/>
        <v>0</v>
      </c>
      <c r="CP15" s="78">
        <f t="shared" si="56"/>
        <v>0</v>
      </c>
      <c r="CQ15" s="78">
        <f t="shared" si="57"/>
        <v>0</v>
      </c>
      <c r="CR15" s="79">
        <f t="shared" si="58"/>
        <v>0</v>
      </c>
      <c r="CS15" s="77">
        <f t="shared" si="59"/>
        <v>0</v>
      </c>
      <c r="CT15" s="79"/>
      <c r="CU15" s="78">
        <f t="shared" si="150"/>
        <v>0</v>
      </c>
      <c r="CV15" s="78">
        <f t="shared" si="60"/>
        <v>0</v>
      </c>
      <c r="CW15" s="78">
        <f t="shared" si="61"/>
        <v>0</v>
      </c>
      <c r="CX15" s="79">
        <f t="shared" si="62"/>
        <v>0</v>
      </c>
      <c r="CY15" s="77">
        <f t="shared" si="63"/>
        <v>0</v>
      </c>
      <c r="CZ15" s="79"/>
      <c r="DA15" s="78">
        <f t="shared" si="151"/>
        <v>0</v>
      </c>
      <c r="DB15" s="78">
        <f t="shared" si="64"/>
        <v>0</v>
      </c>
      <c r="DC15" s="78">
        <f t="shared" si="65"/>
        <v>0</v>
      </c>
      <c r="DD15" s="79">
        <f t="shared" si="66"/>
        <v>0</v>
      </c>
      <c r="DE15" s="77">
        <f t="shared" si="67"/>
        <v>0</v>
      </c>
      <c r="DF15" s="79"/>
      <c r="DG15" s="78">
        <f t="shared" si="152"/>
        <v>0</v>
      </c>
      <c r="DH15" s="78">
        <f t="shared" si="68"/>
        <v>0</v>
      </c>
      <c r="DI15" s="78">
        <f t="shared" si="69"/>
        <v>0</v>
      </c>
      <c r="DJ15" s="79">
        <f t="shared" si="70"/>
        <v>0</v>
      </c>
      <c r="DK15" s="77">
        <f t="shared" si="71"/>
        <v>0</v>
      </c>
      <c r="DL15" s="79"/>
      <c r="DM15" s="78">
        <f t="shared" si="153"/>
        <v>0</v>
      </c>
      <c r="DN15" s="78">
        <f t="shared" si="72"/>
        <v>0</v>
      </c>
      <c r="DO15" s="78">
        <f t="shared" si="73"/>
        <v>0</v>
      </c>
      <c r="DP15" s="79">
        <f t="shared" si="74"/>
        <v>0</v>
      </c>
      <c r="DQ15" s="77">
        <f t="shared" si="75"/>
        <v>0</v>
      </c>
      <c r="DR15" s="79"/>
      <c r="DS15" s="78">
        <f t="shared" si="154"/>
        <v>0</v>
      </c>
      <c r="DT15" s="78">
        <f t="shared" si="76"/>
        <v>0</v>
      </c>
      <c r="DU15" s="78">
        <f t="shared" si="77"/>
        <v>0</v>
      </c>
      <c r="DV15" s="79">
        <f t="shared" si="78"/>
        <v>0</v>
      </c>
      <c r="DW15" s="77">
        <f t="shared" si="79"/>
        <v>0</v>
      </c>
      <c r="DX15" s="79"/>
      <c r="DY15" s="78">
        <f t="shared" si="155"/>
        <v>0</v>
      </c>
      <c r="DZ15" s="78">
        <f t="shared" si="80"/>
        <v>0</v>
      </c>
      <c r="EA15" s="78">
        <f t="shared" si="81"/>
        <v>0</v>
      </c>
      <c r="EB15" s="79">
        <f t="shared" si="82"/>
        <v>0</v>
      </c>
      <c r="EC15" s="77">
        <f t="shared" si="83"/>
        <v>0</v>
      </c>
      <c r="ED15" s="79"/>
      <c r="EE15" s="78">
        <f t="shared" si="156"/>
        <v>0</v>
      </c>
      <c r="EF15" s="78">
        <f t="shared" si="84"/>
        <v>0</v>
      </c>
      <c r="EG15" s="78">
        <f t="shared" si="85"/>
        <v>0</v>
      </c>
      <c r="EH15" s="79">
        <f t="shared" si="86"/>
        <v>0</v>
      </c>
      <c r="EI15" s="77">
        <f t="shared" si="87"/>
        <v>0</v>
      </c>
      <c r="EJ15" s="79"/>
      <c r="EK15" s="78">
        <f t="shared" si="157"/>
        <v>0</v>
      </c>
      <c r="EL15" s="78">
        <f t="shared" si="88"/>
        <v>0</v>
      </c>
      <c r="EM15" s="78">
        <f t="shared" si="89"/>
        <v>0</v>
      </c>
      <c r="EN15" s="79">
        <f t="shared" si="90"/>
        <v>0</v>
      </c>
      <c r="EO15" s="77">
        <f t="shared" si="91"/>
        <v>0</v>
      </c>
      <c r="EP15" s="79"/>
      <c r="EQ15" s="78">
        <f t="shared" si="158"/>
        <v>0</v>
      </c>
      <c r="ER15" s="78">
        <f t="shared" si="92"/>
        <v>0</v>
      </c>
      <c r="ES15" s="78">
        <f t="shared" si="93"/>
        <v>0</v>
      </c>
      <c r="ET15" s="79">
        <f t="shared" si="94"/>
        <v>0</v>
      </c>
      <c r="EU15" s="77">
        <f t="shared" si="95"/>
        <v>0</v>
      </c>
      <c r="EV15" s="79"/>
      <c r="EW15" s="78">
        <f t="shared" si="159"/>
        <v>0</v>
      </c>
      <c r="EX15" s="78">
        <f t="shared" si="96"/>
        <v>0</v>
      </c>
      <c r="EY15" s="78">
        <f t="shared" si="97"/>
        <v>0</v>
      </c>
      <c r="EZ15" s="79">
        <f t="shared" si="98"/>
        <v>0</v>
      </c>
      <c r="FA15" s="77">
        <f t="shared" si="99"/>
        <v>0</v>
      </c>
      <c r="FB15" s="79"/>
      <c r="FC15" s="78">
        <f t="shared" si="160"/>
        <v>0</v>
      </c>
      <c r="FD15" s="78">
        <f t="shared" si="100"/>
        <v>0</v>
      </c>
      <c r="FE15" s="78">
        <f t="shared" si="101"/>
        <v>0</v>
      </c>
      <c r="FF15" s="79">
        <f t="shared" si="102"/>
        <v>0</v>
      </c>
      <c r="FG15" s="77">
        <f t="shared" si="103"/>
        <v>0</v>
      </c>
      <c r="FH15" s="79"/>
      <c r="FI15" s="78">
        <f t="shared" si="161"/>
        <v>0</v>
      </c>
      <c r="FJ15" s="78">
        <f t="shared" si="104"/>
        <v>0</v>
      </c>
      <c r="FK15" s="78">
        <f t="shared" si="105"/>
        <v>0</v>
      </c>
      <c r="FL15" s="79">
        <f t="shared" si="106"/>
        <v>0</v>
      </c>
      <c r="FM15" s="77">
        <f t="shared" si="107"/>
        <v>0</v>
      </c>
      <c r="FN15" s="79"/>
      <c r="FO15" s="78">
        <f t="shared" si="162"/>
        <v>0</v>
      </c>
      <c r="FP15" s="78">
        <f t="shared" si="108"/>
        <v>0</v>
      </c>
      <c r="FQ15" s="78">
        <f t="shared" si="109"/>
        <v>0</v>
      </c>
      <c r="FR15" s="79">
        <f t="shared" si="110"/>
        <v>0</v>
      </c>
      <c r="FS15" s="77">
        <f t="shared" si="111"/>
        <v>0</v>
      </c>
      <c r="FT15" s="79"/>
      <c r="FU15" s="78">
        <f t="shared" si="163"/>
        <v>0</v>
      </c>
      <c r="FV15" s="78">
        <f t="shared" si="112"/>
        <v>0</v>
      </c>
      <c r="FW15" s="78">
        <f t="shared" si="113"/>
        <v>0</v>
      </c>
      <c r="FX15" s="79">
        <f t="shared" si="114"/>
        <v>0</v>
      </c>
      <c r="FY15" s="77">
        <f t="shared" si="115"/>
        <v>0</v>
      </c>
      <c r="FZ15" s="79"/>
      <c r="GA15" s="78">
        <f t="shared" si="164"/>
        <v>0</v>
      </c>
      <c r="GB15" s="78">
        <f t="shared" si="116"/>
        <v>0</v>
      </c>
      <c r="GC15" s="78">
        <f t="shared" si="117"/>
        <v>0</v>
      </c>
      <c r="GD15" s="79">
        <f t="shared" si="118"/>
        <v>0</v>
      </c>
      <c r="GE15" s="77">
        <f t="shared" si="119"/>
        <v>0</v>
      </c>
      <c r="GF15" s="79"/>
      <c r="GG15" s="78">
        <f t="shared" si="165"/>
        <v>0</v>
      </c>
      <c r="GH15" s="78">
        <f t="shared" si="120"/>
        <v>0</v>
      </c>
      <c r="GI15" s="78">
        <f t="shared" si="121"/>
        <v>0</v>
      </c>
      <c r="GJ15" s="79">
        <f t="shared" si="122"/>
        <v>0</v>
      </c>
      <c r="GK15" s="77">
        <f t="shared" si="123"/>
        <v>0</v>
      </c>
      <c r="GL15" s="79"/>
      <c r="GM15" s="78">
        <f t="shared" si="166"/>
        <v>0</v>
      </c>
      <c r="GN15" s="78">
        <f t="shared" si="124"/>
        <v>0</v>
      </c>
      <c r="GO15" s="78">
        <f t="shared" si="125"/>
        <v>0</v>
      </c>
      <c r="GP15" s="79">
        <f t="shared" si="126"/>
        <v>0</v>
      </c>
      <c r="GQ15" s="77">
        <f t="shared" si="127"/>
        <v>0</v>
      </c>
      <c r="GR15" s="79"/>
      <c r="GS15" s="78">
        <f t="shared" si="167"/>
        <v>0</v>
      </c>
      <c r="GT15" s="78">
        <f t="shared" si="128"/>
        <v>0</v>
      </c>
      <c r="GU15" s="78">
        <f t="shared" si="129"/>
        <v>0</v>
      </c>
      <c r="GV15" s="79">
        <f t="shared" si="130"/>
        <v>0</v>
      </c>
      <c r="GW15" s="77">
        <f t="shared" si="131"/>
        <v>0</v>
      </c>
      <c r="GX15" s="79"/>
      <c r="GY15" s="78">
        <f t="shared" si="168"/>
        <v>0</v>
      </c>
      <c r="GZ15" s="78">
        <f t="shared" si="132"/>
        <v>0</v>
      </c>
      <c r="HA15" s="78">
        <f t="shared" si="133"/>
        <v>0</v>
      </c>
      <c r="HB15" s="79">
        <f t="shared" si="134"/>
        <v>0</v>
      </c>
      <c r="HC15" s="77">
        <f t="shared" si="135"/>
        <v>0</v>
      </c>
      <c r="HD15" s="79"/>
      <c r="HE15" s="79"/>
      <c r="HF15" s="79"/>
      <c r="HG15" s="79"/>
      <c r="HH15" s="79"/>
      <c r="HI15" s="79"/>
    </row>
    <row r="16" spans="3:217" ht="12.75">
      <c r="C16" s="80"/>
      <c r="D16" s="80"/>
      <c r="E16" s="80"/>
      <c r="F16" s="80"/>
      <c r="G16" s="80"/>
      <c r="H16" s="78"/>
      <c r="I16" s="78"/>
      <c r="J16" s="79"/>
      <c r="K16" s="78"/>
      <c r="L16" s="78"/>
      <c r="M16" s="80"/>
      <c r="N16" s="78"/>
      <c r="O16" s="78"/>
      <c r="P16" s="78"/>
      <c r="Q16" s="78"/>
      <c r="R16" s="78"/>
      <c r="S16" s="80"/>
      <c r="T16" s="78"/>
      <c r="U16" s="78"/>
      <c r="V16" s="78"/>
      <c r="W16" s="78"/>
      <c r="X16" s="78"/>
      <c r="Y16" s="80"/>
      <c r="Z16" s="78"/>
      <c r="AA16" s="79"/>
      <c r="AB16" s="78"/>
      <c r="AC16" s="78"/>
      <c r="AD16" s="78"/>
      <c r="AE16" s="80"/>
      <c r="AF16" s="78"/>
      <c r="AG16" s="78"/>
      <c r="AH16" s="78"/>
      <c r="AI16" s="78"/>
      <c r="AJ16" s="78"/>
      <c r="AK16" s="80"/>
      <c r="AL16" s="78"/>
      <c r="AM16" s="78"/>
      <c r="AN16" s="78"/>
      <c r="AO16" s="78"/>
      <c r="AP16" s="78"/>
      <c r="AQ16" s="80"/>
      <c r="AR16" s="78"/>
      <c r="AS16" s="78"/>
      <c r="AT16" s="78"/>
      <c r="AU16" s="78"/>
      <c r="AV16" s="78"/>
      <c r="AW16" s="80"/>
      <c r="AX16" s="78"/>
      <c r="AY16" s="78"/>
      <c r="AZ16" s="78"/>
      <c r="BA16" s="78"/>
      <c r="BB16" s="78"/>
      <c r="BC16" s="80"/>
      <c r="BD16" s="78"/>
      <c r="BE16" s="78"/>
      <c r="BF16" s="78"/>
      <c r="BG16" s="78"/>
      <c r="BH16" s="78"/>
      <c r="BI16" s="80"/>
      <c r="BJ16" s="78"/>
      <c r="BK16" s="78"/>
      <c r="BL16" s="78"/>
      <c r="BM16" s="78"/>
      <c r="BN16" s="78"/>
      <c r="BO16" s="80"/>
      <c r="BP16" s="78"/>
      <c r="BQ16" s="78"/>
      <c r="BR16" s="78"/>
      <c r="BS16" s="78"/>
      <c r="BT16" s="78"/>
      <c r="BU16" s="80"/>
      <c r="BV16" s="78"/>
      <c r="BW16" s="78"/>
      <c r="BX16" s="78"/>
      <c r="BY16" s="78"/>
      <c r="BZ16" s="78"/>
      <c r="CA16" s="80"/>
      <c r="CB16" s="78"/>
      <c r="CC16" s="78"/>
      <c r="CD16" s="78"/>
      <c r="CE16" s="78"/>
      <c r="CF16" s="78"/>
      <c r="CG16" s="80"/>
      <c r="CH16" s="78"/>
      <c r="CI16" s="78"/>
      <c r="CJ16" s="78"/>
      <c r="CK16" s="78"/>
      <c r="CL16" s="78"/>
      <c r="CM16" s="80"/>
      <c r="CN16" s="78"/>
      <c r="CO16" s="78"/>
      <c r="CP16" s="78"/>
      <c r="CQ16" s="78"/>
      <c r="CR16" s="78"/>
      <c r="CS16" s="80"/>
      <c r="CT16" s="78"/>
      <c r="CU16" s="78"/>
      <c r="CV16" s="78"/>
      <c r="CW16" s="78"/>
      <c r="CX16" s="78"/>
      <c r="CY16" s="80"/>
      <c r="CZ16" s="78"/>
      <c r="DA16" s="78"/>
      <c r="DB16" s="78"/>
      <c r="DC16" s="78"/>
      <c r="DD16" s="78"/>
      <c r="DE16" s="80"/>
      <c r="DF16" s="78"/>
      <c r="DG16" s="78"/>
      <c r="DH16" s="78"/>
      <c r="DI16" s="78"/>
      <c r="DJ16" s="78"/>
      <c r="DK16" s="80"/>
      <c r="DL16" s="78"/>
      <c r="DM16" s="78"/>
      <c r="DN16" s="78"/>
      <c r="DO16" s="78"/>
      <c r="DP16" s="78"/>
      <c r="DQ16" s="80"/>
      <c r="DR16" s="78"/>
      <c r="DS16" s="78"/>
      <c r="DT16" s="78"/>
      <c r="DU16" s="78"/>
      <c r="DV16" s="78"/>
      <c r="DW16" s="80"/>
      <c r="DX16" s="78"/>
      <c r="DY16" s="78"/>
      <c r="DZ16" s="78"/>
      <c r="EA16" s="78"/>
      <c r="EB16" s="78"/>
      <c r="EC16" s="80"/>
      <c r="ED16" s="78"/>
      <c r="EE16" s="78"/>
      <c r="EF16" s="78"/>
      <c r="EG16" s="78"/>
      <c r="EH16" s="78"/>
      <c r="EI16" s="80"/>
      <c r="EJ16" s="78"/>
      <c r="EK16" s="78"/>
      <c r="EL16" s="78"/>
      <c r="EM16" s="78"/>
      <c r="EN16" s="78"/>
      <c r="EO16" s="80"/>
      <c r="EP16" s="78"/>
      <c r="EQ16" s="78"/>
      <c r="ER16" s="78"/>
      <c r="ES16" s="78"/>
      <c r="ET16" s="78"/>
      <c r="EU16" s="80"/>
      <c r="EV16" s="78"/>
      <c r="EW16" s="78"/>
      <c r="EX16" s="78"/>
      <c r="EY16" s="78"/>
      <c r="EZ16" s="78"/>
      <c r="FA16" s="80"/>
      <c r="FB16" s="78"/>
      <c r="FC16" s="78"/>
      <c r="FD16" s="78"/>
      <c r="FE16" s="78"/>
      <c r="FF16" s="78"/>
      <c r="FG16" s="80"/>
      <c r="FH16" s="78"/>
      <c r="FI16" s="78"/>
      <c r="FJ16" s="78"/>
      <c r="FK16" s="78"/>
      <c r="FL16" s="78"/>
      <c r="FM16" s="80"/>
      <c r="FN16" s="78"/>
      <c r="FO16" s="78"/>
      <c r="FP16" s="78"/>
      <c r="FQ16" s="78"/>
      <c r="FR16" s="78"/>
      <c r="FS16" s="80"/>
      <c r="FT16" s="78"/>
      <c r="FU16" s="78"/>
      <c r="FV16" s="78"/>
      <c r="FW16" s="78"/>
      <c r="FX16" s="78"/>
      <c r="FY16" s="80"/>
      <c r="FZ16" s="78"/>
      <c r="GA16" s="78"/>
      <c r="GB16" s="78"/>
      <c r="GC16" s="78"/>
      <c r="GD16" s="78"/>
      <c r="GE16" s="80"/>
      <c r="GF16" s="78"/>
      <c r="GG16" s="78"/>
      <c r="GH16" s="78"/>
      <c r="GI16" s="78"/>
      <c r="GJ16" s="78"/>
      <c r="GK16" s="80"/>
      <c r="GL16" s="78"/>
      <c r="GM16" s="78"/>
      <c r="GN16" s="78"/>
      <c r="GO16" s="78"/>
      <c r="GP16" s="78"/>
      <c r="GQ16" s="80"/>
      <c r="GR16" s="78"/>
      <c r="GS16" s="78"/>
      <c r="GT16" s="78"/>
      <c r="GU16" s="78"/>
      <c r="GV16" s="78"/>
      <c r="GW16" s="80"/>
      <c r="GX16" s="78"/>
      <c r="GY16" s="78"/>
      <c r="GZ16" s="78"/>
      <c r="HA16" s="78"/>
      <c r="HB16" s="78"/>
      <c r="HC16" s="80"/>
      <c r="HD16" s="78"/>
      <c r="HE16" s="78"/>
      <c r="HF16" s="78"/>
      <c r="HG16" s="78"/>
      <c r="HH16" s="78"/>
      <c r="HI16" s="78"/>
    </row>
    <row r="17" spans="1:217" ht="13.5" thickBot="1">
      <c r="A17" s="31" t="s">
        <v>4</v>
      </c>
      <c r="C17" s="81">
        <f>SUM(C8:C16)</f>
        <v>6035000</v>
      </c>
      <c r="D17" s="81">
        <f>SUM(D8:D16)</f>
        <v>241400</v>
      </c>
      <c r="E17" s="81">
        <f>SUM(E8:E16)</f>
        <v>6276400</v>
      </c>
      <c r="F17" s="81">
        <f>SUM(F8:F16)</f>
        <v>220477</v>
      </c>
      <c r="G17" s="81">
        <f>SUM(G8:G16)</f>
        <v>13177</v>
      </c>
      <c r="H17" s="78"/>
      <c r="I17" s="81">
        <f>SUM(I8:I16)</f>
        <v>3275954.3065000004</v>
      </c>
      <c r="J17" s="81">
        <f>SUM(J8:J16)</f>
        <v>131038.17225999999</v>
      </c>
      <c r="K17" s="81">
        <f>SUM(K8:K16)</f>
        <v>3406992.478760001</v>
      </c>
      <c r="L17" s="81">
        <f>SUM(L8:L16)</f>
        <v>119680.6259543</v>
      </c>
      <c r="M17" s="81">
        <f>SUM(M8:M16)</f>
        <v>7152.8168842999985</v>
      </c>
      <c r="N17" s="78"/>
      <c r="O17" s="81">
        <f>SUM(O8:O16)</f>
        <v>399186.28199999995</v>
      </c>
      <c r="P17" s="81">
        <f>SUM(P8:P16)</f>
        <v>15967.451280000001</v>
      </c>
      <c r="Q17" s="81">
        <f>SUM(Q8:Q16)</f>
        <v>415153.73328</v>
      </c>
      <c r="R17" s="81">
        <f>SUM(R8:R16)</f>
        <v>14583.4952604</v>
      </c>
      <c r="S17" s="81">
        <f>SUM(S8:S16)</f>
        <v>871.5953004</v>
      </c>
      <c r="T17" s="78"/>
      <c r="U17" s="81">
        <f>SUM(U8:U16)</f>
        <v>6817.1359999999995</v>
      </c>
      <c r="V17" s="81">
        <f>SUM(V8:V16)</f>
        <v>272.68544</v>
      </c>
      <c r="W17" s="81">
        <f>SUM(W8:W16)</f>
        <v>7089.821439999999</v>
      </c>
      <c r="X17" s="81">
        <f>SUM(X8:X16)</f>
        <v>249.05081919999998</v>
      </c>
      <c r="Y17" s="81">
        <f>SUM(Y8:Y16)</f>
        <v>14.884739199999999</v>
      </c>
      <c r="Z17" s="78"/>
      <c r="AA17" s="81">
        <f>SUM(AA8:AA16)</f>
        <v>30774.879</v>
      </c>
      <c r="AB17" s="81">
        <f>SUM(AB8:AB16)</f>
        <v>1230.99516</v>
      </c>
      <c r="AC17" s="81">
        <f>SUM(AC8:AC16)</f>
        <v>32005.87416</v>
      </c>
      <c r="AD17" s="81">
        <f>SUM(AD8:AD16)</f>
        <v>1124.3004138</v>
      </c>
      <c r="AE17" s="81">
        <f>SUM(AE8:AE16)</f>
        <v>67.19479379999999</v>
      </c>
      <c r="AF17" s="78"/>
      <c r="AG17" s="81">
        <f>SUM(AG8:AG16)</f>
        <v>535181.9894999999</v>
      </c>
      <c r="AH17" s="81">
        <f>SUM(AH8:AH16)</f>
        <v>21407.279580000002</v>
      </c>
      <c r="AI17" s="81">
        <f>SUM(AI8:AI16)</f>
        <v>556589.26908</v>
      </c>
      <c r="AJ17" s="81">
        <f>SUM(AJ8:AJ16)</f>
        <v>19551.834216900003</v>
      </c>
      <c r="AK17" s="81">
        <f>SUM(AK8:AK16)</f>
        <v>1168.5324068999998</v>
      </c>
      <c r="AL17" s="78"/>
      <c r="AM17" s="81">
        <f>SUM(AM8:AM16)</f>
        <v>6482.797</v>
      </c>
      <c r="AN17" s="81">
        <f>SUM(AN8:AN16)</f>
        <v>259.31188000000003</v>
      </c>
      <c r="AO17" s="81">
        <f>SUM(AO8:AO16)</f>
        <v>6742.108879999999</v>
      </c>
      <c r="AP17" s="81">
        <f>SUM(AP8:AP16)</f>
        <v>236.8363934</v>
      </c>
      <c r="AQ17" s="81">
        <f>SUM(AQ8:AQ16)</f>
        <v>14.154733400000001</v>
      </c>
      <c r="AR17" s="78"/>
      <c r="AS17" s="81">
        <f>SUM(AS8:AS16)</f>
        <v>5467.1065</v>
      </c>
      <c r="AT17" s="81">
        <f>SUM(AT8:AT16)</f>
        <v>218.68426</v>
      </c>
      <c r="AU17" s="81">
        <f>SUM(AU8:AU16)</f>
        <v>5685.79076</v>
      </c>
      <c r="AV17" s="81">
        <f>SUM(AV8:AV16)</f>
        <v>199.7301143</v>
      </c>
      <c r="AW17" s="81">
        <f>SUM(AW8:AW16)</f>
        <v>11.9370443</v>
      </c>
      <c r="AX17" s="78"/>
      <c r="AY17" s="81">
        <f>SUM(AY8:AY16)</f>
        <v>224301.638</v>
      </c>
      <c r="AZ17" s="81">
        <f>SUM(AZ8:AZ16)</f>
        <v>8972.06552</v>
      </c>
      <c r="BA17" s="81">
        <f>SUM(BA8:BA16)</f>
        <v>233273.70352</v>
      </c>
      <c r="BB17" s="81">
        <f>SUM(BB8:BB16)</f>
        <v>8194.424563600001</v>
      </c>
      <c r="BC17" s="81">
        <f>SUM(BC8:BC16)</f>
        <v>489.7469236</v>
      </c>
      <c r="BD17" s="78"/>
      <c r="BE17" s="81">
        <f>SUM(BE8:BE16)</f>
        <v>460242.98049999995</v>
      </c>
      <c r="BF17" s="81">
        <f>SUM(BF8:BF16)</f>
        <v>18409.71922</v>
      </c>
      <c r="BG17" s="81">
        <f>SUM(BG8:BG16)</f>
        <v>478652.6997199999</v>
      </c>
      <c r="BH17" s="81">
        <f>SUM(BH8:BH16)</f>
        <v>16814.083117100003</v>
      </c>
      <c r="BI17" s="81">
        <f>SUM(BI8:BI16)</f>
        <v>1004.9083271000001</v>
      </c>
      <c r="BJ17" s="78"/>
      <c r="BK17" s="81">
        <f>SUM(BK8:BK16)</f>
        <v>5313.213999999999</v>
      </c>
      <c r="BL17" s="81">
        <f>SUM(BL8:BL16)</f>
        <v>212.52856</v>
      </c>
      <c r="BM17" s="81">
        <f>SUM(BM8:BM16)</f>
        <v>5525.74256</v>
      </c>
      <c r="BN17" s="81">
        <f>SUM(BN8:BN16)</f>
        <v>194.1079508</v>
      </c>
      <c r="BO17" s="81">
        <f>SUM(BO8:BO16)</f>
        <v>11.6010308</v>
      </c>
      <c r="BP17" s="78"/>
      <c r="BQ17" s="81">
        <f>SUM(BQ8:BQ16)</f>
        <v>3569.0989999999997</v>
      </c>
      <c r="BR17" s="81">
        <f>SUM(BR8:BR16)</f>
        <v>142.76396</v>
      </c>
      <c r="BS17" s="81">
        <f>SUM(BS8:BS16)</f>
        <v>3711.86296</v>
      </c>
      <c r="BT17" s="81">
        <f>SUM(BT8:BT16)</f>
        <v>130.39009779999998</v>
      </c>
      <c r="BU17" s="81">
        <f>SUM(BU8:BU16)</f>
        <v>7.792877799999999</v>
      </c>
      <c r="BV17" s="78"/>
      <c r="BW17" s="81">
        <f>SUM(BW8:BW16)</f>
        <v>-531.6835</v>
      </c>
      <c r="BX17" s="81">
        <f>SUM(BX8:BX16)</f>
        <v>-21.26734</v>
      </c>
      <c r="BY17" s="81">
        <f>SUM(BY8:BY16)</f>
        <v>-552.9508400000001</v>
      </c>
      <c r="BZ17" s="81">
        <f>SUM(BZ8:BZ16)</f>
        <v>-19.4240237</v>
      </c>
      <c r="CA17" s="81">
        <f>SUM(CA8:CA16)</f>
        <v>-1.1608937</v>
      </c>
      <c r="CB17" s="80"/>
      <c r="CC17" s="81">
        <f>SUM(CC8:CC16)</f>
        <v>-346.409</v>
      </c>
      <c r="CD17" s="81">
        <f>SUM(CD8:CD16)</f>
        <v>-13.85636</v>
      </c>
      <c r="CE17" s="81">
        <f>SUM(CE8:CE16)</f>
        <v>-360.26536</v>
      </c>
      <c r="CF17" s="81">
        <f>SUM(CF8:CF16)</f>
        <v>-12.655379799999999</v>
      </c>
      <c r="CG17" s="81">
        <f>SUM(CG8:CG16)</f>
        <v>-0.7563598</v>
      </c>
      <c r="CH17" s="78"/>
      <c r="CI17" s="81">
        <f>SUM(CI8:CI16)</f>
        <v>12882.311000000002</v>
      </c>
      <c r="CJ17" s="81">
        <f>SUM(CJ8:CJ16)</f>
        <v>515.29244</v>
      </c>
      <c r="CK17" s="81">
        <f>SUM(CK8:CK16)</f>
        <v>13397.603440000003</v>
      </c>
      <c r="CL17" s="81">
        <f>SUM(CL8:CL16)</f>
        <v>470.6302042</v>
      </c>
      <c r="CM17" s="81">
        <f>SUM(CM8:CM16)</f>
        <v>28.1276242</v>
      </c>
      <c r="CN17" s="78"/>
      <c r="CO17" s="81">
        <f>SUM(CO8:CO16)</f>
        <v>79221.445</v>
      </c>
      <c r="CP17" s="81">
        <f>SUM(CP8:CP16)</f>
        <v>3168.8577999999998</v>
      </c>
      <c r="CQ17" s="81">
        <f>SUM(CQ8:CQ16)</f>
        <v>82390.3028</v>
      </c>
      <c r="CR17" s="81">
        <f>SUM(CR8:CR16)</f>
        <v>2894.2015789999996</v>
      </c>
      <c r="CS17" s="81">
        <f>SUM(CS8:CS16)</f>
        <v>172.974479</v>
      </c>
      <c r="CT17" s="78"/>
      <c r="CU17" s="81">
        <f>SUM(CU8:CU16)</f>
        <v>532197.0785000001</v>
      </c>
      <c r="CV17" s="81">
        <f>SUM(CV8:CV16)</f>
        <v>21287.883139999998</v>
      </c>
      <c r="CW17" s="81">
        <f>SUM(CW8:CW16)</f>
        <v>553484.9616400001</v>
      </c>
      <c r="CX17" s="81">
        <f>SUM(CX8:CX16)</f>
        <v>19442.786292700002</v>
      </c>
      <c r="CY17" s="81">
        <f>SUM(CY8:CY16)</f>
        <v>1162.0150627</v>
      </c>
      <c r="CZ17" s="78"/>
      <c r="DA17" s="81">
        <f>SUM(DA8:DA16)</f>
        <v>76784.51199999999</v>
      </c>
      <c r="DB17" s="81">
        <f>SUM(DB8:DB16)</f>
        <v>3071.3804799999994</v>
      </c>
      <c r="DC17" s="81">
        <f>SUM(DC8:DC16)</f>
        <v>79855.89247999998</v>
      </c>
      <c r="DD17" s="81">
        <f>SUM(DD8:DD16)</f>
        <v>2805.1729664</v>
      </c>
      <c r="DE17" s="81">
        <f>SUM(DE8:DE16)</f>
        <v>167.6536064</v>
      </c>
      <c r="DF17" s="78"/>
      <c r="DG17" s="81">
        <f>SUM(DG8:DG16)</f>
        <v>156893.10199999998</v>
      </c>
      <c r="DH17" s="81">
        <f>SUM(DH8:DH16)</f>
        <v>6275.724080000001</v>
      </c>
      <c r="DI17" s="81">
        <f>SUM(DI8:DI16)</f>
        <v>163168.82608</v>
      </c>
      <c r="DJ17" s="81">
        <f>SUM(DJ8:DJ16)</f>
        <v>5731.7846644</v>
      </c>
      <c r="DK17" s="81">
        <f>SUM(DK8:DK16)</f>
        <v>342.5651044</v>
      </c>
      <c r="DL17" s="78"/>
      <c r="DM17" s="81">
        <f>SUM(DM8:DM16)</f>
        <v>25444.767000000003</v>
      </c>
      <c r="DN17" s="81">
        <f>SUM(DN8:DN16)</f>
        <v>1017.79068</v>
      </c>
      <c r="DO17" s="81">
        <f>SUM(DO8:DO16)</f>
        <v>26462.55768</v>
      </c>
      <c r="DP17" s="81">
        <f>SUM(DP8:DP16)</f>
        <v>929.5751273999999</v>
      </c>
      <c r="DQ17" s="81">
        <f>SUM(DQ8:DQ16)</f>
        <v>55.5568674</v>
      </c>
      <c r="DR17" s="78"/>
      <c r="DS17" s="81">
        <f>SUM(DS8:DS16)</f>
        <v>130526.18699999999</v>
      </c>
      <c r="DT17" s="81">
        <f>SUM(DT8:DT16)</f>
        <v>5221.047479999999</v>
      </c>
      <c r="DU17" s="81">
        <f>SUM(DU8:DU16)</f>
        <v>135747.23447999998</v>
      </c>
      <c r="DV17" s="81">
        <f>SUM(DV8:DV16)</f>
        <v>4768.5206514</v>
      </c>
      <c r="DW17" s="81">
        <f>SUM(DW8:DW16)</f>
        <v>284.99479140000005</v>
      </c>
      <c r="DX17" s="78"/>
      <c r="DY17" s="81">
        <f>SUM(DY8:DY16)</f>
        <v>1166.5655</v>
      </c>
      <c r="DZ17" s="81">
        <f>SUM(DZ8:DZ16)</f>
        <v>46.66262</v>
      </c>
      <c r="EA17" s="81">
        <f>SUM(EA8:EA16)</f>
        <v>1213.22812</v>
      </c>
      <c r="EB17" s="81">
        <f>SUM(EB8:EB16)</f>
        <v>42.6182041</v>
      </c>
      <c r="EC17" s="81">
        <f>SUM(EC8:EC16)</f>
        <v>2.5471141</v>
      </c>
      <c r="ED17" s="78"/>
      <c r="EE17" s="81">
        <f>SUM(EE8:EE16)</f>
        <v>1535.3039999999999</v>
      </c>
      <c r="EF17" s="81">
        <f>SUM(EF8:EF16)</f>
        <v>61.41216</v>
      </c>
      <c r="EG17" s="81">
        <f>SUM(EG8:EG16)</f>
        <v>1596.7161599999997</v>
      </c>
      <c r="EH17" s="81">
        <f>SUM(EH8:EH16)</f>
        <v>56.089348799999996</v>
      </c>
      <c r="EI17" s="81">
        <f>SUM(EI8:EI16)</f>
        <v>3.3522288</v>
      </c>
      <c r="EJ17" s="78"/>
      <c r="EK17" s="81">
        <f>SUM(EK8:EK16)</f>
        <v>77360.8545</v>
      </c>
      <c r="EL17" s="81">
        <f>SUM(EL8:EL16)</f>
        <v>3094.43418</v>
      </c>
      <c r="EM17" s="81">
        <f>SUM(EM8:EM16)</f>
        <v>80455.28868000001</v>
      </c>
      <c r="EN17" s="81">
        <f>SUM(EN8:EN16)</f>
        <v>2826.2285199000003</v>
      </c>
      <c r="EO17" s="81">
        <f>SUM(EO8:EO16)</f>
        <v>168.9120099</v>
      </c>
      <c r="EP17" s="78"/>
      <c r="EQ17" s="81">
        <f>SUM(EQ8:EQ16)</f>
        <v>1472.54</v>
      </c>
      <c r="ER17" s="81">
        <f>SUM(ER8:ER16)</f>
        <v>58.90160000000001</v>
      </c>
      <c r="ES17" s="81">
        <f>SUM(ES8:ES16)</f>
        <v>1531.4416</v>
      </c>
      <c r="ET17" s="81">
        <f>SUM(ET8:ET16)</f>
        <v>53.79638799999999</v>
      </c>
      <c r="EU17" s="81">
        <f>SUM(EU8:EU16)</f>
        <v>3.215188</v>
      </c>
      <c r="EV17" s="78"/>
      <c r="EW17" s="81">
        <f>SUM(EW8:EW16)</f>
        <v>22003.006500000003</v>
      </c>
      <c r="EX17" s="81">
        <f>SUM(EX8:EX16)</f>
        <v>880.1202600000001</v>
      </c>
      <c r="EY17" s="81">
        <f>SUM(EY8:EY16)</f>
        <v>22883.126760000006</v>
      </c>
      <c r="EZ17" s="81">
        <f>SUM(EZ8:EZ16)</f>
        <v>803.8370943</v>
      </c>
      <c r="FA17" s="81">
        <f>SUM(FA8:FA16)</f>
        <v>48.0420243</v>
      </c>
      <c r="FB17" s="78"/>
      <c r="FC17" s="81">
        <f>SUM(FC8:FC16)</f>
        <v>15284.8445</v>
      </c>
      <c r="FD17" s="81">
        <f>SUM(FD8:FD16)</f>
        <v>611.39378</v>
      </c>
      <c r="FE17" s="81">
        <f>SUM(FE8:FE16)</f>
        <v>15896.238279999998</v>
      </c>
      <c r="FF17" s="81">
        <f>SUM(FF8:FF16)</f>
        <v>558.4020979</v>
      </c>
      <c r="FG17" s="81">
        <f>SUM(FG8:FG16)</f>
        <v>33.3733879</v>
      </c>
      <c r="FH17" s="78"/>
      <c r="FI17" s="81">
        <f>SUM(FI8:FI16)</f>
        <v>5966.804499999999</v>
      </c>
      <c r="FJ17" s="81">
        <f>SUM(FJ8:FJ16)</f>
        <v>238.67218</v>
      </c>
      <c r="FK17" s="81">
        <f>SUM(FK8:FK16)</f>
        <v>6205.476679999999</v>
      </c>
      <c r="FL17" s="81">
        <f>SUM(FL8:FL16)</f>
        <v>217.9856099</v>
      </c>
      <c r="FM17" s="81">
        <f>SUM(FM8:FM16)</f>
        <v>13.028099899999999</v>
      </c>
      <c r="FN17" s="78"/>
      <c r="FO17" s="81">
        <f>SUM(FO8:FO16)</f>
        <v>67055.4885</v>
      </c>
      <c r="FP17" s="81">
        <f>SUM(FP8:FP16)</f>
        <v>2682.21954</v>
      </c>
      <c r="FQ17" s="81">
        <f>SUM(FQ8:FQ16)</f>
        <v>69737.70804</v>
      </c>
      <c r="FR17" s="81">
        <f>SUM(FR8:FR16)</f>
        <v>2449.7419947</v>
      </c>
      <c r="FS17" s="81">
        <f>SUM(FS8:FS16)</f>
        <v>146.41096470000002</v>
      </c>
      <c r="FT17" s="78"/>
      <c r="FU17" s="81">
        <f>SUM(FU8:FU16)</f>
        <v>151129.67700000003</v>
      </c>
      <c r="FV17" s="81">
        <f>SUM(FV8:FV16)</f>
        <v>6045.18708</v>
      </c>
      <c r="FW17" s="81">
        <f>SUM(FW8:FW16)</f>
        <v>157174.86408000003</v>
      </c>
      <c r="FX17" s="81">
        <f>SUM(FX8:FX16)</f>
        <v>5521.229129400001</v>
      </c>
      <c r="FY17" s="81">
        <f>SUM(FY8:FY16)</f>
        <v>329.9810694</v>
      </c>
      <c r="FZ17" s="78"/>
      <c r="GA17" s="81">
        <f>SUM(GA8:GA16)</f>
        <v>19286.0495</v>
      </c>
      <c r="GB17" s="81">
        <f>SUM(GB8:GB16)</f>
        <v>771.4419800000001</v>
      </c>
      <c r="GC17" s="81">
        <f>SUM(GC8:GC16)</f>
        <v>20057.491480000004</v>
      </c>
      <c r="GD17" s="81">
        <f>SUM(GD8:GD16)</f>
        <v>704.5783489</v>
      </c>
      <c r="GE17" s="81">
        <f>SUM(GE8:GE16)</f>
        <v>42.109738899999996</v>
      </c>
      <c r="GF17" s="78"/>
      <c r="GG17" s="81">
        <f>SUM(GG8:GG16)</f>
        <v>30626.418</v>
      </c>
      <c r="GH17" s="81">
        <f>SUM(GH8:GH16)</f>
        <v>1225.05672</v>
      </c>
      <c r="GI17" s="81">
        <f>SUM(GI8:GI16)</f>
        <v>31851.474720000002</v>
      </c>
      <c r="GJ17" s="81">
        <f>SUM(GJ8:GJ16)</f>
        <v>1118.8766796</v>
      </c>
      <c r="GK17" s="81">
        <f>SUM(GK8:GK16)</f>
        <v>66.8706396</v>
      </c>
      <c r="GL17" s="78"/>
      <c r="GM17" s="81">
        <f>SUM(GM8:GM16)</f>
        <v>141936.5615</v>
      </c>
      <c r="GN17" s="81">
        <f>SUM(GN8:GN16)</f>
        <v>5677.462460000001</v>
      </c>
      <c r="GO17" s="81">
        <f>SUM(GO8:GO16)</f>
        <v>147614.02396000002</v>
      </c>
      <c r="GP17" s="81">
        <f>SUM(GP8:GP16)</f>
        <v>5185.3765153</v>
      </c>
      <c r="GQ17" s="81">
        <f>SUM(GQ8:GQ16)</f>
        <v>309.9085453</v>
      </c>
      <c r="GR17" s="78"/>
      <c r="GS17" s="81">
        <f>SUM(GS8:GS16)</f>
        <v>7532.887</v>
      </c>
      <c r="GT17" s="81">
        <f>SUM(GT8:GT16)</f>
        <v>301.31548</v>
      </c>
      <c r="GU17" s="81">
        <f>SUM(GU8:GU16)</f>
        <v>7834.202479999999</v>
      </c>
      <c r="GV17" s="81">
        <f>SUM(GV8:GV16)</f>
        <v>275.1993914</v>
      </c>
      <c r="GW17" s="81">
        <f>SUM(GW8:GW16)</f>
        <v>16.447531400000003</v>
      </c>
      <c r="GX17" s="78"/>
      <c r="GY17" s="81">
        <f>SUM(GY8:GY16)</f>
        <v>43188.874</v>
      </c>
      <c r="GZ17" s="81">
        <f>SUM(GZ8:GZ16)</f>
        <v>1727.5549600000002</v>
      </c>
      <c r="HA17" s="81">
        <f>SUM(HA8:HA16)</f>
        <v>44916.42896</v>
      </c>
      <c r="HB17" s="81">
        <f>SUM(HB8:HB16)</f>
        <v>1577.8216028000002</v>
      </c>
      <c r="HC17" s="81">
        <f>SUM(HC8:HC16)</f>
        <v>94.2998828</v>
      </c>
      <c r="HD17" s="78"/>
      <c r="HE17" s="78"/>
      <c r="HF17" s="78"/>
      <c r="HG17" s="78"/>
      <c r="HH17" s="78"/>
      <c r="HI17" s="78"/>
    </row>
    <row r="18" ht="13.5" thickTop="1"/>
    <row r="31" spans="1:212" ht="12.75">
      <c r="A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</row>
    <row r="32" spans="1:212" ht="12.75">
      <c r="A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</sheetData>
  <sheetProtection/>
  <printOptions/>
  <pageMargins left="0.75" right="0.75" top="1" bottom="1" header="0.3" footer="0.3"/>
  <pageSetup orientation="landscape" scale="71"/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M57"/>
  <sheetViews>
    <sheetView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0" sqref="E10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3" customWidth="1"/>
    <col min="7" max="7" width="16.28125" style="33" customWidth="1"/>
    <col min="8" max="8" width="3.7109375" style="33" customWidth="1"/>
    <col min="9" max="12" width="13.7109375" style="33" customWidth="1"/>
    <col min="13" max="13" width="16.00390625" style="33" customWidth="1"/>
    <col min="14" max="14" width="3.7109375" style="33" customWidth="1"/>
    <col min="15" max="18" width="13.7109375" style="0" customWidth="1"/>
    <col min="19" max="19" width="15.7109375" style="0" customWidth="1"/>
    <col min="20" max="20" width="3.7109375" style="33" customWidth="1"/>
    <col min="21" max="24" width="13.7109375" style="0" customWidth="1"/>
    <col min="25" max="25" width="15.00390625" style="0" customWidth="1"/>
    <col min="26" max="26" width="3.7109375" style="0" customWidth="1"/>
    <col min="27" max="31" width="13.7109375" style="0" customWidth="1"/>
    <col min="32" max="32" width="3.7109375" style="0" customWidth="1"/>
    <col min="33" max="37" width="13.7109375" style="0" customWidth="1"/>
    <col min="38" max="38" width="3.7109375" style="0" customWidth="1"/>
    <col min="39" max="43" width="13.7109375" style="0" customWidth="1"/>
    <col min="44" max="44" width="3.7109375" style="20" customWidth="1"/>
    <col min="45" max="49" width="13.7109375" style="20" customWidth="1"/>
    <col min="50" max="50" width="3.7109375" style="20" customWidth="1"/>
    <col min="51" max="55" width="13.7109375" style="20" customWidth="1"/>
    <col min="56" max="56" width="3.7109375" style="20" customWidth="1"/>
    <col min="57" max="61" width="13.7109375" style="20" customWidth="1"/>
    <col min="62" max="62" width="3.7109375" style="20" customWidth="1"/>
    <col min="63" max="67" width="13.7109375" style="20" customWidth="1"/>
    <col min="68" max="68" width="3.7109375" style="20" customWidth="1"/>
    <col min="69" max="73" width="13.7109375" style="20" customWidth="1"/>
    <col min="74" max="74" width="3.7109375" style="20" customWidth="1"/>
    <col min="75" max="79" width="13.7109375" style="20" customWidth="1"/>
    <col min="80" max="80" width="3.7109375" style="20" customWidth="1"/>
    <col min="81" max="85" width="13.7109375" style="20" customWidth="1"/>
    <col min="86" max="86" width="3.7109375" style="20" customWidth="1"/>
    <col min="87" max="91" width="13.7109375" style="20" customWidth="1"/>
    <col min="92" max="92" width="3.7109375" style="20" customWidth="1"/>
    <col min="93" max="97" width="13.7109375" style="20" customWidth="1"/>
    <col min="98" max="98" width="3.7109375" style="20" customWidth="1"/>
    <col min="99" max="103" width="13.7109375" style="20" customWidth="1"/>
    <col min="104" max="104" width="3.7109375" style="20" customWidth="1"/>
    <col min="105" max="109" width="13.7109375" style="20" customWidth="1"/>
    <col min="110" max="110" width="3.7109375" style="20" customWidth="1"/>
    <col min="111" max="115" width="13.7109375" style="20" customWidth="1"/>
    <col min="116" max="116" width="3.7109375" style="20" customWidth="1"/>
    <col min="117" max="121" width="13.7109375" style="91" customWidth="1"/>
    <col min="122" max="122" width="3.7109375" style="20" customWidth="1"/>
    <col min="123" max="127" width="13.7109375" style="20" customWidth="1"/>
    <col min="128" max="128" width="3.7109375" style="20" customWidth="1"/>
    <col min="129" max="133" width="13.7109375" style="20" customWidth="1"/>
    <col min="134" max="134" width="3.7109375" style="20" customWidth="1"/>
    <col min="135" max="139" width="13.7109375" style="20" customWidth="1"/>
    <col min="140" max="140" width="3.7109375" style="20" customWidth="1"/>
    <col min="141" max="145" width="13.7109375" style="20" customWidth="1"/>
    <col min="146" max="146" width="3.7109375" style="20" customWidth="1"/>
    <col min="147" max="151" width="13.7109375" style="20" customWidth="1"/>
    <col min="152" max="152" width="3.7109375" style="20" customWidth="1"/>
    <col min="153" max="157" width="13.7109375" style="20" customWidth="1"/>
    <col min="158" max="158" width="3.7109375" style="20" customWidth="1"/>
    <col min="159" max="163" width="13.7109375" style="20" customWidth="1"/>
    <col min="164" max="164" width="3.7109375" style="20" customWidth="1"/>
    <col min="165" max="168" width="13.7109375" style="20" customWidth="1"/>
  </cols>
  <sheetData>
    <row r="1" spans="1:168" ht="12.75">
      <c r="A1" s="44"/>
      <c r="B1" s="30"/>
      <c r="C1" s="43"/>
      <c r="D1" s="45"/>
      <c r="E1" s="45" t="s">
        <v>171</v>
      </c>
      <c r="G1" s="45"/>
      <c r="H1" s="45"/>
      <c r="I1" s="36"/>
      <c r="K1" s="45"/>
      <c r="O1" s="45" t="s">
        <v>171</v>
      </c>
      <c r="P1" s="33"/>
      <c r="Q1" s="33"/>
      <c r="R1" s="33"/>
      <c r="S1" s="33"/>
      <c r="U1" s="33"/>
      <c r="V1" s="33"/>
      <c r="W1" s="45"/>
      <c r="X1" s="33"/>
      <c r="Y1" s="33"/>
      <c r="Z1" s="33"/>
      <c r="AA1" s="45" t="s">
        <v>171</v>
      </c>
      <c r="AB1" s="33"/>
      <c r="AC1" s="33"/>
      <c r="AD1" s="33"/>
      <c r="AH1" s="33"/>
      <c r="AI1" s="45"/>
      <c r="AM1" s="45" t="s">
        <v>171</v>
      </c>
      <c r="AR1"/>
      <c r="AS1"/>
      <c r="AT1"/>
      <c r="AU1" s="45"/>
      <c r="AV1"/>
      <c r="AW1"/>
      <c r="AY1" s="45" t="s">
        <v>171</v>
      </c>
      <c r="BG1" s="45"/>
      <c r="BK1" s="45" t="s">
        <v>171</v>
      </c>
      <c r="BS1" s="45"/>
      <c r="BW1" s="45" t="s">
        <v>171</v>
      </c>
      <c r="CE1" s="45"/>
      <c r="CI1" s="45" t="s">
        <v>171</v>
      </c>
      <c r="CQ1" s="45"/>
      <c r="CU1" s="45" t="s">
        <v>171</v>
      </c>
      <c r="DC1" s="45"/>
      <c r="DG1" s="45" t="s">
        <v>171</v>
      </c>
      <c r="DM1" s="20"/>
      <c r="DN1" s="20"/>
      <c r="DO1" s="45"/>
      <c r="DP1" s="20"/>
      <c r="DQ1" s="20"/>
      <c r="DS1" s="45" t="s">
        <v>171</v>
      </c>
      <c r="EA1" s="45"/>
      <c r="ED1" s="45" t="s">
        <v>171</v>
      </c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</row>
    <row r="2" spans="1:168" ht="12.75">
      <c r="A2" s="44"/>
      <c r="B2" s="30"/>
      <c r="C2" s="43"/>
      <c r="D2" s="45"/>
      <c r="E2" s="43" t="s">
        <v>178</v>
      </c>
      <c r="G2" s="45"/>
      <c r="H2" s="45"/>
      <c r="I2" s="36"/>
      <c r="K2" s="45"/>
      <c r="O2" s="43" t="str">
        <f>E2</f>
        <v>Distribution of Debt Services after 2011B Bond Issue</v>
      </c>
      <c r="P2" s="33"/>
      <c r="Q2" s="33"/>
      <c r="R2" s="33"/>
      <c r="S2" s="33"/>
      <c r="U2" s="33"/>
      <c r="V2" s="33"/>
      <c r="W2" s="45"/>
      <c r="X2" s="33"/>
      <c r="Y2" s="33"/>
      <c r="Z2" s="33"/>
      <c r="AA2" s="43" t="str">
        <f>O2</f>
        <v>Distribution of Debt Services after 2011B Bond Issue</v>
      </c>
      <c r="AB2" s="33"/>
      <c r="AC2" s="33"/>
      <c r="AD2" s="33"/>
      <c r="AH2" s="33"/>
      <c r="AI2" s="45"/>
      <c r="AM2" s="43" t="str">
        <f>AA2</f>
        <v>Distribution of Debt Services after 2011B Bond Issue</v>
      </c>
      <c r="AR2"/>
      <c r="AS2"/>
      <c r="AT2"/>
      <c r="AU2" s="45"/>
      <c r="AV2"/>
      <c r="AW2"/>
      <c r="AY2" s="43" t="str">
        <f>AM2</f>
        <v>Distribution of Debt Services after 2011B Bond Issue</v>
      </c>
      <c r="BG2" s="45"/>
      <c r="BK2" s="43" t="str">
        <f>AY2</f>
        <v>Distribution of Debt Services after 2011B Bond Issue</v>
      </c>
      <c r="BS2" s="45"/>
      <c r="BW2" s="43" t="str">
        <f>BK2</f>
        <v>Distribution of Debt Services after 2011B Bond Issue</v>
      </c>
      <c r="CE2" s="45"/>
      <c r="CI2" s="43" t="str">
        <f>BW2</f>
        <v>Distribution of Debt Services after 2011B Bond Issue</v>
      </c>
      <c r="CQ2" s="45"/>
      <c r="CU2" s="43" t="str">
        <f>CI2</f>
        <v>Distribution of Debt Services after 2011B Bond Issue</v>
      </c>
      <c r="DC2" s="45"/>
      <c r="DG2" s="43" t="str">
        <f>CU2</f>
        <v>Distribution of Debt Services after 2011B Bond Issue</v>
      </c>
      <c r="DM2" s="20"/>
      <c r="DN2" s="20"/>
      <c r="DO2" s="45"/>
      <c r="DP2" s="20"/>
      <c r="DQ2" s="20"/>
      <c r="DS2" s="43" t="str">
        <f>DG2</f>
        <v>Distribution of Debt Services after 2011B Bond Issue</v>
      </c>
      <c r="EA2" s="45"/>
      <c r="ED2" s="43" t="str">
        <f>DS2</f>
        <v>Distribution of Debt Services after 2011B Bond Issue</v>
      </c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</row>
    <row r="3" spans="1:168" ht="12.75">
      <c r="A3" s="44"/>
      <c r="B3" s="30"/>
      <c r="C3" s="43"/>
      <c r="D3" s="43"/>
      <c r="E3" s="45" t="s">
        <v>172</v>
      </c>
      <c r="G3" s="43"/>
      <c r="H3" s="43"/>
      <c r="I3" s="36"/>
      <c r="K3" s="45"/>
      <c r="O3" s="45" t="s">
        <v>172</v>
      </c>
      <c r="P3" s="33"/>
      <c r="Q3" s="33"/>
      <c r="R3" s="33"/>
      <c r="S3" s="33"/>
      <c r="U3" s="33"/>
      <c r="V3" s="33"/>
      <c r="W3" s="45"/>
      <c r="X3" s="33"/>
      <c r="Y3" s="33"/>
      <c r="Z3" s="33"/>
      <c r="AA3" s="45" t="s">
        <v>172</v>
      </c>
      <c r="AB3" s="33"/>
      <c r="AC3" s="33"/>
      <c r="AD3" s="33"/>
      <c r="AF3" s="12"/>
      <c r="AH3" s="33"/>
      <c r="AI3" s="45"/>
      <c r="AM3" s="45" t="s">
        <v>172</v>
      </c>
      <c r="AR3"/>
      <c r="AS3"/>
      <c r="AT3"/>
      <c r="AU3" s="45"/>
      <c r="AV3"/>
      <c r="AW3"/>
      <c r="AY3" s="45" t="s">
        <v>172</v>
      </c>
      <c r="BG3" s="45"/>
      <c r="BK3" s="45" t="s">
        <v>172</v>
      </c>
      <c r="BS3" s="45"/>
      <c r="BW3" s="45" t="s">
        <v>172</v>
      </c>
      <c r="CE3" s="45"/>
      <c r="CI3" s="45" t="s">
        <v>172</v>
      </c>
      <c r="CQ3" s="45"/>
      <c r="CU3" s="45" t="s">
        <v>172</v>
      </c>
      <c r="DC3" s="45"/>
      <c r="DG3" s="45" t="s">
        <v>172</v>
      </c>
      <c r="DM3" s="20"/>
      <c r="DN3" s="20"/>
      <c r="DO3" s="45"/>
      <c r="DP3" s="20"/>
      <c r="DQ3" s="20"/>
      <c r="DS3" s="45" t="s">
        <v>172</v>
      </c>
      <c r="EA3" s="45"/>
      <c r="ED3" s="45" t="s">
        <v>172</v>
      </c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</row>
    <row r="4" spans="1:165" ht="12.75">
      <c r="A4" s="44"/>
      <c r="B4" s="30"/>
      <c r="FI4" s="21"/>
    </row>
    <row r="5" spans="1:169" ht="12.75">
      <c r="A5" s="22" t="s">
        <v>9</v>
      </c>
      <c r="C5" s="70" t="s">
        <v>179</v>
      </c>
      <c r="D5" s="71"/>
      <c r="E5" s="72"/>
      <c r="F5" s="41"/>
      <c r="G5" s="41"/>
      <c r="I5" s="37" t="s">
        <v>85</v>
      </c>
      <c r="J5" s="38"/>
      <c r="K5" s="39"/>
      <c r="L5" s="41"/>
      <c r="M5" s="41"/>
      <c r="O5" s="37" t="s">
        <v>116</v>
      </c>
      <c r="P5" s="38"/>
      <c r="Q5" s="39"/>
      <c r="R5" s="41"/>
      <c r="S5" s="41"/>
      <c r="U5" s="23" t="s">
        <v>117</v>
      </c>
      <c r="V5" s="24"/>
      <c r="W5" s="25"/>
      <c r="X5" s="41"/>
      <c r="Y5" s="41"/>
      <c r="AA5" s="23" t="s">
        <v>166</v>
      </c>
      <c r="AB5" s="24"/>
      <c r="AC5" s="25"/>
      <c r="AD5" s="41"/>
      <c r="AE5" s="41"/>
      <c r="AG5" s="23" t="s">
        <v>118</v>
      </c>
      <c r="AH5" s="24"/>
      <c r="AI5" s="25"/>
      <c r="AJ5" s="41"/>
      <c r="AK5" s="41"/>
      <c r="AM5" s="23" t="s">
        <v>119</v>
      </c>
      <c r="AN5" s="24"/>
      <c r="AO5" s="25"/>
      <c r="AP5" s="41"/>
      <c r="AQ5" s="41"/>
      <c r="AS5" s="23" t="s">
        <v>120</v>
      </c>
      <c r="AT5" s="24"/>
      <c r="AU5" s="25"/>
      <c r="AV5" s="41"/>
      <c r="AW5" s="41"/>
      <c r="AY5" s="23" t="s">
        <v>121</v>
      </c>
      <c r="AZ5" s="24"/>
      <c r="BA5" s="25"/>
      <c r="BB5" s="41"/>
      <c r="BC5" s="41"/>
      <c r="BE5" s="23" t="s">
        <v>122</v>
      </c>
      <c r="BF5" s="24"/>
      <c r="BG5" s="25"/>
      <c r="BH5" s="41"/>
      <c r="BI5" s="41"/>
      <c r="BK5" s="23" t="s">
        <v>123</v>
      </c>
      <c r="BL5" s="24"/>
      <c r="BM5" s="25"/>
      <c r="BN5" s="41"/>
      <c r="BO5" s="41"/>
      <c r="BQ5" s="23" t="s">
        <v>124</v>
      </c>
      <c r="BR5" s="24"/>
      <c r="BS5" s="25"/>
      <c r="BT5" s="41"/>
      <c r="BU5" s="41"/>
      <c r="BW5" s="23" t="s">
        <v>125</v>
      </c>
      <c r="BX5" s="24"/>
      <c r="BY5" s="25"/>
      <c r="BZ5" s="41"/>
      <c r="CA5" s="41"/>
      <c r="CC5" s="23" t="s">
        <v>126</v>
      </c>
      <c r="CD5" s="24"/>
      <c r="CE5" s="25"/>
      <c r="CF5" s="41"/>
      <c r="CG5" s="41"/>
      <c r="CI5" s="23" t="s">
        <v>127</v>
      </c>
      <c r="CJ5" s="24"/>
      <c r="CK5" s="25"/>
      <c r="CL5" s="41"/>
      <c r="CM5" s="41"/>
      <c r="CO5" s="23" t="s">
        <v>128</v>
      </c>
      <c r="CP5" s="24"/>
      <c r="CQ5" s="25"/>
      <c r="CR5" s="41"/>
      <c r="CS5" s="41"/>
      <c r="CU5" s="23" t="s">
        <v>129</v>
      </c>
      <c r="CV5" s="24"/>
      <c r="CW5" s="25"/>
      <c r="CX5" s="41"/>
      <c r="CY5" s="41"/>
      <c r="DA5" s="23" t="s">
        <v>130</v>
      </c>
      <c r="DB5" s="24"/>
      <c r="DC5" s="25"/>
      <c r="DD5" s="41"/>
      <c r="DE5" s="41"/>
      <c r="DG5" s="23" t="s">
        <v>131</v>
      </c>
      <c r="DH5" s="24"/>
      <c r="DI5" s="25"/>
      <c r="DJ5" s="41"/>
      <c r="DK5" s="41"/>
      <c r="DM5" s="82" t="s">
        <v>174</v>
      </c>
      <c r="DN5" s="83"/>
      <c r="DO5" s="84"/>
      <c r="DP5" s="85"/>
      <c r="DQ5" s="41"/>
      <c r="DS5" s="56" t="s">
        <v>144</v>
      </c>
      <c r="DT5" s="24"/>
      <c r="DU5" s="25"/>
      <c r="DV5" s="41"/>
      <c r="DW5" s="41"/>
      <c r="DY5" s="56" t="s">
        <v>132</v>
      </c>
      <c r="DZ5" s="24"/>
      <c r="EA5" s="25"/>
      <c r="EB5" s="41"/>
      <c r="EC5" s="41"/>
      <c r="EE5" s="56" t="s">
        <v>133</v>
      </c>
      <c r="EF5" s="24"/>
      <c r="EG5" s="25"/>
      <c r="EH5" s="41"/>
      <c r="EI5" s="41"/>
      <c r="EK5" s="56" t="s">
        <v>134</v>
      </c>
      <c r="EL5" s="24"/>
      <c r="EM5" s="25"/>
      <c r="EN5" s="41"/>
      <c r="EO5" s="41"/>
      <c r="EQ5" s="56" t="s">
        <v>135</v>
      </c>
      <c r="ER5" s="24"/>
      <c r="ES5" s="25"/>
      <c r="ET5" s="41"/>
      <c r="EU5" s="41"/>
      <c r="EW5" s="56" t="s">
        <v>136</v>
      </c>
      <c r="EX5" s="24"/>
      <c r="EY5" s="25"/>
      <c r="EZ5" s="41"/>
      <c r="FA5" s="41"/>
      <c r="FC5" s="56" t="s">
        <v>137</v>
      </c>
      <c r="FD5" s="24"/>
      <c r="FE5" s="25"/>
      <c r="FF5" s="41"/>
      <c r="FG5" s="41"/>
      <c r="FI5" s="56" t="s">
        <v>14</v>
      </c>
      <c r="FJ5" s="24"/>
      <c r="FK5" s="25"/>
      <c r="FL5" s="41"/>
      <c r="FM5" s="41"/>
    </row>
    <row r="6" spans="1:169" s="12" customFormat="1" ht="12.75">
      <c r="A6" s="46" t="s">
        <v>10</v>
      </c>
      <c r="C6" s="73" t="s">
        <v>180</v>
      </c>
      <c r="D6" s="74"/>
      <c r="E6" s="75"/>
      <c r="F6" s="41" t="s">
        <v>168</v>
      </c>
      <c r="G6" s="41" t="s">
        <v>173</v>
      </c>
      <c r="H6" s="33"/>
      <c r="I6" s="40"/>
      <c r="J6" s="67">
        <v>0.5428259</v>
      </c>
      <c r="K6" s="39"/>
      <c r="L6" s="41" t="s">
        <v>168</v>
      </c>
      <c r="M6" s="41" t="s">
        <v>173</v>
      </c>
      <c r="N6" s="33"/>
      <c r="O6" s="40"/>
      <c r="P6" s="53">
        <f>V6+AB6+AH6+AN6+AT6+AZ6+BF6+BL6+BR6+BX6+CD6+CJ6+CP6+CV6+DB6+DH6+DN6+DT6+DZ6+EF6+EL6+ER6+EX6+FD6</f>
        <v>0.4571741000000001</v>
      </c>
      <c r="Q6" s="39"/>
      <c r="R6" s="41" t="s">
        <v>168</v>
      </c>
      <c r="S6" s="41" t="s">
        <v>173</v>
      </c>
      <c r="T6" s="33"/>
      <c r="U6" s="47"/>
      <c r="V6" s="32">
        <v>0.081724</v>
      </c>
      <c r="W6" s="48"/>
      <c r="X6" s="41" t="s">
        <v>168</v>
      </c>
      <c r="Y6" s="41" t="s">
        <v>173</v>
      </c>
      <c r="AA6" s="47"/>
      <c r="AB6" s="32">
        <v>0.0595646</v>
      </c>
      <c r="AC6" s="48"/>
      <c r="AD6" s="41" t="s">
        <v>168</v>
      </c>
      <c r="AE6" s="41" t="s">
        <v>173</v>
      </c>
      <c r="AG6" s="47"/>
      <c r="AH6" s="32">
        <v>0.0315804</v>
      </c>
      <c r="AI6" s="48"/>
      <c r="AJ6" s="41" t="s">
        <v>168</v>
      </c>
      <c r="AK6" s="41" t="s">
        <v>173</v>
      </c>
      <c r="AM6" s="47"/>
      <c r="AN6" s="32">
        <v>0.022968</v>
      </c>
      <c r="AO6" s="48"/>
      <c r="AP6" s="41" t="s">
        <v>168</v>
      </c>
      <c r="AQ6" s="41" t="s">
        <v>173</v>
      </c>
      <c r="AS6" s="47"/>
      <c r="AT6" s="32">
        <v>0.0026309</v>
      </c>
      <c r="AU6" s="48"/>
      <c r="AV6" s="41" t="s">
        <v>168</v>
      </c>
      <c r="AW6" s="41" t="s">
        <v>173</v>
      </c>
      <c r="AY6" s="47"/>
      <c r="AZ6" s="32">
        <v>0.0416229</v>
      </c>
      <c r="BA6" s="48"/>
      <c r="BB6" s="41" t="s">
        <v>168</v>
      </c>
      <c r="BC6" s="41" t="s">
        <v>173</v>
      </c>
      <c r="BE6" s="47"/>
      <c r="BF6" s="32">
        <v>0.0045121</v>
      </c>
      <c r="BG6" s="48"/>
      <c r="BH6" s="41" t="s">
        <v>168</v>
      </c>
      <c r="BI6" s="41" t="s">
        <v>173</v>
      </c>
      <c r="BK6" s="47"/>
      <c r="BL6" s="32">
        <v>0.0141147</v>
      </c>
      <c r="BM6" s="48"/>
      <c r="BN6" s="41" t="s">
        <v>168</v>
      </c>
      <c r="BO6" s="41" t="s">
        <v>173</v>
      </c>
      <c r="BQ6" s="47"/>
      <c r="BR6" s="32">
        <v>0.0071579</v>
      </c>
      <c r="BS6" s="48"/>
      <c r="BT6" s="41" t="s">
        <v>168</v>
      </c>
      <c r="BU6" s="41" t="s">
        <v>173</v>
      </c>
      <c r="BW6" s="47"/>
      <c r="BX6" s="32">
        <v>0.0013901</v>
      </c>
      <c r="BY6" s="48"/>
      <c r="BZ6" s="41" t="s">
        <v>168</v>
      </c>
      <c r="CA6" s="41" t="s">
        <v>173</v>
      </c>
      <c r="CC6" s="47"/>
      <c r="CD6" s="32">
        <v>0.0055234</v>
      </c>
      <c r="CE6" s="48"/>
      <c r="CF6" s="41" t="s">
        <v>168</v>
      </c>
      <c r="CG6" s="41" t="s">
        <v>173</v>
      </c>
      <c r="CI6" s="47"/>
      <c r="CJ6" s="32">
        <v>0.0134713</v>
      </c>
      <c r="CK6" s="48"/>
      <c r="CL6" s="41" t="s">
        <v>168</v>
      </c>
      <c r="CM6" s="41" t="s">
        <v>173</v>
      </c>
      <c r="CO6" s="47"/>
      <c r="CP6" s="32">
        <v>0.0301524</v>
      </c>
      <c r="CQ6" s="48"/>
      <c r="CR6" s="41" t="s">
        <v>168</v>
      </c>
      <c r="CS6" s="41" t="s">
        <v>173</v>
      </c>
      <c r="CU6" s="47"/>
      <c r="CV6" s="32">
        <v>0.0045619</v>
      </c>
      <c r="CW6" s="48"/>
      <c r="CX6" s="41" t="s">
        <v>168</v>
      </c>
      <c r="CY6" s="96" t="s">
        <v>173</v>
      </c>
      <c r="DA6" s="47"/>
      <c r="DB6" s="32">
        <v>0.0131079</v>
      </c>
      <c r="DC6" s="48"/>
      <c r="DD6" s="41" t="s">
        <v>168</v>
      </c>
      <c r="DE6" s="96" t="s">
        <v>173</v>
      </c>
      <c r="DG6" s="47"/>
      <c r="DH6" s="32">
        <v>0.0005051</v>
      </c>
      <c r="DI6" s="48"/>
      <c r="DJ6" s="41" t="s">
        <v>168</v>
      </c>
      <c r="DK6" s="96" t="s">
        <v>173</v>
      </c>
      <c r="DM6" s="86"/>
      <c r="DN6" s="87">
        <v>0.0276518</v>
      </c>
      <c r="DO6" s="88"/>
      <c r="DP6" s="85" t="s">
        <v>168</v>
      </c>
      <c r="DQ6" s="96" t="s">
        <v>173</v>
      </c>
      <c r="DS6" s="47"/>
      <c r="DT6" s="32">
        <v>0.0043534</v>
      </c>
      <c r="DU6" s="48"/>
      <c r="DV6" s="41" t="s">
        <v>168</v>
      </c>
      <c r="DW6" s="96" t="s">
        <v>173</v>
      </c>
      <c r="DY6" s="47"/>
      <c r="DZ6" s="32">
        <v>0.0224029</v>
      </c>
      <c r="EA6" s="48"/>
      <c r="EB6" s="41" t="s">
        <v>168</v>
      </c>
      <c r="EC6" s="96" t="s">
        <v>173</v>
      </c>
      <c r="EE6" s="47"/>
      <c r="EF6" s="32">
        <v>0.0063958</v>
      </c>
      <c r="EG6" s="48"/>
      <c r="EH6" s="41" t="s">
        <v>168</v>
      </c>
      <c r="EI6" s="96" t="s">
        <v>173</v>
      </c>
      <c r="EK6" s="47"/>
      <c r="EL6" s="32">
        <v>6.42E-05</v>
      </c>
      <c r="EM6" s="48"/>
      <c r="EN6" s="41" t="s">
        <v>168</v>
      </c>
      <c r="EO6" s="96" t="s">
        <v>173</v>
      </c>
      <c r="EQ6" s="47"/>
      <c r="ER6" s="32">
        <v>0.0001192</v>
      </c>
      <c r="ES6" s="48"/>
      <c r="ET6" s="41" t="s">
        <v>168</v>
      </c>
      <c r="EU6" s="96" t="s">
        <v>173</v>
      </c>
      <c r="EW6" s="47"/>
      <c r="EX6" s="32">
        <v>0.0215476</v>
      </c>
      <c r="EY6" s="48"/>
      <c r="EZ6" s="41" t="s">
        <v>168</v>
      </c>
      <c r="FA6" s="96" t="s">
        <v>173</v>
      </c>
      <c r="FC6" s="47"/>
      <c r="FD6" s="32">
        <v>0.0400516</v>
      </c>
      <c r="FE6" s="48"/>
      <c r="FF6" s="41" t="s">
        <v>168</v>
      </c>
      <c r="FG6" s="96" t="s">
        <v>173</v>
      </c>
      <c r="FI6" s="47"/>
      <c r="FJ6" s="32"/>
      <c r="FK6" s="48"/>
      <c r="FL6" s="41" t="s">
        <v>168</v>
      </c>
      <c r="FM6" s="96" t="s">
        <v>173</v>
      </c>
    </row>
    <row r="7" spans="1:169" ht="12.75">
      <c r="A7" s="26"/>
      <c r="C7" s="41" t="s">
        <v>11</v>
      </c>
      <c r="D7" s="41" t="s">
        <v>12</v>
      </c>
      <c r="E7" s="41" t="s">
        <v>4</v>
      </c>
      <c r="F7" s="41" t="s">
        <v>169</v>
      </c>
      <c r="G7" s="97" t="s">
        <v>181</v>
      </c>
      <c r="I7" s="41" t="s">
        <v>11</v>
      </c>
      <c r="J7" s="41" t="s">
        <v>12</v>
      </c>
      <c r="K7" s="41" t="s">
        <v>4</v>
      </c>
      <c r="L7" s="41" t="s">
        <v>169</v>
      </c>
      <c r="M7" s="41" t="s">
        <v>181</v>
      </c>
      <c r="O7" s="41" t="s">
        <v>11</v>
      </c>
      <c r="P7" s="41" t="s">
        <v>12</v>
      </c>
      <c r="Q7" s="41" t="s">
        <v>4</v>
      </c>
      <c r="R7" s="41" t="s">
        <v>169</v>
      </c>
      <c r="S7" s="41" t="s">
        <v>181</v>
      </c>
      <c r="U7" s="27" t="s">
        <v>11</v>
      </c>
      <c r="V7" s="27" t="s">
        <v>12</v>
      </c>
      <c r="W7" s="27" t="s">
        <v>4</v>
      </c>
      <c r="X7" s="41" t="s">
        <v>169</v>
      </c>
      <c r="Y7" s="41" t="s">
        <v>181</v>
      </c>
      <c r="AA7" s="27" t="s">
        <v>11</v>
      </c>
      <c r="AB7" s="27" t="s">
        <v>12</v>
      </c>
      <c r="AC7" s="27" t="s">
        <v>4</v>
      </c>
      <c r="AD7" s="41" t="s">
        <v>169</v>
      </c>
      <c r="AE7" s="41" t="s">
        <v>181</v>
      </c>
      <c r="AG7" s="27" t="s">
        <v>11</v>
      </c>
      <c r="AH7" s="27" t="s">
        <v>12</v>
      </c>
      <c r="AI7" s="27" t="s">
        <v>4</v>
      </c>
      <c r="AJ7" s="41" t="s">
        <v>169</v>
      </c>
      <c r="AK7" s="41" t="s">
        <v>181</v>
      </c>
      <c r="AM7" s="27" t="s">
        <v>11</v>
      </c>
      <c r="AN7" s="27" t="s">
        <v>12</v>
      </c>
      <c r="AO7" s="27" t="s">
        <v>4</v>
      </c>
      <c r="AP7" s="41" t="s">
        <v>169</v>
      </c>
      <c r="AQ7" s="41" t="s">
        <v>181</v>
      </c>
      <c r="AS7" s="27" t="s">
        <v>11</v>
      </c>
      <c r="AT7" s="27" t="s">
        <v>12</v>
      </c>
      <c r="AU7" s="27" t="s">
        <v>4</v>
      </c>
      <c r="AV7" s="41" t="s">
        <v>169</v>
      </c>
      <c r="AW7" s="41" t="s">
        <v>181</v>
      </c>
      <c r="AY7" s="27" t="s">
        <v>11</v>
      </c>
      <c r="AZ7" s="27" t="s">
        <v>12</v>
      </c>
      <c r="BA7" s="27" t="s">
        <v>4</v>
      </c>
      <c r="BB7" s="41" t="s">
        <v>169</v>
      </c>
      <c r="BC7" s="41" t="s">
        <v>181</v>
      </c>
      <c r="BE7" s="27" t="s">
        <v>11</v>
      </c>
      <c r="BF7" s="27" t="s">
        <v>12</v>
      </c>
      <c r="BG7" s="27" t="s">
        <v>4</v>
      </c>
      <c r="BH7" s="41" t="s">
        <v>169</v>
      </c>
      <c r="BI7" s="41" t="s">
        <v>181</v>
      </c>
      <c r="BK7" s="27" t="s">
        <v>11</v>
      </c>
      <c r="BL7" s="27" t="s">
        <v>12</v>
      </c>
      <c r="BM7" s="27" t="s">
        <v>4</v>
      </c>
      <c r="BN7" s="41" t="s">
        <v>169</v>
      </c>
      <c r="BO7" s="41" t="s">
        <v>181</v>
      </c>
      <c r="BQ7" s="27" t="s">
        <v>11</v>
      </c>
      <c r="BR7" s="27" t="s">
        <v>12</v>
      </c>
      <c r="BS7" s="27" t="s">
        <v>4</v>
      </c>
      <c r="BT7" s="41" t="s">
        <v>169</v>
      </c>
      <c r="BU7" s="41" t="s">
        <v>181</v>
      </c>
      <c r="BW7" s="27" t="s">
        <v>11</v>
      </c>
      <c r="BX7" s="27" t="s">
        <v>12</v>
      </c>
      <c r="BY7" s="27" t="s">
        <v>4</v>
      </c>
      <c r="BZ7" s="41" t="s">
        <v>169</v>
      </c>
      <c r="CA7" s="41" t="s">
        <v>181</v>
      </c>
      <c r="CC7" s="27" t="s">
        <v>11</v>
      </c>
      <c r="CD7" s="27" t="s">
        <v>12</v>
      </c>
      <c r="CE7" s="27" t="s">
        <v>4</v>
      </c>
      <c r="CF7" s="41" t="s">
        <v>169</v>
      </c>
      <c r="CG7" s="41" t="s">
        <v>181</v>
      </c>
      <c r="CI7" s="27" t="s">
        <v>11</v>
      </c>
      <c r="CJ7" s="27" t="s">
        <v>12</v>
      </c>
      <c r="CK7" s="27" t="s">
        <v>4</v>
      </c>
      <c r="CL7" s="41" t="s">
        <v>169</v>
      </c>
      <c r="CM7" s="41" t="s">
        <v>181</v>
      </c>
      <c r="CO7" s="27" t="s">
        <v>11</v>
      </c>
      <c r="CP7" s="27" t="s">
        <v>12</v>
      </c>
      <c r="CQ7" s="27" t="s">
        <v>4</v>
      </c>
      <c r="CR7" s="41" t="s">
        <v>169</v>
      </c>
      <c r="CS7" s="41" t="s">
        <v>181</v>
      </c>
      <c r="CU7" s="27" t="s">
        <v>11</v>
      </c>
      <c r="CV7" s="27" t="s">
        <v>12</v>
      </c>
      <c r="CW7" s="27" t="s">
        <v>4</v>
      </c>
      <c r="CX7" s="41" t="s">
        <v>169</v>
      </c>
      <c r="CY7" s="96" t="s">
        <v>181</v>
      </c>
      <c r="DA7" s="27" t="s">
        <v>11</v>
      </c>
      <c r="DB7" s="27" t="s">
        <v>12</v>
      </c>
      <c r="DC7" s="27" t="s">
        <v>4</v>
      </c>
      <c r="DD7" s="41" t="s">
        <v>169</v>
      </c>
      <c r="DE7" s="96" t="s">
        <v>181</v>
      </c>
      <c r="DG7" s="27" t="s">
        <v>11</v>
      </c>
      <c r="DH7" s="27" t="s">
        <v>12</v>
      </c>
      <c r="DI7" s="27" t="s">
        <v>4</v>
      </c>
      <c r="DJ7" s="41" t="s">
        <v>169</v>
      </c>
      <c r="DK7" s="96" t="s">
        <v>181</v>
      </c>
      <c r="DM7" s="89" t="s">
        <v>11</v>
      </c>
      <c r="DN7" s="89" t="s">
        <v>12</v>
      </c>
      <c r="DO7" s="89" t="s">
        <v>4</v>
      </c>
      <c r="DP7" s="85" t="s">
        <v>169</v>
      </c>
      <c r="DQ7" s="96" t="s">
        <v>181</v>
      </c>
      <c r="DS7" s="27" t="s">
        <v>11</v>
      </c>
      <c r="DT7" s="27" t="s">
        <v>12</v>
      </c>
      <c r="DU7" s="27" t="s">
        <v>4</v>
      </c>
      <c r="DV7" s="41" t="s">
        <v>169</v>
      </c>
      <c r="DW7" s="96" t="s">
        <v>181</v>
      </c>
      <c r="DY7" s="27" t="s">
        <v>11</v>
      </c>
      <c r="DZ7" s="27" t="s">
        <v>12</v>
      </c>
      <c r="EA7" s="27" t="s">
        <v>4</v>
      </c>
      <c r="EB7" s="41" t="s">
        <v>169</v>
      </c>
      <c r="EC7" s="96" t="s">
        <v>181</v>
      </c>
      <c r="EE7" s="27" t="s">
        <v>11</v>
      </c>
      <c r="EF7" s="27" t="s">
        <v>12</v>
      </c>
      <c r="EG7" s="27" t="s">
        <v>4</v>
      </c>
      <c r="EH7" s="41" t="s">
        <v>169</v>
      </c>
      <c r="EI7" s="96" t="s">
        <v>181</v>
      </c>
      <c r="EK7" s="27" t="s">
        <v>11</v>
      </c>
      <c r="EL7" s="27" t="s">
        <v>12</v>
      </c>
      <c r="EM7" s="27" t="s">
        <v>4</v>
      </c>
      <c r="EN7" s="41" t="s">
        <v>169</v>
      </c>
      <c r="EO7" s="96" t="s">
        <v>181</v>
      </c>
      <c r="EQ7" s="27" t="s">
        <v>11</v>
      </c>
      <c r="ER7" s="27" t="s">
        <v>12</v>
      </c>
      <c r="ES7" s="27" t="s">
        <v>4</v>
      </c>
      <c r="ET7" s="41" t="s">
        <v>169</v>
      </c>
      <c r="EU7" s="96" t="s">
        <v>181</v>
      </c>
      <c r="EW7" s="27" t="s">
        <v>11</v>
      </c>
      <c r="EX7" s="27" t="s">
        <v>12</v>
      </c>
      <c r="EY7" s="27" t="s">
        <v>4</v>
      </c>
      <c r="EZ7" s="41" t="s">
        <v>169</v>
      </c>
      <c r="FA7" s="96" t="s">
        <v>181</v>
      </c>
      <c r="FC7" s="27" t="s">
        <v>11</v>
      </c>
      <c r="FD7" s="27" t="s">
        <v>12</v>
      </c>
      <c r="FE7" s="27" t="s">
        <v>4</v>
      </c>
      <c r="FF7" s="41" t="s">
        <v>169</v>
      </c>
      <c r="FG7" s="96" t="s">
        <v>181</v>
      </c>
      <c r="FI7" s="27" t="s">
        <v>11</v>
      </c>
      <c r="FJ7" s="27" t="s">
        <v>12</v>
      </c>
      <c r="FK7" s="27" t="s">
        <v>4</v>
      </c>
      <c r="FL7" s="41" t="s">
        <v>169</v>
      </c>
      <c r="FM7" s="96" t="s">
        <v>181</v>
      </c>
    </row>
    <row r="8" spans="1:169" s="52" customFormat="1" ht="12.75">
      <c r="A8" s="51">
        <v>44105</v>
      </c>
      <c r="C8" s="36"/>
      <c r="D8" s="36">
        <v>439338</v>
      </c>
      <c r="E8" s="77">
        <f aca="true" t="shared" si="0" ref="E8:E15">C8+D8</f>
        <v>439338</v>
      </c>
      <c r="F8" s="77">
        <v>93</v>
      </c>
      <c r="G8" s="77">
        <v>4</v>
      </c>
      <c r="H8" s="79"/>
      <c r="I8" s="79">
        <f>'2011B Academic'!I8</f>
        <v>0</v>
      </c>
      <c r="J8" s="79">
        <f>'2011B Academic'!J8</f>
        <v>238484.04525420006</v>
      </c>
      <c r="K8" s="79">
        <f aca="true" t="shared" si="1" ref="K8:K15">I8+J8</f>
        <v>238484.04525420006</v>
      </c>
      <c r="L8" s="79">
        <f>'2011B Academic'!L8</f>
        <v>50.48280869999999</v>
      </c>
      <c r="M8" s="79">
        <f>'2011B Academic'!M8</f>
        <v>2.1713036000000003</v>
      </c>
      <c r="N8" s="79"/>
      <c r="O8" s="78">
        <f aca="true" t="shared" si="2" ref="O8:P15">U8+AA8+AG8+AM8+AS8+AY8+BE8+BK8+BQ8+BW8+CC8+CI8+CO8+CU8+DA8+DG8+DM8+DS8+DY8+EE8+EK8+EQ8+EW8+FC8</f>
        <v>0</v>
      </c>
      <c r="P8" s="80">
        <f t="shared" si="2"/>
        <v>200853.95474579997</v>
      </c>
      <c r="Q8" s="78">
        <f aca="true" t="shared" si="3" ref="Q8:Q15">O8+P8</f>
        <v>200853.95474579997</v>
      </c>
      <c r="R8" s="78">
        <f aca="true" t="shared" si="4" ref="R8:S15">X8+AD8+AJ8+AP8+AV8+BB8+BH8+BN8+BT8+BZ8+CF8+CL8+CR8+CX8+DD8+DJ8+DP8+DV8+EB8+EH8+EN8+ET8+EZ8+FF8+FL8</f>
        <v>42.51719130000001</v>
      </c>
      <c r="S8" s="78">
        <f t="shared" si="4"/>
        <v>1.8286964000000003</v>
      </c>
      <c r="T8" s="79"/>
      <c r="U8" s="78"/>
      <c r="V8" s="77">
        <f aca="true" t="shared" si="5" ref="V8:V15">D8*8.1724/100</f>
        <v>35904.458712</v>
      </c>
      <c r="W8" s="78">
        <f aca="true" t="shared" si="6" ref="W8:W15">U8+V8</f>
        <v>35904.458712</v>
      </c>
      <c r="X8" s="78">
        <f aca="true" t="shared" si="7" ref="X8:X15">V$6*$F8</f>
        <v>7.600332000000001</v>
      </c>
      <c r="Y8" s="77">
        <f aca="true" t="shared" si="8" ref="Y8:Y15">V$6*$G8</f>
        <v>0.326896</v>
      </c>
      <c r="Z8" s="79"/>
      <c r="AA8" s="78"/>
      <c r="AB8" s="78">
        <f aca="true" t="shared" si="9" ref="AB8:AB15">D8*5.95646/100</f>
        <v>26168.9922348</v>
      </c>
      <c r="AC8" s="78">
        <f aca="true" t="shared" si="10" ref="AC8:AC15">AA8+AB8</f>
        <v>26168.9922348</v>
      </c>
      <c r="AD8" s="78">
        <f aca="true" t="shared" si="11" ref="AD8:AD15">AB$6*$F8</f>
        <v>5.5395078</v>
      </c>
      <c r="AE8" s="77">
        <f aca="true" t="shared" si="12" ref="AE8:AE15">AB$6*$G8</f>
        <v>0.2382584</v>
      </c>
      <c r="AF8" s="79"/>
      <c r="AG8" s="78"/>
      <c r="AH8" s="78">
        <f aca="true" t="shared" si="13" ref="AH8:AH15">D8*3.15804/100</f>
        <v>13874.469775200001</v>
      </c>
      <c r="AI8" s="78">
        <f aca="true" t="shared" si="14" ref="AI8:AI15">AG8+AH8</f>
        <v>13874.469775200001</v>
      </c>
      <c r="AJ8" s="78">
        <f aca="true" t="shared" si="15" ref="AJ8:AJ15">AH$6*$F8</f>
        <v>2.9369772000000003</v>
      </c>
      <c r="AK8" s="77">
        <f aca="true" t="shared" si="16" ref="AK8:AK15">AH$6*$G8</f>
        <v>0.1263216</v>
      </c>
      <c r="AL8" s="79"/>
      <c r="AM8" s="78"/>
      <c r="AN8" s="78">
        <f aca="true" t="shared" si="17" ref="AN8:AN15">D8*2.2968/100</f>
        <v>10090.715184</v>
      </c>
      <c r="AO8" s="78">
        <f aca="true" t="shared" si="18" ref="AO8:AO15">AM8+AN8</f>
        <v>10090.715184</v>
      </c>
      <c r="AP8" s="78">
        <f aca="true" t="shared" si="19" ref="AP8:AP15">AN$6*$F8</f>
        <v>2.136024</v>
      </c>
      <c r="AQ8" s="77">
        <f aca="true" t="shared" si="20" ref="AQ8:AQ15">AN$6*$G8</f>
        <v>0.091872</v>
      </c>
      <c r="AR8" s="79"/>
      <c r="AS8" s="78"/>
      <c r="AT8" s="78">
        <f aca="true" t="shared" si="21" ref="AT8:AT15">D8*0.26309/100</f>
        <v>1155.8543442</v>
      </c>
      <c r="AU8" s="78">
        <f aca="true" t="shared" si="22" ref="AU8:AU15">AS8+AT8</f>
        <v>1155.8543442</v>
      </c>
      <c r="AV8" s="78">
        <f aca="true" t="shared" si="23" ref="AV8:AV15">AT$6*$F8</f>
        <v>0.2446737</v>
      </c>
      <c r="AW8" s="77">
        <f aca="true" t="shared" si="24" ref="AW8:AW15">AT$6*$G8</f>
        <v>0.0105236</v>
      </c>
      <c r="AX8" s="79"/>
      <c r="AY8" s="78"/>
      <c r="AZ8" s="78">
        <f aca="true" t="shared" si="25" ref="AZ8:AZ15">D8*4.16229/100</f>
        <v>18286.521640199997</v>
      </c>
      <c r="BA8" s="78">
        <f aca="true" t="shared" si="26" ref="BA8:BA15">AY8+AZ8</f>
        <v>18286.521640199997</v>
      </c>
      <c r="BB8" s="78">
        <f aca="true" t="shared" si="27" ref="BB8:BB15">AZ$6*$F8</f>
        <v>3.8709296999999996</v>
      </c>
      <c r="BC8" s="77">
        <f aca="true" t="shared" si="28" ref="BC8:BC15">AZ$6*$G8</f>
        <v>0.1664916</v>
      </c>
      <c r="BD8" s="79"/>
      <c r="BE8" s="78"/>
      <c r="BF8" s="78">
        <f aca="true" t="shared" si="29" ref="BF8:BF15">D8*0.45121/100</f>
        <v>1982.3369897999999</v>
      </c>
      <c r="BG8" s="78">
        <f aca="true" t="shared" si="30" ref="BG8:BG15">BE8+BF8</f>
        <v>1982.3369897999999</v>
      </c>
      <c r="BH8" s="78">
        <f aca="true" t="shared" si="31" ref="BH8:BH15">BF$6*$F8</f>
        <v>0.4196253</v>
      </c>
      <c r="BI8" s="77">
        <f aca="true" t="shared" si="32" ref="BI8:BI15">BF$6*$G8</f>
        <v>0.0180484</v>
      </c>
      <c r="BJ8" s="79"/>
      <c r="BK8" s="78"/>
      <c r="BL8" s="78">
        <f aca="true" t="shared" si="33" ref="BL8:BL15">D8*1.41147/100</f>
        <v>6201.1240686</v>
      </c>
      <c r="BM8" s="78">
        <f aca="true" t="shared" si="34" ref="BM8:BM15">BK8+BL8</f>
        <v>6201.1240686</v>
      </c>
      <c r="BN8" s="78">
        <f aca="true" t="shared" si="35" ref="BN8:BN15">BL$6*$F8</f>
        <v>1.3126671</v>
      </c>
      <c r="BO8" s="77">
        <f aca="true" t="shared" si="36" ref="BO8:BO15">BL$6*$G8</f>
        <v>0.0564588</v>
      </c>
      <c r="BP8" s="79"/>
      <c r="BQ8" s="78"/>
      <c r="BR8" s="78">
        <f aca="true" t="shared" si="37" ref="BR8:BR15">D8*0.71579/100</f>
        <v>3144.7374702</v>
      </c>
      <c r="BS8" s="78">
        <f aca="true" t="shared" si="38" ref="BS8:BS15">BQ8+BR8</f>
        <v>3144.7374702</v>
      </c>
      <c r="BT8" s="78">
        <f aca="true" t="shared" si="39" ref="BT8:BT15">BR$6*$F8</f>
        <v>0.6656847</v>
      </c>
      <c r="BU8" s="77">
        <f aca="true" t="shared" si="40" ref="BU8:BU15">BR$6*$G8</f>
        <v>0.0286316</v>
      </c>
      <c r="BV8" s="79"/>
      <c r="BW8" s="78"/>
      <c r="BX8" s="78">
        <f aca="true" t="shared" si="41" ref="BX8:BX15">D8*0.13901/100</f>
        <v>610.7237537999999</v>
      </c>
      <c r="BY8" s="78">
        <f aca="true" t="shared" si="42" ref="BY8:BY15">BW8+BX8</f>
        <v>610.7237537999999</v>
      </c>
      <c r="BZ8" s="78">
        <f aca="true" t="shared" si="43" ref="BZ8:BZ15">BX$6*$F8</f>
        <v>0.1292793</v>
      </c>
      <c r="CA8" s="77">
        <f aca="true" t="shared" si="44" ref="CA8:CA15">BX$6*$G8</f>
        <v>0.0055604</v>
      </c>
      <c r="CB8" s="79"/>
      <c r="CC8" s="78"/>
      <c r="CD8" s="78">
        <f aca="true" t="shared" si="45" ref="CD8:CD15">D8*0.55234/100</f>
        <v>2426.6395092000002</v>
      </c>
      <c r="CE8" s="78">
        <f aca="true" t="shared" si="46" ref="CE8:CE15">CC8+CD8</f>
        <v>2426.6395092000002</v>
      </c>
      <c r="CF8" s="78">
        <f aca="true" t="shared" si="47" ref="CF8:CF15">CD$6*$F8</f>
        <v>0.5136762</v>
      </c>
      <c r="CG8" s="77">
        <f aca="true" t="shared" si="48" ref="CG8:CG15">CD$6*$G8</f>
        <v>0.0220936</v>
      </c>
      <c r="CH8" s="79"/>
      <c r="CI8" s="78"/>
      <c r="CJ8" s="78">
        <f aca="true" t="shared" si="49" ref="CJ8:CJ15">D8*1.34713/100</f>
        <v>5918.453999399999</v>
      </c>
      <c r="CK8" s="78">
        <f aca="true" t="shared" si="50" ref="CK8:CK15">CI8+CJ8</f>
        <v>5918.453999399999</v>
      </c>
      <c r="CL8" s="78">
        <f aca="true" t="shared" si="51" ref="CL8:CL15">CJ$6*$F8</f>
        <v>1.2528309</v>
      </c>
      <c r="CM8" s="77">
        <f aca="true" t="shared" si="52" ref="CM8:CM15">CJ$6*$G8</f>
        <v>0.0538852</v>
      </c>
      <c r="CN8" s="79"/>
      <c r="CO8" s="78"/>
      <c r="CP8" s="78">
        <f aca="true" t="shared" si="53" ref="CP8:CP15">D8*3.01524/100</f>
        <v>13247.095111199998</v>
      </c>
      <c r="CQ8" s="78">
        <f aca="true" t="shared" si="54" ref="CQ8:CQ15">CO8+CP8</f>
        <v>13247.095111199998</v>
      </c>
      <c r="CR8" s="78">
        <f aca="true" t="shared" si="55" ref="CR8:CR15">CP$6*$F8</f>
        <v>2.8041732</v>
      </c>
      <c r="CS8" s="77">
        <f aca="true" t="shared" si="56" ref="CS8:CS15">CP$6*$G8</f>
        <v>0.1206096</v>
      </c>
      <c r="CT8" s="79"/>
      <c r="CU8" s="78"/>
      <c r="CV8" s="78">
        <f aca="true" t="shared" si="57" ref="CV8:CV15">D8*0.45619/100</f>
        <v>2004.2160222</v>
      </c>
      <c r="CW8" s="78">
        <f aca="true" t="shared" si="58" ref="CW8:CW15">CU8+CV8</f>
        <v>2004.2160222</v>
      </c>
      <c r="CX8" s="78">
        <f aca="true" t="shared" si="59" ref="CX8:CX15">CV$6*$F8</f>
        <v>0.4242567</v>
      </c>
      <c r="CY8" s="77">
        <f aca="true" t="shared" si="60" ref="CY8:CY15">CV$6*$G8</f>
        <v>0.0182476</v>
      </c>
      <c r="CZ8" s="79"/>
      <c r="DA8" s="78"/>
      <c r="DB8" s="78">
        <f aca="true" t="shared" si="61" ref="DB8:DB15">D8*1.31079/100</f>
        <v>5758.7985702</v>
      </c>
      <c r="DC8" s="78">
        <f aca="true" t="shared" si="62" ref="DC8:DC15">DA8+DB8</f>
        <v>5758.7985702</v>
      </c>
      <c r="DD8" s="78">
        <f aca="true" t="shared" si="63" ref="DD8:DD15">DB$6*$F8</f>
        <v>1.2190347000000001</v>
      </c>
      <c r="DE8" s="77">
        <f aca="true" t="shared" si="64" ref="DE8:DE15">DB$6*$G8</f>
        <v>0.0524316</v>
      </c>
      <c r="DF8" s="79"/>
      <c r="DG8" s="78"/>
      <c r="DH8" s="78">
        <f aca="true" t="shared" si="65" ref="DH8:DH15">D8*0.05051/100</f>
        <v>221.90962380000002</v>
      </c>
      <c r="DI8" s="78">
        <f aca="true" t="shared" si="66" ref="DI8:DI15">DG8+DH8</f>
        <v>221.90962380000002</v>
      </c>
      <c r="DJ8" s="78">
        <f aca="true" t="shared" si="67" ref="DJ8:DJ15">DH$6*$F8</f>
        <v>0.0469743</v>
      </c>
      <c r="DK8" s="77">
        <f aca="true" t="shared" si="68" ref="DK8:DK15">DH$6*$G8</f>
        <v>0.0020204</v>
      </c>
      <c r="DL8" s="79"/>
      <c r="DM8" s="90"/>
      <c r="DN8" s="90">
        <f aca="true" t="shared" si="69" ref="DN8:DN15">D8*2.76518/100</f>
        <v>12148.4865084</v>
      </c>
      <c r="DO8" s="90">
        <f aca="true" t="shared" si="70" ref="DO8:DO15">DM8+DN8</f>
        <v>12148.4865084</v>
      </c>
      <c r="DP8" s="90">
        <f aca="true" t="shared" si="71" ref="DP8:DP15">DN$6*$F8</f>
        <v>2.5716174</v>
      </c>
      <c r="DQ8" s="92">
        <f aca="true" t="shared" si="72" ref="DQ8:DQ15">DN$6*$G8</f>
        <v>0.1106072</v>
      </c>
      <c r="DR8" s="79"/>
      <c r="DS8" s="78"/>
      <c r="DT8" s="78">
        <f aca="true" t="shared" si="73" ref="DT8:DT15">D8*0.43534/100</f>
        <v>1912.6140492</v>
      </c>
      <c r="DU8" s="78">
        <f aca="true" t="shared" si="74" ref="DU8:DU15">DS8+DT8</f>
        <v>1912.6140492</v>
      </c>
      <c r="DV8" s="78">
        <f aca="true" t="shared" si="75" ref="DV8:DV15">DT$6*$F8</f>
        <v>0.4048662</v>
      </c>
      <c r="DW8" s="77">
        <f aca="true" t="shared" si="76" ref="DW8:DW15">DT$6*$G8</f>
        <v>0.0174136</v>
      </c>
      <c r="DX8" s="79"/>
      <c r="DY8" s="78"/>
      <c r="DZ8" s="78">
        <f aca="true" t="shared" si="77" ref="DZ8:DZ15">D8*2.24029/100</f>
        <v>9842.4452802</v>
      </c>
      <c r="EA8" s="78">
        <f aca="true" t="shared" si="78" ref="EA8:EA15">DY8+DZ8</f>
        <v>9842.4452802</v>
      </c>
      <c r="EB8" s="78">
        <f aca="true" t="shared" si="79" ref="EB8:EB15">DZ$6*$F8</f>
        <v>2.0834697</v>
      </c>
      <c r="EC8" s="77">
        <f aca="true" t="shared" si="80" ref="EC8:EC15">DZ$6*$G8</f>
        <v>0.0896116</v>
      </c>
      <c r="ED8" s="79"/>
      <c r="EE8" s="78"/>
      <c r="EF8" s="78">
        <f aca="true" t="shared" si="81" ref="EF8:EF15">D8*0.63958/100</f>
        <v>2809.9179804</v>
      </c>
      <c r="EG8" s="78">
        <f aca="true" t="shared" si="82" ref="EG8:EG15">EE8+EF8</f>
        <v>2809.9179804</v>
      </c>
      <c r="EH8" s="78">
        <f aca="true" t="shared" si="83" ref="EH8:EH15">EF$6*$F8</f>
        <v>0.5948094</v>
      </c>
      <c r="EI8" s="77">
        <f aca="true" t="shared" si="84" ref="EI8:EI15">EF$6*$G8</f>
        <v>0.0255832</v>
      </c>
      <c r="EJ8" s="79"/>
      <c r="EK8" s="78"/>
      <c r="EL8" s="78">
        <f aca="true" t="shared" si="85" ref="EL8:EL15">D8*0.00642/100</f>
        <v>28.205499600000003</v>
      </c>
      <c r="EM8" s="78">
        <f aca="true" t="shared" si="86" ref="EM8:EM15">EK8+EL8</f>
        <v>28.205499600000003</v>
      </c>
      <c r="EN8" s="78">
        <f aca="true" t="shared" si="87" ref="EN8:EN15">EL$6*$F8</f>
        <v>0.0059706</v>
      </c>
      <c r="EO8" s="77">
        <f aca="true" t="shared" si="88" ref="EO8:EO15">EL$6*$G8</f>
        <v>0.0002568</v>
      </c>
      <c r="EP8" s="79"/>
      <c r="EQ8" s="78"/>
      <c r="ER8" s="78">
        <f aca="true" t="shared" si="89" ref="ER8:ER15">D8*0.01192/100</f>
        <v>52.369089599999995</v>
      </c>
      <c r="ES8" s="78">
        <f aca="true" t="shared" si="90" ref="ES8:ES15">EQ8+ER8</f>
        <v>52.369089599999995</v>
      </c>
      <c r="ET8" s="78">
        <f aca="true" t="shared" si="91" ref="ET8:ET15">ER$6*$F8</f>
        <v>0.0110856</v>
      </c>
      <c r="EU8" s="77">
        <f aca="true" t="shared" si="92" ref="EU8:EU15">ER$6*$G8</f>
        <v>0.0004768</v>
      </c>
      <c r="EV8" s="79"/>
      <c r="EW8" s="78"/>
      <c r="EX8" s="78">
        <f aca="true" t="shared" si="93" ref="EX8:EX15">D8*2.15476/100</f>
        <v>9466.6794888</v>
      </c>
      <c r="EY8" s="78">
        <f aca="true" t="shared" si="94" ref="EY8:EY15">EW8+EX8</f>
        <v>9466.6794888</v>
      </c>
      <c r="EZ8" s="78">
        <f aca="true" t="shared" si="95" ref="EZ8:EZ15">EX$6*$F8</f>
        <v>2.0039268</v>
      </c>
      <c r="FA8" s="77">
        <f aca="true" t="shared" si="96" ref="FA8:FA15">EX$6*$G8</f>
        <v>0.0861904</v>
      </c>
      <c r="FB8" s="79"/>
      <c r="FC8" s="78"/>
      <c r="FD8" s="78">
        <f aca="true" t="shared" si="97" ref="FD8:FD15">D8*4.00516/100</f>
        <v>17596.1898408</v>
      </c>
      <c r="FE8" s="78">
        <f aca="true" t="shared" si="98" ref="FE8:FE15">FC8+FD8</f>
        <v>17596.1898408</v>
      </c>
      <c r="FF8" s="78">
        <f aca="true" t="shared" si="99" ref="FF8:FF15">FD$6*$F8</f>
        <v>3.7247988</v>
      </c>
      <c r="FG8" s="77">
        <f aca="true" t="shared" si="100" ref="FG8:FG15">FD$6*$G8</f>
        <v>0.1602064</v>
      </c>
      <c r="FH8" s="79"/>
      <c r="FI8" s="80"/>
      <c r="FJ8" s="78"/>
      <c r="FK8" s="78"/>
      <c r="FL8" s="78"/>
      <c r="FM8" s="77">
        <f aca="true" t="shared" si="101" ref="FM8:FM15">FJ$6*$G8</f>
        <v>0</v>
      </c>
    </row>
    <row r="9" spans="1:169" s="52" customFormat="1" ht="12.75">
      <c r="A9" s="51">
        <v>44287</v>
      </c>
      <c r="C9" s="36">
        <v>5000</v>
      </c>
      <c r="D9" s="36">
        <v>439338</v>
      </c>
      <c r="E9" s="77">
        <f t="shared" si="0"/>
        <v>444338</v>
      </c>
      <c r="F9" s="77">
        <v>94</v>
      </c>
      <c r="G9" s="77">
        <v>5</v>
      </c>
      <c r="H9" s="79"/>
      <c r="I9" s="79">
        <f>'2011B Academic'!I9</f>
        <v>2714.1295</v>
      </c>
      <c r="J9" s="79">
        <f>'2011B Academic'!J9</f>
        <v>238484.04525420006</v>
      </c>
      <c r="K9" s="79">
        <f t="shared" si="1"/>
        <v>241198.17475420007</v>
      </c>
      <c r="L9" s="79">
        <f>'2011B Academic'!L9</f>
        <v>51.025634600000004</v>
      </c>
      <c r="M9" s="79">
        <f>'2011B Academic'!M9</f>
        <v>2.7141295000000007</v>
      </c>
      <c r="N9" s="79"/>
      <c r="O9" s="78">
        <f t="shared" si="2"/>
        <v>2285.8705</v>
      </c>
      <c r="P9" s="80">
        <f t="shared" si="2"/>
        <v>200853.95474579997</v>
      </c>
      <c r="Q9" s="78">
        <f t="shared" si="3"/>
        <v>203139.82524579996</v>
      </c>
      <c r="R9" s="78">
        <f t="shared" si="4"/>
        <v>42.974365399999996</v>
      </c>
      <c r="S9" s="78">
        <f t="shared" si="4"/>
        <v>2.2858704999999997</v>
      </c>
      <c r="T9" s="79"/>
      <c r="U9" s="78">
        <f aca="true" t="shared" si="102" ref="U9:U15">C9*8.1724/100</f>
        <v>408.62</v>
      </c>
      <c r="V9" s="77">
        <f t="shared" si="5"/>
        <v>35904.458712</v>
      </c>
      <c r="W9" s="78">
        <f t="shared" si="6"/>
        <v>36313.078712</v>
      </c>
      <c r="X9" s="78">
        <f t="shared" si="7"/>
        <v>7.682056</v>
      </c>
      <c r="Y9" s="77">
        <f t="shared" si="8"/>
        <v>0.40862000000000004</v>
      </c>
      <c r="Z9" s="79"/>
      <c r="AA9" s="78">
        <f aca="true" t="shared" si="103" ref="AA9:AA15">C9*5.95646/100</f>
        <v>297.823</v>
      </c>
      <c r="AB9" s="78">
        <f t="shared" si="9"/>
        <v>26168.9922348</v>
      </c>
      <c r="AC9" s="78">
        <f t="shared" si="10"/>
        <v>26466.8152348</v>
      </c>
      <c r="AD9" s="78">
        <f t="shared" si="11"/>
        <v>5.5990724</v>
      </c>
      <c r="AE9" s="77">
        <f t="shared" si="12"/>
        <v>0.297823</v>
      </c>
      <c r="AF9" s="79"/>
      <c r="AG9" s="78">
        <f aca="true" t="shared" si="104" ref="AG9:AG15">C9*3.15804/100</f>
        <v>157.90200000000002</v>
      </c>
      <c r="AH9" s="78">
        <f t="shared" si="13"/>
        <v>13874.469775200001</v>
      </c>
      <c r="AI9" s="78">
        <f t="shared" si="14"/>
        <v>14032.371775200001</v>
      </c>
      <c r="AJ9" s="78">
        <f t="shared" si="15"/>
        <v>2.9685576</v>
      </c>
      <c r="AK9" s="77">
        <f t="shared" si="16"/>
        <v>0.15790200000000001</v>
      </c>
      <c r="AL9" s="79"/>
      <c r="AM9" s="78">
        <f aca="true" t="shared" si="105" ref="AM9:AM15">C9*2.2968/100</f>
        <v>114.84</v>
      </c>
      <c r="AN9" s="78">
        <f t="shared" si="17"/>
        <v>10090.715184</v>
      </c>
      <c r="AO9" s="78">
        <f t="shared" si="18"/>
        <v>10205.555184</v>
      </c>
      <c r="AP9" s="78">
        <f t="shared" si="19"/>
        <v>2.158992</v>
      </c>
      <c r="AQ9" s="77">
        <f t="shared" si="20"/>
        <v>0.11484</v>
      </c>
      <c r="AR9" s="79"/>
      <c r="AS9" s="78">
        <f aca="true" t="shared" si="106" ref="AS9:AS15">C9*0.26309/100</f>
        <v>13.1545</v>
      </c>
      <c r="AT9" s="78">
        <f t="shared" si="21"/>
        <v>1155.8543442</v>
      </c>
      <c r="AU9" s="78">
        <f t="shared" si="22"/>
        <v>1169.0088442</v>
      </c>
      <c r="AV9" s="78">
        <f t="shared" si="23"/>
        <v>0.24730459999999999</v>
      </c>
      <c r="AW9" s="77">
        <f t="shared" si="24"/>
        <v>0.0131545</v>
      </c>
      <c r="AX9" s="79"/>
      <c r="AY9" s="78">
        <f aca="true" t="shared" si="107" ref="AY9:AY15">C9*4.16229/100</f>
        <v>208.11449999999996</v>
      </c>
      <c r="AZ9" s="78">
        <f t="shared" si="25"/>
        <v>18286.521640199997</v>
      </c>
      <c r="BA9" s="78">
        <f t="shared" si="26"/>
        <v>18494.636140199997</v>
      </c>
      <c r="BB9" s="78">
        <f t="shared" si="27"/>
        <v>3.9125525999999997</v>
      </c>
      <c r="BC9" s="77">
        <f t="shared" si="28"/>
        <v>0.20811449999999998</v>
      </c>
      <c r="BD9" s="79"/>
      <c r="BE9" s="78">
        <f aca="true" t="shared" si="108" ref="BE9:BE15">C9*0.45121/100</f>
        <v>22.5605</v>
      </c>
      <c r="BF9" s="78">
        <f t="shared" si="29"/>
        <v>1982.3369897999999</v>
      </c>
      <c r="BG9" s="78">
        <f t="shared" si="30"/>
        <v>2004.8974898</v>
      </c>
      <c r="BH9" s="78">
        <f t="shared" si="31"/>
        <v>0.4241374</v>
      </c>
      <c r="BI9" s="77">
        <f t="shared" si="32"/>
        <v>0.022560499999999997</v>
      </c>
      <c r="BJ9" s="79"/>
      <c r="BK9" s="78">
        <f aca="true" t="shared" si="109" ref="BK9:BK15">C9*1.41147/100</f>
        <v>70.57350000000001</v>
      </c>
      <c r="BL9" s="78">
        <f t="shared" si="33"/>
        <v>6201.1240686</v>
      </c>
      <c r="BM9" s="78">
        <f t="shared" si="34"/>
        <v>6271.6975686000005</v>
      </c>
      <c r="BN9" s="78">
        <f t="shared" si="35"/>
        <v>1.3267818</v>
      </c>
      <c r="BO9" s="77">
        <f t="shared" si="36"/>
        <v>0.07057350000000001</v>
      </c>
      <c r="BP9" s="79"/>
      <c r="BQ9" s="78">
        <f aca="true" t="shared" si="110" ref="BQ9:BQ15">C9*0.71579/100</f>
        <v>35.789500000000004</v>
      </c>
      <c r="BR9" s="78">
        <f t="shared" si="37"/>
        <v>3144.7374702</v>
      </c>
      <c r="BS9" s="78">
        <f t="shared" si="38"/>
        <v>3180.5269702</v>
      </c>
      <c r="BT9" s="78">
        <f t="shared" si="39"/>
        <v>0.6728426</v>
      </c>
      <c r="BU9" s="77">
        <f t="shared" si="40"/>
        <v>0.0357895</v>
      </c>
      <c r="BV9" s="79"/>
      <c r="BW9" s="78">
        <f aca="true" t="shared" si="111" ref="BW9:BW15">C9*0.13901/100</f>
        <v>6.9505</v>
      </c>
      <c r="BX9" s="78">
        <f t="shared" si="41"/>
        <v>610.7237537999999</v>
      </c>
      <c r="BY9" s="78">
        <f t="shared" si="42"/>
        <v>617.6742538</v>
      </c>
      <c r="BZ9" s="78">
        <f t="shared" si="43"/>
        <v>0.1306694</v>
      </c>
      <c r="CA9" s="77">
        <f t="shared" si="44"/>
        <v>0.0069505</v>
      </c>
      <c r="CB9" s="79"/>
      <c r="CC9" s="78">
        <f aca="true" t="shared" si="112" ref="CC9:CC15">C9*0.55234/100</f>
        <v>27.617000000000004</v>
      </c>
      <c r="CD9" s="78">
        <f t="shared" si="45"/>
        <v>2426.6395092000002</v>
      </c>
      <c r="CE9" s="78">
        <f t="shared" si="46"/>
        <v>2454.2565092000004</v>
      </c>
      <c r="CF9" s="78">
        <f t="shared" si="47"/>
        <v>0.5191996</v>
      </c>
      <c r="CG9" s="77">
        <f t="shared" si="48"/>
        <v>0.027617000000000003</v>
      </c>
      <c r="CH9" s="79"/>
      <c r="CI9" s="78">
        <f aca="true" t="shared" si="113" ref="CI9:CI15">C9*1.34713/100</f>
        <v>67.3565</v>
      </c>
      <c r="CJ9" s="78">
        <f t="shared" si="49"/>
        <v>5918.453999399999</v>
      </c>
      <c r="CK9" s="78">
        <f t="shared" si="50"/>
        <v>5985.810499399999</v>
      </c>
      <c r="CL9" s="78">
        <f t="shared" si="51"/>
        <v>1.2663022</v>
      </c>
      <c r="CM9" s="77">
        <f t="shared" si="52"/>
        <v>0.0673565</v>
      </c>
      <c r="CN9" s="79"/>
      <c r="CO9" s="78">
        <f aca="true" t="shared" si="114" ref="CO9:CO15">C9*3.01524/100</f>
        <v>150.762</v>
      </c>
      <c r="CP9" s="78">
        <f t="shared" si="53"/>
        <v>13247.095111199998</v>
      </c>
      <c r="CQ9" s="78">
        <f t="shared" si="54"/>
        <v>13397.857111199999</v>
      </c>
      <c r="CR9" s="78">
        <f t="shared" si="55"/>
        <v>2.8343256</v>
      </c>
      <c r="CS9" s="77">
        <f t="shared" si="56"/>
        <v>0.150762</v>
      </c>
      <c r="CT9" s="79"/>
      <c r="CU9" s="78">
        <f aca="true" t="shared" si="115" ref="CU9:CU15">C9*0.45619/100</f>
        <v>22.8095</v>
      </c>
      <c r="CV9" s="78">
        <f t="shared" si="57"/>
        <v>2004.2160222</v>
      </c>
      <c r="CW9" s="78">
        <f t="shared" si="58"/>
        <v>2027.0255222</v>
      </c>
      <c r="CX9" s="78">
        <f t="shared" si="59"/>
        <v>0.4288186</v>
      </c>
      <c r="CY9" s="77">
        <f t="shared" si="60"/>
        <v>0.0228095</v>
      </c>
      <c r="CZ9" s="79"/>
      <c r="DA9" s="78">
        <f aca="true" t="shared" si="116" ref="DA9:DA15">C9*1.31079/100</f>
        <v>65.5395</v>
      </c>
      <c r="DB9" s="78">
        <f t="shared" si="61"/>
        <v>5758.7985702</v>
      </c>
      <c r="DC9" s="78">
        <f t="shared" si="62"/>
        <v>5824.3380701999995</v>
      </c>
      <c r="DD9" s="78">
        <f t="shared" si="63"/>
        <v>1.2321426</v>
      </c>
      <c r="DE9" s="77">
        <f t="shared" si="64"/>
        <v>0.0655395</v>
      </c>
      <c r="DF9" s="79"/>
      <c r="DG9" s="78">
        <f aca="true" t="shared" si="117" ref="DG9:DG15">C9*0.05051/100</f>
        <v>2.5254999999999996</v>
      </c>
      <c r="DH9" s="78">
        <f t="shared" si="65"/>
        <v>221.90962380000002</v>
      </c>
      <c r="DI9" s="78">
        <f t="shared" si="66"/>
        <v>224.4351238</v>
      </c>
      <c r="DJ9" s="78">
        <f t="shared" si="67"/>
        <v>0.0474794</v>
      </c>
      <c r="DK9" s="77">
        <f t="shared" si="68"/>
        <v>0.0025255</v>
      </c>
      <c r="DL9" s="79"/>
      <c r="DM9" s="90">
        <f aca="true" t="shared" si="118" ref="DM9:DM15">C9*2.76518/100</f>
        <v>138.259</v>
      </c>
      <c r="DN9" s="90">
        <f t="shared" si="69"/>
        <v>12148.4865084</v>
      </c>
      <c r="DO9" s="90">
        <f t="shared" si="70"/>
        <v>12286.7455084</v>
      </c>
      <c r="DP9" s="90">
        <f t="shared" si="71"/>
        <v>2.5992692</v>
      </c>
      <c r="DQ9" s="92">
        <f t="shared" si="72"/>
        <v>0.138259</v>
      </c>
      <c r="DR9" s="79"/>
      <c r="DS9" s="78">
        <f aca="true" t="shared" si="119" ref="DS9:DS15">C9*0.43534/100</f>
        <v>21.767</v>
      </c>
      <c r="DT9" s="78">
        <f t="shared" si="73"/>
        <v>1912.6140492</v>
      </c>
      <c r="DU9" s="78">
        <f t="shared" si="74"/>
        <v>1934.3810492</v>
      </c>
      <c r="DV9" s="78">
        <f t="shared" si="75"/>
        <v>0.4092196</v>
      </c>
      <c r="DW9" s="77">
        <f t="shared" si="76"/>
        <v>0.021767</v>
      </c>
      <c r="DX9" s="79"/>
      <c r="DY9" s="78">
        <f aca="true" t="shared" si="120" ref="DY9:DY15">C9*2.24029/100</f>
        <v>112.01449999999998</v>
      </c>
      <c r="DZ9" s="78">
        <f t="shared" si="77"/>
        <v>9842.4452802</v>
      </c>
      <c r="EA9" s="78">
        <f t="shared" si="78"/>
        <v>9954.459780199999</v>
      </c>
      <c r="EB9" s="78">
        <f t="shared" si="79"/>
        <v>2.1058726</v>
      </c>
      <c r="EC9" s="77">
        <f t="shared" si="80"/>
        <v>0.1120145</v>
      </c>
      <c r="ED9" s="79"/>
      <c r="EE9" s="78">
        <f aca="true" t="shared" si="121" ref="EE9:EE15">C9*0.63958/100</f>
        <v>31.979</v>
      </c>
      <c r="EF9" s="78">
        <f t="shared" si="81"/>
        <v>2809.9179804</v>
      </c>
      <c r="EG9" s="78">
        <f t="shared" si="82"/>
        <v>2841.8969804</v>
      </c>
      <c r="EH9" s="78">
        <f t="shared" si="83"/>
        <v>0.6012052</v>
      </c>
      <c r="EI9" s="77">
        <f t="shared" si="84"/>
        <v>0.031979</v>
      </c>
      <c r="EJ9" s="79"/>
      <c r="EK9" s="78">
        <f aca="true" t="shared" si="122" ref="EK9:EK15">C9*0.00642/100</f>
        <v>0.321</v>
      </c>
      <c r="EL9" s="78">
        <f t="shared" si="85"/>
        <v>28.205499600000003</v>
      </c>
      <c r="EM9" s="78">
        <f t="shared" si="86"/>
        <v>28.526499600000005</v>
      </c>
      <c r="EN9" s="78">
        <f t="shared" si="87"/>
        <v>0.0060348</v>
      </c>
      <c r="EO9" s="77">
        <f t="shared" si="88"/>
        <v>0.000321</v>
      </c>
      <c r="EP9" s="79"/>
      <c r="EQ9" s="78">
        <f aca="true" t="shared" si="123" ref="EQ9:EQ15">C9*0.01192/100</f>
        <v>0.596</v>
      </c>
      <c r="ER9" s="78">
        <f t="shared" si="89"/>
        <v>52.369089599999995</v>
      </c>
      <c r="ES9" s="78">
        <f t="shared" si="90"/>
        <v>52.96508959999999</v>
      </c>
      <c r="ET9" s="78">
        <f t="shared" si="91"/>
        <v>0.0112048</v>
      </c>
      <c r="EU9" s="77">
        <f t="shared" si="92"/>
        <v>0.000596</v>
      </c>
      <c r="EV9" s="79"/>
      <c r="EW9" s="78">
        <f aca="true" t="shared" si="124" ref="EW9:EW15">C9*2.15476/100</f>
        <v>107.738</v>
      </c>
      <c r="EX9" s="78">
        <f t="shared" si="93"/>
        <v>9466.6794888</v>
      </c>
      <c r="EY9" s="78">
        <f t="shared" si="94"/>
        <v>9574.4174888</v>
      </c>
      <c r="EZ9" s="78">
        <f t="shared" si="95"/>
        <v>2.0254744000000002</v>
      </c>
      <c r="FA9" s="77">
        <f t="shared" si="96"/>
        <v>0.107738</v>
      </c>
      <c r="FB9" s="79"/>
      <c r="FC9" s="78">
        <f aca="true" t="shared" si="125" ref="FC9:FC15">C9*4.00516/100</f>
        <v>200.25799999999998</v>
      </c>
      <c r="FD9" s="78">
        <f t="shared" si="97"/>
        <v>17596.1898408</v>
      </c>
      <c r="FE9" s="78">
        <f t="shared" si="98"/>
        <v>17796.447840800003</v>
      </c>
      <c r="FF9" s="78">
        <f t="shared" si="99"/>
        <v>3.7648504</v>
      </c>
      <c r="FG9" s="77">
        <f t="shared" si="100"/>
        <v>0.200258</v>
      </c>
      <c r="FH9" s="79"/>
      <c r="FI9" s="80"/>
      <c r="FJ9" s="78"/>
      <c r="FK9" s="78"/>
      <c r="FL9" s="78"/>
      <c r="FM9" s="77">
        <f t="shared" si="101"/>
        <v>0</v>
      </c>
    </row>
    <row r="10" spans="1:169" s="52" customFormat="1" ht="12.75">
      <c r="A10" s="51">
        <v>44470</v>
      </c>
      <c r="C10" s="36"/>
      <c r="D10" s="36">
        <v>0</v>
      </c>
      <c r="E10" s="77">
        <f t="shared" si="0"/>
        <v>0</v>
      </c>
      <c r="F10" s="77"/>
      <c r="G10" s="77"/>
      <c r="H10" s="79"/>
      <c r="I10" s="79">
        <f>'2011B Academic'!I10</f>
        <v>0</v>
      </c>
      <c r="J10" s="79">
        <f>'2011B Academic'!J10</f>
        <v>0</v>
      </c>
      <c r="K10" s="79">
        <f t="shared" si="1"/>
        <v>0</v>
      </c>
      <c r="L10" s="79">
        <f>'2011B Academic'!L10</f>
        <v>0</v>
      </c>
      <c r="M10" s="79">
        <f>'2011B Academic'!M10</f>
        <v>0</v>
      </c>
      <c r="N10" s="79"/>
      <c r="O10" s="78">
        <f t="shared" si="2"/>
        <v>0</v>
      </c>
      <c r="P10" s="80">
        <f t="shared" si="2"/>
        <v>0</v>
      </c>
      <c r="Q10" s="78">
        <f t="shared" si="3"/>
        <v>0</v>
      </c>
      <c r="R10" s="78">
        <f t="shared" si="4"/>
        <v>0</v>
      </c>
      <c r="S10" s="78">
        <f t="shared" si="4"/>
        <v>0</v>
      </c>
      <c r="T10" s="79"/>
      <c r="U10" s="78"/>
      <c r="V10" s="77">
        <f t="shared" si="5"/>
        <v>0</v>
      </c>
      <c r="W10" s="78">
        <f t="shared" si="6"/>
        <v>0</v>
      </c>
      <c r="X10" s="78">
        <f t="shared" si="7"/>
        <v>0</v>
      </c>
      <c r="Y10" s="77">
        <f t="shared" si="8"/>
        <v>0</v>
      </c>
      <c r="Z10" s="79"/>
      <c r="AA10" s="78"/>
      <c r="AB10" s="78">
        <f t="shared" si="9"/>
        <v>0</v>
      </c>
      <c r="AC10" s="78">
        <f t="shared" si="10"/>
        <v>0</v>
      </c>
      <c r="AD10" s="78">
        <f t="shared" si="11"/>
        <v>0</v>
      </c>
      <c r="AE10" s="77">
        <f t="shared" si="12"/>
        <v>0</v>
      </c>
      <c r="AF10" s="79"/>
      <c r="AG10" s="78"/>
      <c r="AH10" s="78">
        <f t="shared" si="13"/>
        <v>0</v>
      </c>
      <c r="AI10" s="78">
        <f t="shared" si="14"/>
        <v>0</v>
      </c>
      <c r="AJ10" s="78">
        <f t="shared" si="15"/>
        <v>0</v>
      </c>
      <c r="AK10" s="77">
        <f t="shared" si="16"/>
        <v>0</v>
      </c>
      <c r="AL10" s="79"/>
      <c r="AM10" s="78"/>
      <c r="AN10" s="78">
        <f t="shared" si="17"/>
        <v>0</v>
      </c>
      <c r="AO10" s="78">
        <f t="shared" si="18"/>
        <v>0</v>
      </c>
      <c r="AP10" s="78">
        <f t="shared" si="19"/>
        <v>0</v>
      </c>
      <c r="AQ10" s="77">
        <f t="shared" si="20"/>
        <v>0</v>
      </c>
      <c r="AR10" s="79"/>
      <c r="AS10" s="78"/>
      <c r="AT10" s="78">
        <f t="shared" si="21"/>
        <v>0</v>
      </c>
      <c r="AU10" s="78">
        <f t="shared" si="22"/>
        <v>0</v>
      </c>
      <c r="AV10" s="78">
        <f t="shared" si="23"/>
        <v>0</v>
      </c>
      <c r="AW10" s="77">
        <f t="shared" si="24"/>
        <v>0</v>
      </c>
      <c r="AX10" s="79"/>
      <c r="AY10" s="78"/>
      <c r="AZ10" s="78">
        <f t="shared" si="25"/>
        <v>0</v>
      </c>
      <c r="BA10" s="78">
        <f t="shared" si="26"/>
        <v>0</v>
      </c>
      <c r="BB10" s="78">
        <f t="shared" si="27"/>
        <v>0</v>
      </c>
      <c r="BC10" s="77">
        <f t="shared" si="28"/>
        <v>0</v>
      </c>
      <c r="BD10" s="79"/>
      <c r="BE10" s="78"/>
      <c r="BF10" s="78">
        <f t="shared" si="29"/>
        <v>0</v>
      </c>
      <c r="BG10" s="78">
        <f t="shared" si="30"/>
        <v>0</v>
      </c>
      <c r="BH10" s="78">
        <f t="shared" si="31"/>
        <v>0</v>
      </c>
      <c r="BI10" s="77">
        <f t="shared" si="32"/>
        <v>0</v>
      </c>
      <c r="BJ10" s="79"/>
      <c r="BK10" s="78"/>
      <c r="BL10" s="78">
        <f t="shared" si="33"/>
        <v>0</v>
      </c>
      <c r="BM10" s="78">
        <f t="shared" si="34"/>
        <v>0</v>
      </c>
      <c r="BN10" s="78">
        <f t="shared" si="35"/>
        <v>0</v>
      </c>
      <c r="BO10" s="77">
        <f t="shared" si="36"/>
        <v>0</v>
      </c>
      <c r="BP10" s="79"/>
      <c r="BQ10" s="78"/>
      <c r="BR10" s="78">
        <f t="shared" si="37"/>
        <v>0</v>
      </c>
      <c r="BS10" s="78">
        <f t="shared" si="38"/>
        <v>0</v>
      </c>
      <c r="BT10" s="78">
        <f t="shared" si="39"/>
        <v>0</v>
      </c>
      <c r="BU10" s="77">
        <f t="shared" si="40"/>
        <v>0</v>
      </c>
      <c r="BV10" s="79"/>
      <c r="BW10" s="78"/>
      <c r="BX10" s="78">
        <f t="shared" si="41"/>
        <v>0</v>
      </c>
      <c r="BY10" s="78">
        <f t="shared" si="42"/>
        <v>0</v>
      </c>
      <c r="BZ10" s="78">
        <f t="shared" si="43"/>
        <v>0</v>
      </c>
      <c r="CA10" s="77">
        <f t="shared" si="44"/>
        <v>0</v>
      </c>
      <c r="CB10" s="79"/>
      <c r="CC10" s="78"/>
      <c r="CD10" s="78">
        <f t="shared" si="45"/>
        <v>0</v>
      </c>
      <c r="CE10" s="78">
        <f t="shared" si="46"/>
        <v>0</v>
      </c>
      <c r="CF10" s="78">
        <f t="shared" si="47"/>
        <v>0</v>
      </c>
      <c r="CG10" s="77">
        <f t="shared" si="48"/>
        <v>0</v>
      </c>
      <c r="CH10" s="79"/>
      <c r="CI10" s="78"/>
      <c r="CJ10" s="78">
        <f t="shared" si="49"/>
        <v>0</v>
      </c>
      <c r="CK10" s="78">
        <f t="shared" si="50"/>
        <v>0</v>
      </c>
      <c r="CL10" s="78">
        <f t="shared" si="51"/>
        <v>0</v>
      </c>
      <c r="CM10" s="77">
        <f t="shared" si="52"/>
        <v>0</v>
      </c>
      <c r="CN10" s="79"/>
      <c r="CO10" s="78"/>
      <c r="CP10" s="78">
        <f t="shared" si="53"/>
        <v>0</v>
      </c>
      <c r="CQ10" s="78">
        <f t="shared" si="54"/>
        <v>0</v>
      </c>
      <c r="CR10" s="78">
        <f t="shared" si="55"/>
        <v>0</v>
      </c>
      <c r="CS10" s="77">
        <f t="shared" si="56"/>
        <v>0</v>
      </c>
      <c r="CT10" s="79"/>
      <c r="CU10" s="78"/>
      <c r="CV10" s="78">
        <f t="shared" si="57"/>
        <v>0</v>
      </c>
      <c r="CW10" s="78">
        <f t="shared" si="58"/>
        <v>0</v>
      </c>
      <c r="CX10" s="78">
        <f t="shared" si="59"/>
        <v>0</v>
      </c>
      <c r="CY10" s="77">
        <f t="shared" si="60"/>
        <v>0</v>
      </c>
      <c r="CZ10" s="79"/>
      <c r="DA10" s="78"/>
      <c r="DB10" s="78">
        <f t="shared" si="61"/>
        <v>0</v>
      </c>
      <c r="DC10" s="78">
        <f t="shared" si="62"/>
        <v>0</v>
      </c>
      <c r="DD10" s="78">
        <f t="shared" si="63"/>
        <v>0</v>
      </c>
      <c r="DE10" s="77">
        <f t="shared" si="64"/>
        <v>0</v>
      </c>
      <c r="DF10" s="79"/>
      <c r="DG10" s="78"/>
      <c r="DH10" s="78">
        <f t="shared" si="65"/>
        <v>0</v>
      </c>
      <c r="DI10" s="78">
        <f t="shared" si="66"/>
        <v>0</v>
      </c>
      <c r="DJ10" s="78">
        <f t="shared" si="67"/>
        <v>0</v>
      </c>
      <c r="DK10" s="77">
        <f t="shared" si="68"/>
        <v>0</v>
      </c>
      <c r="DL10" s="79"/>
      <c r="DM10" s="90"/>
      <c r="DN10" s="90">
        <f t="shared" si="69"/>
        <v>0</v>
      </c>
      <c r="DO10" s="90">
        <f t="shared" si="70"/>
        <v>0</v>
      </c>
      <c r="DP10" s="90">
        <f t="shared" si="71"/>
        <v>0</v>
      </c>
      <c r="DQ10" s="92">
        <f t="shared" si="72"/>
        <v>0</v>
      </c>
      <c r="DR10" s="79"/>
      <c r="DS10" s="78"/>
      <c r="DT10" s="78">
        <f t="shared" si="73"/>
        <v>0</v>
      </c>
      <c r="DU10" s="78">
        <f t="shared" si="74"/>
        <v>0</v>
      </c>
      <c r="DV10" s="78">
        <f t="shared" si="75"/>
        <v>0</v>
      </c>
      <c r="DW10" s="77">
        <f t="shared" si="76"/>
        <v>0</v>
      </c>
      <c r="DX10" s="79"/>
      <c r="DY10" s="78"/>
      <c r="DZ10" s="78">
        <f t="shared" si="77"/>
        <v>0</v>
      </c>
      <c r="EA10" s="78">
        <f t="shared" si="78"/>
        <v>0</v>
      </c>
      <c r="EB10" s="78">
        <f t="shared" si="79"/>
        <v>0</v>
      </c>
      <c r="EC10" s="77">
        <f t="shared" si="80"/>
        <v>0</v>
      </c>
      <c r="ED10" s="79"/>
      <c r="EE10" s="78"/>
      <c r="EF10" s="78">
        <f t="shared" si="81"/>
        <v>0</v>
      </c>
      <c r="EG10" s="78">
        <f t="shared" si="82"/>
        <v>0</v>
      </c>
      <c r="EH10" s="78">
        <f t="shared" si="83"/>
        <v>0</v>
      </c>
      <c r="EI10" s="77">
        <f t="shared" si="84"/>
        <v>0</v>
      </c>
      <c r="EJ10" s="79"/>
      <c r="EK10" s="78"/>
      <c r="EL10" s="78">
        <f t="shared" si="85"/>
        <v>0</v>
      </c>
      <c r="EM10" s="78">
        <f t="shared" si="86"/>
        <v>0</v>
      </c>
      <c r="EN10" s="78">
        <f t="shared" si="87"/>
        <v>0</v>
      </c>
      <c r="EO10" s="77">
        <f t="shared" si="88"/>
        <v>0</v>
      </c>
      <c r="EP10" s="79"/>
      <c r="EQ10" s="78"/>
      <c r="ER10" s="78">
        <f t="shared" si="89"/>
        <v>0</v>
      </c>
      <c r="ES10" s="78">
        <f t="shared" si="90"/>
        <v>0</v>
      </c>
      <c r="ET10" s="78">
        <f t="shared" si="91"/>
        <v>0</v>
      </c>
      <c r="EU10" s="77">
        <f t="shared" si="92"/>
        <v>0</v>
      </c>
      <c r="EV10" s="79"/>
      <c r="EW10" s="78"/>
      <c r="EX10" s="78">
        <f t="shared" si="93"/>
        <v>0</v>
      </c>
      <c r="EY10" s="78">
        <f t="shared" si="94"/>
        <v>0</v>
      </c>
      <c r="EZ10" s="78">
        <f t="shared" si="95"/>
        <v>0</v>
      </c>
      <c r="FA10" s="77">
        <f t="shared" si="96"/>
        <v>0</v>
      </c>
      <c r="FB10" s="79"/>
      <c r="FC10" s="78"/>
      <c r="FD10" s="78">
        <f t="shared" si="97"/>
        <v>0</v>
      </c>
      <c r="FE10" s="78">
        <f t="shared" si="98"/>
        <v>0</v>
      </c>
      <c r="FF10" s="78">
        <f t="shared" si="99"/>
        <v>0</v>
      </c>
      <c r="FG10" s="77">
        <f t="shared" si="100"/>
        <v>0</v>
      </c>
      <c r="FH10" s="79"/>
      <c r="FI10" s="80"/>
      <c r="FJ10" s="78"/>
      <c r="FK10" s="78"/>
      <c r="FL10" s="78"/>
      <c r="FM10" s="77">
        <f t="shared" si="101"/>
        <v>0</v>
      </c>
    </row>
    <row r="11" spans="1:169" s="52" customFormat="1" ht="12.75">
      <c r="A11" s="51">
        <v>44652</v>
      </c>
      <c r="C11" s="36">
        <v>0</v>
      </c>
      <c r="D11" s="36">
        <v>0</v>
      </c>
      <c r="E11" s="77">
        <f t="shared" si="0"/>
        <v>0</v>
      </c>
      <c r="F11" s="77"/>
      <c r="G11" s="77"/>
      <c r="H11" s="79"/>
      <c r="I11" s="79">
        <f>'2011B Academic'!I11</f>
        <v>0</v>
      </c>
      <c r="J11" s="79">
        <f>'2011B Academic'!J11</f>
        <v>0</v>
      </c>
      <c r="K11" s="79">
        <f t="shared" si="1"/>
        <v>0</v>
      </c>
      <c r="L11" s="79">
        <f>'2011B Academic'!L11</f>
        <v>0</v>
      </c>
      <c r="M11" s="79">
        <f>'2011B Academic'!M11</f>
        <v>0</v>
      </c>
      <c r="N11" s="79"/>
      <c r="O11" s="78">
        <f t="shared" si="2"/>
        <v>0</v>
      </c>
      <c r="P11" s="80">
        <f t="shared" si="2"/>
        <v>0</v>
      </c>
      <c r="Q11" s="78">
        <f t="shared" si="3"/>
        <v>0</v>
      </c>
      <c r="R11" s="78">
        <f t="shared" si="4"/>
        <v>0</v>
      </c>
      <c r="S11" s="78">
        <f t="shared" si="4"/>
        <v>0</v>
      </c>
      <c r="T11" s="79"/>
      <c r="U11" s="78">
        <f t="shared" si="102"/>
        <v>0</v>
      </c>
      <c r="V11" s="77">
        <f t="shared" si="5"/>
        <v>0</v>
      </c>
      <c r="W11" s="78">
        <f t="shared" si="6"/>
        <v>0</v>
      </c>
      <c r="X11" s="78">
        <f t="shared" si="7"/>
        <v>0</v>
      </c>
      <c r="Y11" s="77">
        <f t="shared" si="8"/>
        <v>0</v>
      </c>
      <c r="Z11" s="79"/>
      <c r="AA11" s="78">
        <f t="shared" si="103"/>
        <v>0</v>
      </c>
      <c r="AB11" s="78">
        <f t="shared" si="9"/>
        <v>0</v>
      </c>
      <c r="AC11" s="78">
        <f t="shared" si="10"/>
        <v>0</v>
      </c>
      <c r="AD11" s="78">
        <f t="shared" si="11"/>
        <v>0</v>
      </c>
      <c r="AE11" s="77">
        <f t="shared" si="12"/>
        <v>0</v>
      </c>
      <c r="AF11" s="79"/>
      <c r="AG11" s="78">
        <f t="shared" si="104"/>
        <v>0</v>
      </c>
      <c r="AH11" s="78">
        <f t="shared" si="13"/>
        <v>0</v>
      </c>
      <c r="AI11" s="78">
        <f t="shared" si="14"/>
        <v>0</v>
      </c>
      <c r="AJ11" s="78">
        <f t="shared" si="15"/>
        <v>0</v>
      </c>
      <c r="AK11" s="77">
        <f t="shared" si="16"/>
        <v>0</v>
      </c>
      <c r="AL11" s="79"/>
      <c r="AM11" s="78">
        <f t="shared" si="105"/>
        <v>0</v>
      </c>
      <c r="AN11" s="78">
        <f t="shared" si="17"/>
        <v>0</v>
      </c>
      <c r="AO11" s="78">
        <f t="shared" si="18"/>
        <v>0</v>
      </c>
      <c r="AP11" s="78">
        <f t="shared" si="19"/>
        <v>0</v>
      </c>
      <c r="AQ11" s="77">
        <f t="shared" si="20"/>
        <v>0</v>
      </c>
      <c r="AR11" s="79"/>
      <c r="AS11" s="78">
        <f t="shared" si="106"/>
        <v>0</v>
      </c>
      <c r="AT11" s="78">
        <f t="shared" si="21"/>
        <v>0</v>
      </c>
      <c r="AU11" s="78">
        <f t="shared" si="22"/>
        <v>0</v>
      </c>
      <c r="AV11" s="78">
        <f t="shared" si="23"/>
        <v>0</v>
      </c>
      <c r="AW11" s="77">
        <f t="shared" si="24"/>
        <v>0</v>
      </c>
      <c r="AX11" s="79"/>
      <c r="AY11" s="78">
        <f t="shared" si="107"/>
        <v>0</v>
      </c>
      <c r="AZ11" s="78">
        <f t="shared" si="25"/>
        <v>0</v>
      </c>
      <c r="BA11" s="78">
        <f t="shared" si="26"/>
        <v>0</v>
      </c>
      <c r="BB11" s="78">
        <f t="shared" si="27"/>
        <v>0</v>
      </c>
      <c r="BC11" s="77">
        <f t="shared" si="28"/>
        <v>0</v>
      </c>
      <c r="BD11" s="79"/>
      <c r="BE11" s="78">
        <f t="shared" si="108"/>
        <v>0</v>
      </c>
      <c r="BF11" s="78">
        <f t="shared" si="29"/>
        <v>0</v>
      </c>
      <c r="BG11" s="78">
        <f t="shared" si="30"/>
        <v>0</v>
      </c>
      <c r="BH11" s="78">
        <f t="shared" si="31"/>
        <v>0</v>
      </c>
      <c r="BI11" s="77">
        <f t="shared" si="32"/>
        <v>0</v>
      </c>
      <c r="BJ11" s="79"/>
      <c r="BK11" s="78">
        <f t="shared" si="109"/>
        <v>0</v>
      </c>
      <c r="BL11" s="78">
        <f t="shared" si="33"/>
        <v>0</v>
      </c>
      <c r="BM11" s="78">
        <f t="shared" si="34"/>
        <v>0</v>
      </c>
      <c r="BN11" s="78">
        <f t="shared" si="35"/>
        <v>0</v>
      </c>
      <c r="BO11" s="77">
        <f t="shared" si="36"/>
        <v>0</v>
      </c>
      <c r="BP11" s="79"/>
      <c r="BQ11" s="78">
        <f t="shared" si="110"/>
        <v>0</v>
      </c>
      <c r="BR11" s="78">
        <f t="shared" si="37"/>
        <v>0</v>
      </c>
      <c r="BS11" s="78">
        <f t="shared" si="38"/>
        <v>0</v>
      </c>
      <c r="BT11" s="78">
        <f t="shared" si="39"/>
        <v>0</v>
      </c>
      <c r="BU11" s="77">
        <f t="shared" si="40"/>
        <v>0</v>
      </c>
      <c r="BV11" s="79"/>
      <c r="BW11" s="78">
        <f t="shared" si="111"/>
        <v>0</v>
      </c>
      <c r="BX11" s="78">
        <f t="shared" si="41"/>
        <v>0</v>
      </c>
      <c r="BY11" s="78">
        <f t="shared" si="42"/>
        <v>0</v>
      </c>
      <c r="BZ11" s="78">
        <f t="shared" si="43"/>
        <v>0</v>
      </c>
      <c r="CA11" s="77">
        <f t="shared" si="44"/>
        <v>0</v>
      </c>
      <c r="CB11" s="79"/>
      <c r="CC11" s="78">
        <f t="shared" si="112"/>
        <v>0</v>
      </c>
      <c r="CD11" s="78">
        <f t="shared" si="45"/>
        <v>0</v>
      </c>
      <c r="CE11" s="78">
        <f t="shared" si="46"/>
        <v>0</v>
      </c>
      <c r="CF11" s="78">
        <f t="shared" si="47"/>
        <v>0</v>
      </c>
      <c r="CG11" s="77">
        <f t="shared" si="48"/>
        <v>0</v>
      </c>
      <c r="CH11" s="79"/>
      <c r="CI11" s="78">
        <f t="shared" si="113"/>
        <v>0</v>
      </c>
      <c r="CJ11" s="78">
        <f t="shared" si="49"/>
        <v>0</v>
      </c>
      <c r="CK11" s="78">
        <f t="shared" si="50"/>
        <v>0</v>
      </c>
      <c r="CL11" s="78">
        <f t="shared" si="51"/>
        <v>0</v>
      </c>
      <c r="CM11" s="77">
        <f t="shared" si="52"/>
        <v>0</v>
      </c>
      <c r="CN11" s="79"/>
      <c r="CO11" s="78">
        <f t="shared" si="114"/>
        <v>0</v>
      </c>
      <c r="CP11" s="78">
        <f t="shared" si="53"/>
        <v>0</v>
      </c>
      <c r="CQ11" s="78">
        <f t="shared" si="54"/>
        <v>0</v>
      </c>
      <c r="CR11" s="78">
        <f t="shared" si="55"/>
        <v>0</v>
      </c>
      <c r="CS11" s="77">
        <f t="shared" si="56"/>
        <v>0</v>
      </c>
      <c r="CT11" s="79"/>
      <c r="CU11" s="78">
        <f t="shared" si="115"/>
        <v>0</v>
      </c>
      <c r="CV11" s="78">
        <f t="shared" si="57"/>
        <v>0</v>
      </c>
      <c r="CW11" s="78">
        <f t="shared" si="58"/>
        <v>0</v>
      </c>
      <c r="CX11" s="78">
        <f t="shared" si="59"/>
        <v>0</v>
      </c>
      <c r="CY11" s="77">
        <f t="shared" si="60"/>
        <v>0</v>
      </c>
      <c r="CZ11" s="79"/>
      <c r="DA11" s="78">
        <f t="shared" si="116"/>
        <v>0</v>
      </c>
      <c r="DB11" s="78">
        <f t="shared" si="61"/>
        <v>0</v>
      </c>
      <c r="DC11" s="78">
        <f t="shared" si="62"/>
        <v>0</v>
      </c>
      <c r="DD11" s="78">
        <f t="shared" si="63"/>
        <v>0</v>
      </c>
      <c r="DE11" s="77">
        <f t="shared" si="64"/>
        <v>0</v>
      </c>
      <c r="DF11" s="79"/>
      <c r="DG11" s="78">
        <f t="shared" si="117"/>
        <v>0</v>
      </c>
      <c r="DH11" s="78">
        <f t="shared" si="65"/>
        <v>0</v>
      </c>
      <c r="DI11" s="78">
        <f t="shared" si="66"/>
        <v>0</v>
      </c>
      <c r="DJ11" s="78">
        <f t="shared" si="67"/>
        <v>0</v>
      </c>
      <c r="DK11" s="77">
        <f t="shared" si="68"/>
        <v>0</v>
      </c>
      <c r="DL11" s="79"/>
      <c r="DM11" s="90">
        <f t="shared" si="118"/>
        <v>0</v>
      </c>
      <c r="DN11" s="90">
        <f t="shared" si="69"/>
        <v>0</v>
      </c>
      <c r="DO11" s="90">
        <f t="shared" si="70"/>
        <v>0</v>
      </c>
      <c r="DP11" s="90">
        <f t="shared" si="71"/>
        <v>0</v>
      </c>
      <c r="DQ11" s="92">
        <f t="shared" si="72"/>
        <v>0</v>
      </c>
      <c r="DR11" s="79"/>
      <c r="DS11" s="78">
        <f t="shared" si="119"/>
        <v>0</v>
      </c>
      <c r="DT11" s="78">
        <f t="shared" si="73"/>
        <v>0</v>
      </c>
      <c r="DU11" s="78">
        <f t="shared" si="74"/>
        <v>0</v>
      </c>
      <c r="DV11" s="78">
        <f t="shared" si="75"/>
        <v>0</v>
      </c>
      <c r="DW11" s="77">
        <f t="shared" si="76"/>
        <v>0</v>
      </c>
      <c r="DX11" s="79"/>
      <c r="DY11" s="78">
        <f t="shared" si="120"/>
        <v>0</v>
      </c>
      <c r="DZ11" s="78">
        <f t="shared" si="77"/>
        <v>0</v>
      </c>
      <c r="EA11" s="78">
        <f t="shared" si="78"/>
        <v>0</v>
      </c>
      <c r="EB11" s="78">
        <f t="shared" si="79"/>
        <v>0</v>
      </c>
      <c r="EC11" s="77">
        <f t="shared" si="80"/>
        <v>0</v>
      </c>
      <c r="ED11" s="79"/>
      <c r="EE11" s="78">
        <f t="shared" si="121"/>
        <v>0</v>
      </c>
      <c r="EF11" s="78">
        <f t="shared" si="81"/>
        <v>0</v>
      </c>
      <c r="EG11" s="78">
        <f t="shared" si="82"/>
        <v>0</v>
      </c>
      <c r="EH11" s="78">
        <f t="shared" si="83"/>
        <v>0</v>
      </c>
      <c r="EI11" s="77">
        <f t="shared" si="84"/>
        <v>0</v>
      </c>
      <c r="EJ11" s="79"/>
      <c r="EK11" s="78">
        <f t="shared" si="122"/>
        <v>0</v>
      </c>
      <c r="EL11" s="78">
        <f t="shared" si="85"/>
        <v>0</v>
      </c>
      <c r="EM11" s="78">
        <f t="shared" si="86"/>
        <v>0</v>
      </c>
      <c r="EN11" s="78">
        <f t="shared" si="87"/>
        <v>0</v>
      </c>
      <c r="EO11" s="77">
        <f t="shared" si="88"/>
        <v>0</v>
      </c>
      <c r="EP11" s="79"/>
      <c r="EQ11" s="78">
        <f t="shared" si="123"/>
        <v>0</v>
      </c>
      <c r="ER11" s="78">
        <f t="shared" si="89"/>
        <v>0</v>
      </c>
      <c r="ES11" s="78">
        <f t="shared" si="90"/>
        <v>0</v>
      </c>
      <c r="ET11" s="78">
        <f t="shared" si="91"/>
        <v>0</v>
      </c>
      <c r="EU11" s="77">
        <f t="shared" si="92"/>
        <v>0</v>
      </c>
      <c r="EV11" s="79"/>
      <c r="EW11" s="78">
        <f t="shared" si="124"/>
        <v>0</v>
      </c>
      <c r="EX11" s="78">
        <f t="shared" si="93"/>
        <v>0</v>
      </c>
      <c r="EY11" s="78">
        <f t="shared" si="94"/>
        <v>0</v>
      </c>
      <c r="EZ11" s="78">
        <f t="shared" si="95"/>
        <v>0</v>
      </c>
      <c r="FA11" s="77">
        <f t="shared" si="96"/>
        <v>0</v>
      </c>
      <c r="FB11" s="79"/>
      <c r="FC11" s="78">
        <f t="shared" si="125"/>
        <v>0</v>
      </c>
      <c r="FD11" s="78">
        <f t="shared" si="97"/>
        <v>0</v>
      </c>
      <c r="FE11" s="78">
        <f t="shared" si="98"/>
        <v>0</v>
      </c>
      <c r="FF11" s="78">
        <f t="shared" si="99"/>
        <v>0</v>
      </c>
      <c r="FG11" s="77">
        <f t="shared" si="100"/>
        <v>0</v>
      </c>
      <c r="FH11" s="79"/>
      <c r="FI11" s="80"/>
      <c r="FJ11" s="78"/>
      <c r="FK11" s="78"/>
      <c r="FL11" s="78"/>
      <c r="FM11" s="77">
        <f t="shared" si="101"/>
        <v>0</v>
      </c>
    </row>
    <row r="12" spans="1:169" s="52" customFormat="1" ht="12.75">
      <c r="A12" s="51">
        <v>44835</v>
      </c>
      <c r="C12" s="36"/>
      <c r="D12" s="36">
        <v>0</v>
      </c>
      <c r="E12" s="77">
        <f t="shared" si="0"/>
        <v>0</v>
      </c>
      <c r="F12" s="77"/>
      <c r="G12" s="77"/>
      <c r="H12" s="79"/>
      <c r="I12" s="79">
        <f>'2011B Academic'!I12</f>
        <v>0</v>
      </c>
      <c r="J12" s="79">
        <f>'2011B Academic'!J12</f>
        <v>0</v>
      </c>
      <c r="K12" s="79">
        <f t="shared" si="1"/>
        <v>0</v>
      </c>
      <c r="L12" s="79">
        <f>'2011B Academic'!L12</f>
        <v>0</v>
      </c>
      <c r="M12" s="79">
        <f>'2011B Academic'!M12</f>
        <v>0</v>
      </c>
      <c r="N12" s="79"/>
      <c r="O12" s="78">
        <f t="shared" si="2"/>
        <v>0</v>
      </c>
      <c r="P12" s="80">
        <f t="shared" si="2"/>
        <v>0</v>
      </c>
      <c r="Q12" s="78">
        <f t="shared" si="3"/>
        <v>0</v>
      </c>
      <c r="R12" s="78">
        <f t="shared" si="4"/>
        <v>0</v>
      </c>
      <c r="S12" s="78">
        <f t="shared" si="4"/>
        <v>0</v>
      </c>
      <c r="T12" s="79"/>
      <c r="U12" s="78"/>
      <c r="V12" s="77">
        <f t="shared" si="5"/>
        <v>0</v>
      </c>
      <c r="W12" s="78">
        <f t="shared" si="6"/>
        <v>0</v>
      </c>
      <c r="X12" s="78">
        <f t="shared" si="7"/>
        <v>0</v>
      </c>
      <c r="Y12" s="77">
        <f t="shared" si="8"/>
        <v>0</v>
      </c>
      <c r="Z12" s="79"/>
      <c r="AA12" s="78"/>
      <c r="AB12" s="78">
        <f t="shared" si="9"/>
        <v>0</v>
      </c>
      <c r="AC12" s="78">
        <f t="shared" si="10"/>
        <v>0</v>
      </c>
      <c r="AD12" s="78">
        <f t="shared" si="11"/>
        <v>0</v>
      </c>
      <c r="AE12" s="77">
        <f t="shared" si="12"/>
        <v>0</v>
      </c>
      <c r="AF12" s="79"/>
      <c r="AG12" s="78"/>
      <c r="AH12" s="78">
        <f t="shared" si="13"/>
        <v>0</v>
      </c>
      <c r="AI12" s="78">
        <f t="shared" si="14"/>
        <v>0</v>
      </c>
      <c r="AJ12" s="78">
        <f t="shared" si="15"/>
        <v>0</v>
      </c>
      <c r="AK12" s="77">
        <f t="shared" si="16"/>
        <v>0</v>
      </c>
      <c r="AL12" s="79"/>
      <c r="AM12" s="78"/>
      <c r="AN12" s="78">
        <f t="shared" si="17"/>
        <v>0</v>
      </c>
      <c r="AO12" s="78">
        <f t="shared" si="18"/>
        <v>0</v>
      </c>
      <c r="AP12" s="78">
        <f t="shared" si="19"/>
        <v>0</v>
      </c>
      <c r="AQ12" s="77">
        <f t="shared" si="20"/>
        <v>0</v>
      </c>
      <c r="AR12" s="79"/>
      <c r="AS12" s="78"/>
      <c r="AT12" s="78">
        <f t="shared" si="21"/>
        <v>0</v>
      </c>
      <c r="AU12" s="78">
        <f t="shared" si="22"/>
        <v>0</v>
      </c>
      <c r="AV12" s="78">
        <f t="shared" si="23"/>
        <v>0</v>
      </c>
      <c r="AW12" s="77">
        <f t="shared" si="24"/>
        <v>0</v>
      </c>
      <c r="AX12" s="79"/>
      <c r="AY12" s="78"/>
      <c r="AZ12" s="78">
        <f t="shared" si="25"/>
        <v>0</v>
      </c>
      <c r="BA12" s="78">
        <f t="shared" si="26"/>
        <v>0</v>
      </c>
      <c r="BB12" s="78">
        <f t="shared" si="27"/>
        <v>0</v>
      </c>
      <c r="BC12" s="77">
        <f t="shared" si="28"/>
        <v>0</v>
      </c>
      <c r="BD12" s="79"/>
      <c r="BE12" s="78"/>
      <c r="BF12" s="78">
        <f t="shared" si="29"/>
        <v>0</v>
      </c>
      <c r="BG12" s="78">
        <f t="shared" si="30"/>
        <v>0</v>
      </c>
      <c r="BH12" s="78">
        <f t="shared" si="31"/>
        <v>0</v>
      </c>
      <c r="BI12" s="77">
        <f t="shared" si="32"/>
        <v>0</v>
      </c>
      <c r="BJ12" s="79"/>
      <c r="BK12" s="78"/>
      <c r="BL12" s="78">
        <f t="shared" si="33"/>
        <v>0</v>
      </c>
      <c r="BM12" s="78">
        <f t="shared" si="34"/>
        <v>0</v>
      </c>
      <c r="BN12" s="78">
        <f t="shared" si="35"/>
        <v>0</v>
      </c>
      <c r="BO12" s="77">
        <f t="shared" si="36"/>
        <v>0</v>
      </c>
      <c r="BP12" s="79"/>
      <c r="BQ12" s="78"/>
      <c r="BR12" s="78">
        <f t="shared" si="37"/>
        <v>0</v>
      </c>
      <c r="BS12" s="78">
        <f t="shared" si="38"/>
        <v>0</v>
      </c>
      <c r="BT12" s="78">
        <f t="shared" si="39"/>
        <v>0</v>
      </c>
      <c r="BU12" s="77">
        <f t="shared" si="40"/>
        <v>0</v>
      </c>
      <c r="BV12" s="79"/>
      <c r="BW12" s="78"/>
      <c r="BX12" s="78">
        <f t="shared" si="41"/>
        <v>0</v>
      </c>
      <c r="BY12" s="78">
        <f t="shared" si="42"/>
        <v>0</v>
      </c>
      <c r="BZ12" s="78">
        <f t="shared" si="43"/>
        <v>0</v>
      </c>
      <c r="CA12" s="77">
        <f t="shared" si="44"/>
        <v>0</v>
      </c>
      <c r="CB12" s="79"/>
      <c r="CC12" s="78"/>
      <c r="CD12" s="78">
        <f t="shared" si="45"/>
        <v>0</v>
      </c>
      <c r="CE12" s="78">
        <f t="shared" si="46"/>
        <v>0</v>
      </c>
      <c r="CF12" s="78">
        <f t="shared" si="47"/>
        <v>0</v>
      </c>
      <c r="CG12" s="77">
        <f t="shared" si="48"/>
        <v>0</v>
      </c>
      <c r="CH12" s="79"/>
      <c r="CI12" s="78"/>
      <c r="CJ12" s="78">
        <f t="shared" si="49"/>
        <v>0</v>
      </c>
      <c r="CK12" s="78">
        <f t="shared" si="50"/>
        <v>0</v>
      </c>
      <c r="CL12" s="78">
        <f t="shared" si="51"/>
        <v>0</v>
      </c>
      <c r="CM12" s="77">
        <f t="shared" si="52"/>
        <v>0</v>
      </c>
      <c r="CN12" s="79"/>
      <c r="CO12" s="78"/>
      <c r="CP12" s="78">
        <f t="shared" si="53"/>
        <v>0</v>
      </c>
      <c r="CQ12" s="78">
        <f t="shared" si="54"/>
        <v>0</v>
      </c>
      <c r="CR12" s="78">
        <f t="shared" si="55"/>
        <v>0</v>
      </c>
      <c r="CS12" s="77">
        <f t="shared" si="56"/>
        <v>0</v>
      </c>
      <c r="CT12" s="79"/>
      <c r="CU12" s="78"/>
      <c r="CV12" s="78">
        <f t="shared" si="57"/>
        <v>0</v>
      </c>
      <c r="CW12" s="78">
        <f t="shared" si="58"/>
        <v>0</v>
      </c>
      <c r="CX12" s="78">
        <f t="shared" si="59"/>
        <v>0</v>
      </c>
      <c r="CY12" s="77">
        <f t="shared" si="60"/>
        <v>0</v>
      </c>
      <c r="CZ12" s="79"/>
      <c r="DA12" s="78"/>
      <c r="DB12" s="78">
        <f t="shared" si="61"/>
        <v>0</v>
      </c>
      <c r="DC12" s="78">
        <f t="shared" si="62"/>
        <v>0</v>
      </c>
      <c r="DD12" s="78">
        <f t="shared" si="63"/>
        <v>0</v>
      </c>
      <c r="DE12" s="77">
        <f t="shared" si="64"/>
        <v>0</v>
      </c>
      <c r="DF12" s="79"/>
      <c r="DG12" s="78"/>
      <c r="DH12" s="78">
        <f t="shared" si="65"/>
        <v>0</v>
      </c>
      <c r="DI12" s="78">
        <f t="shared" si="66"/>
        <v>0</v>
      </c>
      <c r="DJ12" s="78">
        <f t="shared" si="67"/>
        <v>0</v>
      </c>
      <c r="DK12" s="77">
        <f t="shared" si="68"/>
        <v>0</v>
      </c>
      <c r="DL12" s="79"/>
      <c r="DM12" s="90"/>
      <c r="DN12" s="90">
        <f t="shared" si="69"/>
        <v>0</v>
      </c>
      <c r="DO12" s="90">
        <f t="shared" si="70"/>
        <v>0</v>
      </c>
      <c r="DP12" s="90">
        <f t="shared" si="71"/>
        <v>0</v>
      </c>
      <c r="DQ12" s="92">
        <f t="shared" si="72"/>
        <v>0</v>
      </c>
      <c r="DR12" s="79"/>
      <c r="DS12" s="78"/>
      <c r="DT12" s="78">
        <f t="shared" si="73"/>
        <v>0</v>
      </c>
      <c r="DU12" s="78">
        <f t="shared" si="74"/>
        <v>0</v>
      </c>
      <c r="DV12" s="78">
        <f t="shared" si="75"/>
        <v>0</v>
      </c>
      <c r="DW12" s="77">
        <f t="shared" si="76"/>
        <v>0</v>
      </c>
      <c r="DX12" s="79"/>
      <c r="DY12" s="78"/>
      <c r="DZ12" s="78">
        <f t="shared" si="77"/>
        <v>0</v>
      </c>
      <c r="EA12" s="78">
        <f t="shared" si="78"/>
        <v>0</v>
      </c>
      <c r="EB12" s="78">
        <f t="shared" si="79"/>
        <v>0</v>
      </c>
      <c r="EC12" s="77">
        <f t="shared" si="80"/>
        <v>0</v>
      </c>
      <c r="ED12" s="79"/>
      <c r="EE12" s="78"/>
      <c r="EF12" s="78">
        <f t="shared" si="81"/>
        <v>0</v>
      </c>
      <c r="EG12" s="78">
        <f t="shared" si="82"/>
        <v>0</v>
      </c>
      <c r="EH12" s="78">
        <f t="shared" si="83"/>
        <v>0</v>
      </c>
      <c r="EI12" s="77">
        <f t="shared" si="84"/>
        <v>0</v>
      </c>
      <c r="EJ12" s="79"/>
      <c r="EK12" s="78"/>
      <c r="EL12" s="78">
        <f t="shared" si="85"/>
        <v>0</v>
      </c>
      <c r="EM12" s="78">
        <f t="shared" si="86"/>
        <v>0</v>
      </c>
      <c r="EN12" s="78">
        <f t="shared" si="87"/>
        <v>0</v>
      </c>
      <c r="EO12" s="77">
        <f t="shared" si="88"/>
        <v>0</v>
      </c>
      <c r="EP12" s="79"/>
      <c r="EQ12" s="78"/>
      <c r="ER12" s="78">
        <f t="shared" si="89"/>
        <v>0</v>
      </c>
      <c r="ES12" s="78">
        <f t="shared" si="90"/>
        <v>0</v>
      </c>
      <c r="ET12" s="78">
        <f t="shared" si="91"/>
        <v>0</v>
      </c>
      <c r="EU12" s="77">
        <f t="shared" si="92"/>
        <v>0</v>
      </c>
      <c r="EV12" s="79"/>
      <c r="EW12" s="78"/>
      <c r="EX12" s="78">
        <f t="shared" si="93"/>
        <v>0</v>
      </c>
      <c r="EY12" s="78">
        <f t="shared" si="94"/>
        <v>0</v>
      </c>
      <c r="EZ12" s="78">
        <f t="shared" si="95"/>
        <v>0</v>
      </c>
      <c r="FA12" s="77">
        <f t="shared" si="96"/>
        <v>0</v>
      </c>
      <c r="FB12" s="79"/>
      <c r="FC12" s="78"/>
      <c r="FD12" s="78">
        <f t="shared" si="97"/>
        <v>0</v>
      </c>
      <c r="FE12" s="78">
        <f t="shared" si="98"/>
        <v>0</v>
      </c>
      <c r="FF12" s="78">
        <f t="shared" si="99"/>
        <v>0</v>
      </c>
      <c r="FG12" s="77">
        <f t="shared" si="100"/>
        <v>0</v>
      </c>
      <c r="FH12" s="79"/>
      <c r="FI12" s="80"/>
      <c r="FJ12" s="78"/>
      <c r="FK12" s="78"/>
      <c r="FL12" s="78"/>
      <c r="FM12" s="77">
        <f t="shared" si="101"/>
        <v>0</v>
      </c>
    </row>
    <row r="13" spans="1:169" s="52" customFormat="1" ht="12.75">
      <c r="A13" s="51">
        <v>45017</v>
      </c>
      <c r="C13" s="36">
        <v>0</v>
      </c>
      <c r="D13" s="36">
        <v>0</v>
      </c>
      <c r="E13" s="77">
        <f t="shared" si="0"/>
        <v>0</v>
      </c>
      <c r="F13" s="77"/>
      <c r="G13" s="77"/>
      <c r="H13" s="79"/>
      <c r="I13" s="79">
        <f>'2011B Academic'!I13</f>
        <v>0</v>
      </c>
      <c r="J13" s="79">
        <f>'2011B Academic'!J13</f>
        <v>0</v>
      </c>
      <c r="K13" s="79">
        <f t="shared" si="1"/>
        <v>0</v>
      </c>
      <c r="L13" s="79">
        <f>'2011B Academic'!L13</f>
        <v>0</v>
      </c>
      <c r="M13" s="79">
        <f>'2011B Academic'!M13</f>
        <v>0</v>
      </c>
      <c r="N13" s="79"/>
      <c r="O13" s="78">
        <f t="shared" si="2"/>
        <v>0</v>
      </c>
      <c r="P13" s="80">
        <f t="shared" si="2"/>
        <v>0</v>
      </c>
      <c r="Q13" s="78">
        <f t="shared" si="3"/>
        <v>0</v>
      </c>
      <c r="R13" s="78">
        <f t="shared" si="4"/>
        <v>0</v>
      </c>
      <c r="S13" s="78">
        <f t="shared" si="4"/>
        <v>0</v>
      </c>
      <c r="T13" s="79"/>
      <c r="U13" s="78">
        <f t="shared" si="102"/>
        <v>0</v>
      </c>
      <c r="V13" s="77">
        <f t="shared" si="5"/>
        <v>0</v>
      </c>
      <c r="W13" s="78">
        <f t="shared" si="6"/>
        <v>0</v>
      </c>
      <c r="X13" s="78">
        <f t="shared" si="7"/>
        <v>0</v>
      </c>
      <c r="Y13" s="77">
        <f t="shared" si="8"/>
        <v>0</v>
      </c>
      <c r="Z13" s="79"/>
      <c r="AA13" s="78">
        <f t="shared" si="103"/>
        <v>0</v>
      </c>
      <c r="AB13" s="78">
        <f t="shared" si="9"/>
        <v>0</v>
      </c>
      <c r="AC13" s="78">
        <f t="shared" si="10"/>
        <v>0</v>
      </c>
      <c r="AD13" s="78">
        <f t="shared" si="11"/>
        <v>0</v>
      </c>
      <c r="AE13" s="77">
        <f t="shared" si="12"/>
        <v>0</v>
      </c>
      <c r="AF13" s="79"/>
      <c r="AG13" s="78">
        <f t="shared" si="104"/>
        <v>0</v>
      </c>
      <c r="AH13" s="78">
        <f t="shared" si="13"/>
        <v>0</v>
      </c>
      <c r="AI13" s="78">
        <f t="shared" si="14"/>
        <v>0</v>
      </c>
      <c r="AJ13" s="78">
        <f t="shared" si="15"/>
        <v>0</v>
      </c>
      <c r="AK13" s="77">
        <f t="shared" si="16"/>
        <v>0</v>
      </c>
      <c r="AL13" s="79"/>
      <c r="AM13" s="78">
        <f t="shared" si="105"/>
        <v>0</v>
      </c>
      <c r="AN13" s="78">
        <f t="shared" si="17"/>
        <v>0</v>
      </c>
      <c r="AO13" s="78">
        <f t="shared" si="18"/>
        <v>0</v>
      </c>
      <c r="AP13" s="78">
        <f t="shared" si="19"/>
        <v>0</v>
      </c>
      <c r="AQ13" s="77">
        <f t="shared" si="20"/>
        <v>0</v>
      </c>
      <c r="AR13" s="79"/>
      <c r="AS13" s="78">
        <f t="shared" si="106"/>
        <v>0</v>
      </c>
      <c r="AT13" s="78">
        <f t="shared" si="21"/>
        <v>0</v>
      </c>
      <c r="AU13" s="78">
        <f t="shared" si="22"/>
        <v>0</v>
      </c>
      <c r="AV13" s="78">
        <f t="shared" si="23"/>
        <v>0</v>
      </c>
      <c r="AW13" s="77">
        <f t="shared" si="24"/>
        <v>0</v>
      </c>
      <c r="AX13" s="79"/>
      <c r="AY13" s="78">
        <f t="shared" si="107"/>
        <v>0</v>
      </c>
      <c r="AZ13" s="78">
        <f t="shared" si="25"/>
        <v>0</v>
      </c>
      <c r="BA13" s="78">
        <f t="shared" si="26"/>
        <v>0</v>
      </c>
      <c r="BB13" s="78">
        <f t="shared" si="27"/>
        <v>0</v>
      </c>
      <c r="BC13" s="77">
        <f t="shared" si="28"/>
        <v>0</v>
      </c>
      <c r="BD13" s="79"/>
      <c r="BE13" s="78">
        <f t="shared" si="108"/>
        <v>0</v>
      </c>
      <c r="BF13" s="78">
        <f t="shared" si="29"/>
        <v>0</v>
      </c>
      <c r="BG13" s="78">
        <f t="shared" si="30"/>
        <v>0</v>
      </c>
      <c r="BH13" s="78">
        <f t="shared" si="31"/>
        <v>0</v>
      </c>
      <c r="BI13" s="77">
        <f t="shared" si="32"/>
        <v>0</v>
      </c>
      <c r="BJ13" s="79"/>
      <c r="BK13" s="78">
        <f t="shared" si="109"/>
        <v>0</v>
      </c>
      <c r="BL13" s="78">
        <f t="shared" si="33"/>
        <v>0</v>
      </c>
      <c r="BM13" s="78">
        <f t="shared" si="34"/>
        <v>0</v>
      </c>
      <c r="BN13" s="78">
        <f t="shared" si="35"/>
        <v>0</v>
      </c>
      <c r="BO13" s="77">
        <f t="shared" si="36"/>
        <v>0</v>
      </c>
      <c r="BP13" s="79"/>
      <c r="BQ13" s="78">
        <f t="shared" si="110"/>
        <v>0</v>
      </c>
      <c r="BR13" s="78">
        <f t="shared" si="37"/>
        <v>0</v>
      </c>
      <c r="BS13" s="78">
        <f t="shared" si="38"/>
        <v>0</v>
      </c>
      <c r="BT13" s="78">
        <f t="shared" si="39"/>
        <v>0</v>
      </c>
      <c r="BU13" s="77">
        <f t="shared" si="40"/>
        <v>0</v>
      </c>
      <c r="BV13" s="79"/>
      <c r="BW13" s="78">
        <f t="shared" si="111"/>
        <v>0</v>
      </c>
      <c r="BX13" s="78">
        <f t="shared" si="41"/>
        <v>0</v>
      </c>
      <c r="BY13" s="78">
        <f t="shared" si="42"/>
        <v>0</v>
      </c>
      <c r="BZ13" s="78">
        <f t="shared" si="43"/>
        <v>0</v>
      </c>
      <c r="CA13" s="77">
        <f t="shared" si="44"/>
        <v>0</v>
      </c>
      <c r="CB13" s="79"/>
      <c r="CC13" s="78">
        <f t="shared" si="112"/>
        <v>0</v>
      </c>
      <c r="CD13" s="78">
        <f t="shared" si="45"/>
        <v>0</v>
      </c>
      <c r="CE13" s="78">
        <f t="shared" si="46"/>
        <v>0</v>
      </c>
      <c r="CF13" s="78">
        <f t="shared" si="47"/>
        <v>0</v>
      </c>
      <c r="CG13" s="77">
        <f t="shared" si="48"/>
        <v>0</v>
      </c>
      <c r="CH13" s="79"/>
      <c r="CI13" s="78">
        <f t="shared" si="113"/>
        <v>0</v>
      </c>
      <c r="CJ13" s="78">
        <f t="shared" si="49"/>
        <v>0</v>
      </c>
      <c r="CK13" s="78">
        <f t="shared" si="50"/>
        <v>0</v>
      </c>
      <c r="CL13" s="78">
        <f t="shared" si="51"/>
        <v>0</v>
      </c>
      <c r="CM13" s="77">
        <f t="shared" si="52"/>
        <v>0</v>
      </c>
      <c r="CN13" s="79"/>
      <c r="CO13" s="78">
        <f t="shared" si="114"/>
        <v>0</v>
      </c>
      <c r="CP13" s="78">
        <f t="shared" si="53"/>
        <v>0</v>
      </c>
      <c r="CQ13" s="78">
        <f t="shared" si="54"/>
        <v>0</v>
      </c>
      <c r="CR13" s="78">
        <f t="shared" si="55"/>
        <v>0</v>
      </c>
      <c r="CS13" s="77">
        <f t="shared" si="56"/>
        <v>0</v>
      </c>
      <c r="CT13" s="79"/>
      <c r="CU13" s="78">
        <f t="shared" si="115"/>
        <v>0</v>
      </c>
      <c r="CV13" s="78">
        <f t="shared" si="57"/>
        <v>0</v>
      </c>
      <c r="CW13" s="78">
        <f t="shared" si="58"/>
        <v>0</v>
      </c>
      <c r="CX13" s="78">
        <f t="shared" si="59"/>
        <v>0</v>
      </c>
      <c r="CY13" s="77">
        <f t="shared" si="60"/>
        <v>0</v>
      </c>
      <c r="CZ13" s="79"/>
      <c r="DA13" s="78">
        <f t="shared" si="116"/>
        <v>0</v>
      </c>
      <c r="DB13" s="78">
        <f t="shared" si="61"/>
        <v>0</v>
      </c>
      <c r="DC13" s="78">
        <f t="shared" si="62"/>
        <v>0</v>
      </c>
      <c r="DD13" s="78">
        <f t="shared" si="63"/>
        <v>0</v>
      </c>
      <c r="DE13" s="77">
        <f t="shared" si="64"/>
        <v>0</v>
      </c>
      <c r="DF13" s="79"/>
      <c r="DG13" s="78">
        <f t="shared" si="117"/>
        <v>0</v>
      </c>
      <c r="DH13" s="78">
        <f t="shared" si="65"/>
        <v>0</v>
      </c>
      <c r="DI13" s="78">
        <f t="shared" si="66"/>
        <v>0</v>
      </c>
      <c r="DJ13" s="78">
        <f t="shared" si="67"/>
        <v>0</v>
      </c>
      <c r="DK13" s="77">
        <f t="shared" si="68"/>
        <v>0</v>
      </c>
      <c r="DL13" s="79"/>
      <c r="DM13" s="90">
        <f t="shared" si="118"/>
        <v>0</v>
      </c>
      <c r="DN13" s="90">
        <f t="shared" si="69"/>
        <v>0</v>
      </c>
      <c r="DO13" s="90">
        <f t="shared" si="70"/>
        <v>0</v>
      </c>
      <c r="DP13" s="90">
        <f t="shared" si="71"/>
        <v>0</v>
      </c>
      <c r="DQ13" s="92">
        <f t="shared" si="72"/>
        <v>0</v>
      </c>
      <c r="DR13" s="79"/>
      <c r="DS13" s="78">
        <f t="shared" si="119"/>
        <v>0</v>
      </c>
      <c r="DT13" s="78">
        <f t="shared" si="73"/>
        <v>0</v>
      </c>
      <c r="DU13" s="78">
        <f t="shared" si="74"/>
        <v>0</v>
      </c>
      <c r="DV13" s="78">
        <f t="shared" si="75"/>
        <v>0</v>
      </c>
      <c r="DW13" s="77">
        <f t="shared" si="76"/>
        <v>0</v>
      </c>
      <c r="DX13" s="79"/>
      <c r="DY13" s="78">
        <f t="shared" si="120"/>
        <v>0</v>
      </c>
      <c r="DZ13" s="78">
        <f t="shared" si="77"/>
        <v>0</v>
      </c>
      <c r="EA13" s="78">
        <f t="shared" si="78"/>
        <v>0</v>
      </c>
      <c r="EB13" s="78">
        <f t="shared" si="79"/>
        <v>0</v>
      </c>
      <c r="EC13" s="77">
        <f t="shared" si="80"/>
        <v>0</v>
      </c>
      <c r="ED13" s="79"/>
      <c r="EE13" s="78">
        <f t="shared" si="121"/>
        <v>0</v>
      </c>
      <c r="EF13" s="78">
        <f t="shared" si="81"/>
        <v>0</v>
      </c>
      <c r="EG13" s="78">
        <f t="shared" si="82"/>
        <v>0</v>
      </c>
      <c r="EH13" s="78">
        <f t="shared" si="83"/>
        <v>0</v>
      </c>
      <c r="EI13" s="77">
        <f t="shared" si="84"/>
        <v>0</v>
      </c>
      <c r="EJ13" s="79"/>
      <c r="EK13" s="78">
        <f t="shared" si="122"/>
        <v>0</v>
      </c>
      <c r="EL13" s="78">
        <f t="shared" si="85"/>
        <v>0</v>
      </c>
      <c r="EM13" s="78">
        <f t="shared" si="86"/>
        <v>0</v>
      </c>
      <c r="EN13" s="78">
        <f t="shared" si="87"/>
        <v>0</v>
      </c>
      <c r="EO13" s="77">
        <f t="shared" si="88"/>
        <v>0</v>
      </c>
      <c r="EP13" s="79"/>
      <c r="EQ13" s="78">
        <f t="shared" si="123"/>
        <v>0</v>
      </c>
      <c r="ER13" s="78">
        <f t="shared" si="89"/>
        <v>0</v>
      </c>
      <c r="ES13" s="78">
        <f t="shared" si="90"/>
        <v>0</v>
      </c>
      <c r="ET13" s="78">
        <f t="shared" si="91"/>
        <v>0</v>
      </c>
      <c r="EU13" s="77">
        <f t="shared" si="92"/>
        <v>0</v>
      </c>
      <c r="EV13" s="79"/>
      <c r="EW13" s="78">
        <f t="shared" si="124"/>
        <v>0</v>
      </c>
      <c r="EX13" s="78">
        <f t="shared" si="93"/>
        <v>0</v>
      </c>
      <c r="EY13" s="78">
        <f t="shared" si="94"/>
        <v>0</v>
      </c>
      <c r="EZ13" s="78">
        <f t="shared" si="95"/>
        <v>0</v>
      </c>
      <c r="FA13" s="77">
        <f t="shared" si="96"/>
        <v>0</v>
      </c>
      <c r="FB13" s="79"/>
      <c r="FC13" s="78">
        <f t="shared" si="125"/>
        <v>0</v>
      </c>
      <c r="FD13" s="78">
        <f t="shared" si="97"/>
        <v>0</v>
      </c>
      <c r="FE13" s="78">
        <f t="shared" si="98"/>
        <v>0</v>
      </c>
      <c r="FF13" s="78">
        <f t="shared" si="99"/>
        <v>0</v>
      </c>
      <c r="FG13" s="77">
        <f t="shared" si="100"/>
        <v>0</v>
      </c>
      <c r="FH13" s="79"/>
      <c r="FI13" s="80"/>
      <c r="FJ13" s="78"/>
      <c r="FK13" s="78"/>
      <c r="FL13" s="78"/>
      <c r="FM13" s="77">
        <f t="shared" si="101"/>
        <v>0</v>
      </c>
    </row>
    <row r="14" spans="1:169" s="52" customFormat="1" ht="12.75">
      <c r="A14" s="51">
        <v>45200</v>
      </c>
      <c r="C14" s="36"/>
      <c r="D14" s="36">
        <v>0</v>
      </c>
      <c r="E14" s="77">
        <f t="shared" si="0"/>
        <v>0</v>
      </c>
      <c r="F14" s="77"/>
      <c r="G14" s="77"/>
      <c r="H14" s="79"/>
      <c r="I14" s="79">
        <f>'2011B Academic'!I14</f>
        <v>0</v>
      </c>
      <c r="J14" s="79">
        <f>'2011B Academic'!J14</f>
        <v>0</v>
      </c>
      <c r="K14" s="79">
        <f t="shared" si="1"/>
        <v>0</v>
      </c>
      <c r="L14" s="79">
        <f>'2011B Academic'!L14</f>
        <v>0</v>
      </c>
      <c r="M14" s="79">
        <f>'2011B Academic'!M14</f>
        <v>0</v>
      </c>
      <c r="N14" s="79"/>
      <c r="O14" s="78">
        <f t="shared" si="2"/>
        <v>0</v>
      </c>
      <c r="P14" s="80">
        <f t="shared" si="2"/>
        <v>0</v>
      </c>
      <c r="Q14" s="78">
        <f t="shared" si="3"/>
        <v>0</v>
      </c>
      <c r="R14" s="78">
        <f t="shared" si="4"/>
        <v>0</v>
      </c>
      <c r="S14" s="78">
        <f t="shared" si="4"/>
        <v>0</v>
      </c>
      <c r="T14" s="79"/>
      <c r="U14" s="78"/>
      <c r="V14" s="77">
        <f t="shared" si="5"/>
        <v>0</v>
      </c>
      <c r="W14" s="78">
        <f t="shared" si="6"/>
        <v>0</v>
      </c>
      <c r="X14" s="78">
        <f t="shared" si="7"/>
        <v>0</v>
      </c>
      <c r="Y14" s="77">
        <f t="shared" si="8"/>
        <v>0</v>
      </c>
      <c r="Z14" s="79"/>
      <c r="AA14" s="78"/>
      <c r="AB14" s="78">
        <f t="shared" si="9"/>
        <v>0</v>
      </c>
      <c r="AC14" s="78">
        <f t="shared" si="10"/>
        <v>0</v>
      </c>
      <c r="AD14" s="78">
        <f t="shared" si="11"/>
        <v>0</v>
      </c>
      <c r="AE14" s="77">
        <f t="shared" si="12"/>
        <v>0</v>
      </c>
      <c r="AF14" s="79"/>
      <c r="AG14" s="78"/>
      <c r="AH14" s="78">
        <f t="shared" si="13"/>
        <v>0</v>
      </c>
      <c r="AI14" s="78">
        <f t="shared" si="14"/>
        <v>0</v>
      </c>
      <c r="AJ14" s="78">
        <f t="shared" si="15"/>
        <v>0</v>
      </c>
      <c r="AK14" s="77">
        <f t="shared" si="16"/>
        <v>0</v>
      </c>
      <c r="AL14" s="79"/>
      <c r="AM14" s="78"/>
      <c r="AN14" s="78">
        <f t="shared" si="17"/>
        <v>0</v>
      </c>
      <c r="AO14" s="78">
        <f t="shared" si="18"/>
        <v>0</v>
      </c>
      <c r="AP14" s="78">
        <f t="shared" si="19"/>
        <v>0</v>
      </c>
      <c r="AQ14" s="77">
        <f t="shared" si="20"/>
        <v>0</v>
      </c>
      <c r="AR14" s="79"/>
      <c r="AS14" s="78"/>
      <c r="AT14" s="78">
        <f t="shared" si="21"/>
        <v>0</v>
      </c>
      <c r="AU14" s="78">
        <f t="shared" si="22"/>
        <v>0</v>
      </c>
      <c r="AV14" s="78">
        <f t="shared" si="23"/>
        <v>0</v>
      </c>
      <c r="AW14" s="77">
        <f t="shared" si="24"/>
        <v>0</v>
      </c>
      <c r="AX14" s="79"/>
      <c r="AY14" s="78"/>
      <c r="AZ14" s="78">
        <f t="shared" si="25"/>
        <v>0</v>
      </c>
      <c r="BA14" s="78">
        <f t="shared" si="26"/>
        <v>0</v>
      </c>
      <c r="BB14" s="78">
        <f t="shared" si="27"/>
        <v>0</v>
      </c>
      <c r="BC14" s="77">
        <f t="shared" si="28"/>
        <v>0</v>
      </c>
      <c r="BD14" s="79"/>
      <c r="BE14" s="78"/>
      <c r="BF14" s="78">
        <f t="shared" si="29"/>
        <v>0</v>
      </c>
      <c r="BG14" s="78">
        <f t="shared" si="30"/>
        <v>0</v>
      </c>
      <c r="BH14" s="78">
        <f t="shared" si="31"/>
        <v>0</v>
      </c>
      <c r="BI14" s="77">
        <f t="shared" si="32"/>
        <v>0</v>
      </c>
      <c r="BJ14" s="79"/>
      <c r="BK14" s="78"/>
      <c r="BL14" s="78">
        <f t="shared" si="33"/>
        <v>0</v>
      </c>
      <c r="BM14" s="78">
        <f t="shared" si="34"/>
        <v>0</v>
      </c>
      <c r="BN14" s="78">
        <f t="shared" si="35"/>
        <v>0</v>
      </c>
      <c r="BO14" s="77">
        <f t="shared" si="36"/>
        <v>0</v>
      </c>
      <c r="BP14" s="79"/>
      <c r="BQ14" s="78"/>
      <c r="BR14" s="78">
        <f t="shared" si="37"/>
        <v>0</v>
      </c>
      <c r="BS14" s="78">
        <f t="shared" si="38"/>
        <v>0</v>
      </c>
      <c r="BT14" s="78">
        <f t="shared" si="39"/>
        <v>0</v>
      </c>
      <c r="BU14" s="77">
        <f t="shared" si="40"/>
        <v>0</v>
      </c>
      <c r="BV14" s="79"/>
      <c r="BW14" s="78"/>
      <c r="BX14" s="78">
        <f t="shared" si="41"/>
        <v>0</v>
      </c>
      <c r="BY14" s="78">
        <f t="shared" si="42"/>
        <v>0</v>
      </c>
      <c r="BZ14" s="78">
        <f t="shared" si="43"/>
        <v>0</v>
      </c>
      <c r="CA14" s="77">
        <f t="shared" si="44"/>
        <v>0</v>
      </c>
      <c r="CB14" s="79"/>
      <c r="CC14" s="78"/>
      <c r="CD14" s="78">
        <f t="shared" si="45"/>
        <v>0</v>
      </c>
      <c r="CE14" s="78">
        <f t="shared" si="46"/>
        <v>0</v>
      </c>
      <c r="CF14" s="78">
        <f t="shared" si="47"/>
        <v>0</v>
      </c>
      <c r="CG14" s="77">
        <f t="shared" si="48"/>
        <v>0</v>
      </c>
      <c r="CH14" s="79"/>
      <c r="CI14" s="78"/>
      <c r="CJ14" s="78">
        <f t="shared" si="49"/>
        <v>0</v>
      </c>
      <c r="CK14" s="78">
        <f t="shared" si="50"/>
        <v>0</v>
      </c>
      <c r="CL14" s="78">
        <f t="shared" si="51"/>
        <v>0</v>
      </c>
      <c r="CM14" s="77">
        <f t="shared" si="52"/>
        <v>0</v>
      </c>
      <c r="CN14" s="79"/>
      <c r="CO14" s="78"/>
      <c r="CP14" s="78">
        <f t="shared" si="53"/>
        <v>0</v>
      </c>
      <c r="CQ14" s="78">
        <f t="shared" si="54"/>
        <v>0</v>
      </c>
      <c r="CR14" s="78">
        <f t="shared" si="55"/>
        <v>0</v>
      </c>
      <c r="CS14" s="77">
        <f t="shared" si="56"/>
        <v>0</v>
      </c>
      <c r="CT14" s="79"/>
      <c r="CU14" s="78"/>
      <c r="CV14" s="78">
        <f t="shared" si="57"/>
        <v>0</v>
      </c>
      <c r="CW14" s="78">
        <f t="shared" si="58"/>
        <v>0</v>
      </c>
      <c r="CX14" s="78">
        <f t="shared" si="59"/>
        <v>0</v>
      </c>
      <c r="CY14" s="77">
        <f t="shared" si="60"/>
        <v>0</v>
      </c>
      <c r="CZ14" s="79"/>
      <c r="DA14" s="78"/>
      <c r="DB14" s="78">
        <f t="shared" si="61"/>
        <v>0</v>
      </c>
      <c r="DC14" s="78">
        <f t="shared" si="62"/>
        <v>0</v>
      </c>
      <c r="DD14" s="78">
        <f t="shared" si="63"/>
        <v>0</v>
      </c>
      <c r="DE14" s="77">
        <f t="shared" si="64"/>
        <v>0</v>
      </c>
      <c r="DF14" s="79"/>
      <c r="DG14" s="78"/>
      <c r="DH14" s="78">
        <f t="shared" si="65"/>
        <v>0</v>
      </c>
      <c r="DI14" s="78">
        <f t="shared" si="66"/>
        <v>0</v>
      </c>
      <c r="DJ14" s="78">
        <f t="shared" si="67"/>
        <v>0</v>
      </c>
      <c r="DK14" s="77">
        <f t="shared" si="68"/>
        <v>0</v>
      </c>
      <c r="DL14" s="79"/>
      <c r="DM14" s="90"/>
      <c r="DN14" s="90">
        <f t="shared" si="69"/>
        <v>0</v>
      </c>
      <c r="DO14" s="90">
        <f t="shared" si="70"/>
        <v>0</v>
      </c>
      <c r="DP14" s="90">
        <f t="shared" si="71"/>
        <v>0</v>
      </c>
      <c r="DQ14" s="92">
        <f t="shared" si="72"/>
        <v>0</v>
      </c>
      <c r="DR14" s="79"/>
      <c r="DS14" s="78"/>
      <c r="DT14" s="78">
        <f t="shared" si="73"/>
        <v>0</v>
      </c>
      <c r="DU14" s="78">
        <f t="shared" si="74"/>
        <v>0</v>
      </c>
      <c r="DV14" s="78">
        <f t="shared" si="75"/>
        <v>0</v>
      </c>
      <c r="DW14" s="77">
        <f t="shared" si="76"/>
        <v>0</v>
      </c>
      <c r="DX14" s="79"/>
      <c r="DY14" s="78"/>
      <c r="DZ14" s="78">
        <f t="shared" si="77"/>
        <v>0</v>
      </c>
      <c r="EA14" s="78">
        <f t="shared" si="78"/>
        <v>0</v>
      </c>
      <c r="EB14" s="78">
        <f t="shared" si="79"/>
        <v>0</v>
      </c>
      <c r="EC14" s="77">
        <f t="shared" si="80"/>
        <v>0</v>
      </c>
      <c r="ED14" s="79"/>
      <c r="EE14" s="78"/>
      <c r="EF14" s="78">
        <f t="shared" si="81"/>
        <v>0</v>
      </c>
      <c r="EG14" s="78">
        <f t="shared" si="82"/>
        <v>0</v>
      </c>
      <c r="EH14" s="78">
        <f t="shared" si="83"/>
        <v>0</v>
      </c>
      <c r="EI14" s="77">
        <f t="shared" si="84"/>
        <v>0</v>
      </c>
      <c r="EJ14" s="79"/>
      <c r="EK14" s="78"/>
      <c r="EL14" s="78">
        <f t="shared" si="85"/>
        <v>0</v>
      </c>
      <c r="EM14" s="78">
        <f t="shared" si="86"/>
        <v>0</v>
      </c>
      <c r="EN14" s="78">
        <f t="shared" si="87"/>
        <v>0</v>
      </c>
      <c r="EO14" s="77">
        <f t="shared" si="88"/>
        <v>0</v>
      </c>
      <c r="EP14" s="79"/>
      <c r="EQ14" s="78"/>
      <c r="ER14" s="78">
        <f t="shared" si="89"/>
        <v>0</v>
      </c>
      <c r="ES14" s="78">
        <f t="shared" si="90"/>
        <v>0</v>
      </c>
      <c r="ET14" s="78">
        <f t="shared" si="91"/>
        <v>0</v>
      </c>
      <c r="EU14" s="77">
        <f t="shared" si="92"/>
        <v>0</v>
      </c>
      <c r="EV14" s="79"/>
      <c r="EW14" s="78"/>
      <c r="EX14" s="78">
        <f t="shared" si="93"/>
        <v>0</v>
      </c>
      <c r="EY14" s="78">
        <f t="shared" si="94"/>
        <v>0</v>
      </c>
      <c r="EZ14" s="78">
        <f t="shared" si="95"/>
        <v>0</v>
      </c>
      <c r="FA14" s="77">
        <f t="shared" si="96"/>
        <v>0</v>
      </c>
      <c r="FB14" s="79"/>
      <c r="FC14" s="78"/>
      <c r="FD14" s="78">
        <f t="shared" si="97"/>
        <v>0</v>
      </c>
      <c r="FE14" s="78">
        <f t="shared" si="98"/>
        <v>0</v>
      </c>
      <c r="FF14" s="78">
        <f t="shared" si="99"/>
        <v>0</v>
      </c>
      <c r="FG14" s="77">
        <f t="shared" si="100"/>
        <v>0</v>
      </c>
      <c r="FH14" s="79"/>
      <c r="FI14" s="80"/>
      <c r="FJ14" s="78"/>
      <c r="FK14" s="78"/>
      <c r="FL14" s="78"/>
      <c r="FM14" s="77">
        <f t="shared" si="101"/>
        <v>0</v>
      </c>
    </row>
    <row r="15" spans="1:169" s="52" customFormat="1" ht="12.75">
      <c r="A15" s="51">
        <v>45383</v>
      </c>
      <c r="C15" s="36">
        <v>0</v>
      </c>
      <c r="D15" s="36">
        <v>0</v>
      </c>
      <c r="E15" s="77">
        <f t="shared" si="0"/>
        <v>0</v>
      </c>
      <c r="F15" s="77"/>
      <c r="G15" s="77"/>
      <c r="H15" s="79"/>
      <c r="I15" s="79">
        <f>'2011B Academic'!I15</f>
        <v>0</v>
      </c>
      <c r="J15" s="79">
        <f>'2011B Academic'!J15</f>
        <v>0</v>
      </c>
      <c r="K15" s="79">
        <f t="shared" si="1"/>
        <v>0</v>
      </c>
      <c r="L15" s="79">
        <f>'2011B Academic'!L15</f>
        <v>0</v>
      </c>
      <c r="M15" s="79">
        <f>'2011B Academic'!M15</f>
        <v>0</v>
      </c>
      <c r="N15" s="79"/>
      <c r="O15" s="78">
        <f t="shared" si="2"/>
        <v>0</v>
      </c>
      <c r="P15" s="80">
        <f t="shared" si="2"/>
        <v>0</v>
      </c>
      <c r="Q15" s="78">
        <f t="shared" si="3"/>
        <v>0</v>
      </c>
      <c r="R15" s="78">
        <f t="shared" si="4"/>
        <v>0</v>
      </c>
      <c r="S15" s="78">
        <f t="shared" si="4"/>
        <v>0</v>
      </c>
      <c r="T15" s="79"/>
      <c r="U15" s="78">
        <f t="shared" si="102"/>
        <v>0</v>
      </c>
      <c r="V15" s="77">
        <f t="shared" si="5"/>
        <v>0</v>
      </c>
      <c r="W15" s="78">
        <f t="shared" si="6"/>
        <v>0</v>
      </c>
      <c r="X15" s="78">
        <f t="shared" si="7"/>
        <v>0</v>
      </c>
      <c r="Y15" s="77">
        <f t="shared" si="8"/>
        <v>0</v>
      </c>
      <c r="Z15" s="79"/>
      <c r="AA15" s="78">
        <f t="shared" si="103"/>
        <v>0</v>
      </c>
      <c r="AB15" s="78">
        <f t="shared" si="9"/>
        <v>0</v>
      </c>
      <c r="AC15" s="78">
        <f t="shared" si="10"/>
        <v>0</v>
      </c>
      <c r="AD15" s="78">
        <f t="shared" si="11"/>
        <v>0</v>
      </c>
      <c r="AE15" s="77">
        <f t="shared" si="12"/>
        <v>0</v>
      </c>
      <c r="AF15" s="79"/>
      <c r="AG15" s="78">
        <f t="shared" si="104"/>
        <v>0</v>
      </c>
      <c r="AH15" s="78">
        <f t="shared" si="13"/>
        <v>0</v>
      </c>
      <c r="AI15" s="78">
        <f t="shared" si="14"/>
        <v>0</v>
      </c>
      <c r="AJ15" s="78">
        <f t="shared" si="15"/>
        <v>0</v>
      </c>
      <c r="AK15" s="77">
        <f t="shared" si="16"/>
        <v>0</v>
      </c>
      <c r="AL15" s="79"/>
      <c r="AM15" s="78">
        <f t="shared" si="105"/>
        <v>0</v>
      </c>
      <c r="AN15" s="78">
        <f t="shared" si="17"/>
        <v>0</v>
      </c>
      <c r="AO15" s="78">
        <f t="shared" si="18"/>
        <v>0</v>
      </c>
      <c r="AP15" s="78">
        <f t="shared" si="19"/>
        <v>0</v>
      </c>
      <c r="AQ15" s="77">
        <f t="shared" si="20"/>
        <v>0</v>
      </c>
      <c r="AR15" s="79"/>
      <c r="AS15" s="78">
        <f t="shared" si="106"/>
        <v>0</v>
      </c>
      <c r="AT15" s="78">
        <f t="shared" si="21"/>
        <v>0</v>
      </c>
      <c r="AU15" s="78">
        <f t="shared" si="22"/>
        <v>0</v>
      </c>
      <c r="AV15" s="78">
        <f t="shared" si="23"/>
        <v>0</v>
      </c>
      <c r="AW15" s="77">
        <f t="shared" si="24"/>
        <v>0</v>
      </c>
      <c r="AX15" s="79"/>
      <c r="AY15" s="78">
        <f t="shared" si="107"/>
        <v>0</v>
      </c>
      <c r="AZ15" s="78">
        <f t="shared" si="25"/>
        <v>0</v>
      </c>
      <c r="BA15" s="78">
        <f t="shared" si="26"/>
        <v>0</v>
      </c>
      <c r="BB15" s="78">
        <f t="shared" si="27"/>
        <v>0</v>
      </c>
      <c r="BC15" s="77">
        <f t="shared" si="28"/>
        <v>0</v>
      </c>
      <c r="BD15" s="79"/>
      <c r="BE15" s="78">
        <f t="shared" si="108"/>
        <v>0</v>
      </c>
      <c r="BF15" s="78">
        <f t="shared" si="29"/>
        <v>0</v>
      </c>
      <c r="BG15" s="78">
        <f t="shared" si="30"/>
        <v>0</v>
      </c>
      <c r="BH15" s="78">
        <f t="shared" si="31"/>
        <v>0</v>
      </c>
      <c r="BI15" s="77">
        <f t="shared" si="32"/>
        <v>0</v>
      </c>
      <c r="BJ15" s="79"/>
      <c r="BK15" s="78">
        <f t="shared" si="109"/>
        <v>0</v>
      </c>
      <c r="BL15" s="78">
        <f t="shared" si="33"/>
        <v>0</v>
      </c>
      <c r="BM15" s="78">
        <f t="shared" si="34"/>
        <v>0</v>
      </c>
      <c r="BN15" s="78">
        <f t="shared" si="35"/>
        <v>0</v>
      </c>
      <c r="BO15" s="77">
        <f t="shared" si="36"/>
        <v>0</v>
      </c>
      <c r="BP15" s="79"/>
      <c r="BQ15" s="78">
        <f t="shared" si="110"/>
        <v>0</v>
      </c>
      <c r="BR15" s="78">
        <f t="shared" si="37"/>
        <v>0</v>
      </c>
      <c r="BS15" s="78">
        <f t="shared" si="38"/>
        <v>0</v>
      </c>
      <c r="BT15" s="78">
        <f t="shared" si="39"/>
        <v>0</v>
      </c>
      <c r="BU15" s="77">
        <f t="shared" si="40"/>
        <v>0</v>
      </c>
      <c r="BV15" s="79"/>
      <c r="BW15" s="78">
        <f t="shared" si="111"/>
        <v>0</v>
      </c>
      <c r="BX15" s="78">
        <f t="shared" si="41"/>
        <v>0</v>
      </c>
      <c r="BY15" s="78">
        <f t="shared" si="42"/>
        <v>0</v>
      </c>
      <c r="BZ15" s="78">
        <f t="shared" si="43"/>
        <v>0</v>
      </c>
      <c r="CA15" s="77">
        <f t="shared" si="44"/>
        <v>0</v>
      </c>
      <c r="CB15" s="79"/>
      <c r="CC15" s="78">
        <f t="shared" si="112"/>
        <v>0</v>
      </c>
      <c r="CD15" s="78">
        <f t="shared" si="45"/>
        <v>0</v>
      </c>
      <c r="CE15" s="78">
        <f t="shared" si="46"/>
        <v>0</v>
      </c>
      <c r="CF15" s="78">
        <f t="shared" si="47"/>
        <v>0</v>
      </c>
      <c r="CG15" s="77">
        <f t="shared" si="48"/>
        <v>0</v>
      </c>
      <c r="CH15" s="79"/>
      <c r="CI15" s="78">
        <f t="shared" si="113"/>
        <v>0</v>
      </c>
      <c r="CJ15" s="78">
        <f t="shared" si="49"/>
        <v>0</v>
      </c>
      <c r="CK15" s="78">
        <f t="shared" si="50"/>
        <v>0</v>
      </c>
      <c r="CL15" s="78">
        <f t="shared" si="51"/>
        <v>0</v>
      </c>
      <c r="CM15" s="77">
        <f t="shared" si="52"/>
        <v>0</v>
      </c>
      <c r="CN15" s="79"/>
      <c r="CO15" s="78">
        <f t="shared" si="114"/>
        <v>0</v>
      </c>
      <c r="CP15" s="78">
        <f t="shared" si="53"/>
        <v>0</v>
      </c>
      <c r="CQ15" s="78">
        <f t="shared" si="54"/>
        <v>0</v>
      </c>
      <c r="CR15" s="78">
        <f t="shared" si="55"/>
        <v>0</v>
      </c>
      <c r="CS15" s="77">
        <f t="shared" si="56"/>
        <v>0</v>
      </c>
      <c r="CT15" s="79"/>
      <c r="CU15" s="78">
        <f t="shared" si="115"/>
        <v>0</v>
      </c>
      <c r="CV15" s="78">
        <f t="shared" si="57"/>
        <v>0</v>
      </c>
      <c r="CW15" s="78">
        <f t="shared" si="58"/>
        <v>0</v>
      </c>
      <c r="CX15" s="78">
        <f t="shared" si="59"/>
        <v>0</v>
      </c>
      <c r="CY15" s="77">
        <f t="shared" si="60"/>
        <v>0</v>
      </c>
      <c r="CZ15" s="79"/>
      <c r="DA15" s="78">
        <f t="shared" si="116"/>
        <v>0</v>
      </c>
      <c r="DB15" s="78">
        <f t="shared" si="61"/>
        <v>0</v>
      </c>
      <c r="DC15" s="78">
        <f t="shared" si="62"/>
        <v>0</v>
      </c>
      <c r="DD15" s="78">
        <f t="shared" si="63"/>
        <v>0</v>
      </c>
      <c r="DE15" s="77">
        <f t="shared" si="64"/>
        <v>0</v>
      </c>
      <c r="DF15" s="79"/>
      <c r="DG15" s="78">
        <f t="shared" si="117"/>
        <v>0</v>
      </c>
      <c r="DH15" s="78">
        <f t="shared" si="65"/>
        <v>0</v>
      </c>
      <c r="DI15" s="78">
        <f t="shared" si="66"/>
        <v>0</v>
      </c>
      <c r="DJ15" s="78">
        <f t="shared" si="67"/>
        <v>0</v>
      </c>
      <c r="DK15" s="77">
        <f t="shared" si="68"/>
        <v>0</v>
      </c>
      <c r="DL15" s="79"/>
      <c r="DM15" s="90">
        <f t="shared" si="118"/>
        <v>0</v>
      </c>
      <c r="DN15" s="90">
        <f t="shared" si="69"/>
        <v>0</v>
      </c>
      <c r="DO15" s="90">
        <f t="shared" si="70"/>
        <v>0</v>
      </c>
      <c r="DP15" s="90">
        <f t="shared" si="71"/>
        <v>0</v>
      </c>
      <c r="DQ15" s="92">
        <f t="shared" si="72"/>
        <v>0</v>
      </c>
      <c r="DR15" s="79"/>
      <c r="DS15" s="78">
        <f t="shared" si="119"/>
        <v>0</v>
      </c>
      <c r="DT15" s="78">
        <f t="shared" si="73"/>
        <v>0</v>
      </c>
      <c r="DU15" s="78">
        <f t="shared" si="74"/>
        <v>0</v>
      </c>
      <c r="DV15" s="78">
        <f t="shared" si="75"/>
        <v>0</v>
      </c>
      <c r="DW15" s="77">
        <f t="shared" si="76"/>
        <v>0</v>
      </c>
      <c r="DX15" s="79"/>
      <c r="DY15" s="78">
        <f t="shared" si="120"/>
        <v>0</v>
      </c>
      <c r="DZ15" s="78">
        <f t="shared" si="77"/>
        <v>0</v>
      </c>
      <c r="EA15" s="78">
        <f t="shared" si="78"/>
        <v>0</v>
      </c>
      <c r="EB15" s="78">
        <f t="shared" si="79"/>
        <v>0</v>
      </c>
      <c r="EC15" s="77">
        <f t="shared" si="80"/>
        <v>0</v>
      </c>
      <c r="ED15" s="79"/>
      <c r="EE15" s="78">
        <f t="shared" si="121"/>
        <v>0</v>
      </c>
      <c r="EF15" s="78">
        <f t="shared" si="81"/>
        <v>0</v>
      </c>
      <c r="EG15" s="78">
        <f t="shared" si="82"/>
        <v>0</v>
      </c>
      <c r="EH15" s="78">
        <f t="shared" si="83"/>
        <v>0</v>
      </c>
      <c r="EI15" s="77">
        <f t="shared" si="84"/>
        <v>0</v>
      </c>
      <c r="EJ15" s="79"/>
      <c r="EK15" s="78">
        <f t="shared" si="122"/>
        <v>0</v>
      </c>
      <c r="EL15" s="78">
        <f t="shared" si="85"/>
        <v>0</v>
      </c>
      <c r="EM15" s="78">
        <f t="shared" si="86"/>
        <v>0</v>
      </c>
      <c r="EN15" s="78">
        <f t="shared" si="87"/>
        <v>0</v>
      </c>
      <c r="EO15" s="77">
        <f t="shared" si="88"/>
        <v>0</v>
      </c>
      <c r="EP15" s="79"/>
      <c r="EQ15" s="78">
        <f t="shared" si="123"/>
        <v>0</v>
      </c>
      <c r="ER15" s="78">
        <f t="shared" si="89"/>
        <v>0</v>
      </c>
      <c r="ES15" s="78">
        <f t="shared" si="90"/>
        <v>0</v>
      </c>
      <c r="ET15" s="78">
        <f t="shared" si="91"/>
        <v>0</v>
      </c>
      <c r="EU15" s="77">
        <f t="shared" si="92"/>
        <v>0</v>
      </c>
      <c r="EV15" s="79"/>
      <c r="EW15" s="78">
        <f t="shared" si="124"/>
        <v>0</v>
      </c>
      <c r="EX15" s="78">
        <f t="shared" si="93"/>
        <v>0</v>
      </c>
      <c r="EY15" s="78">
        <f t="shared" si="94"/>
        <v>0</v>
      </c>
      <c r="EZ15" s="78">
        <f t="shared" si="95"/>
        <v>0</v>
      </c>
      <c r="FA15" s="77">
        <f t="shared" si="96"/>
        <v>0</v>
      </c>
      <c r="FB15" s="79"/>
      <c r="FC15" s="78">
        <f t="shared" si="125"/>
        <v>0</v>
      </c>
      <c r="FD15" s="78">
        <f t="shared" si="97"/>
        <v>0</v>
      </c>
      <c r="FE15" s="78">
        <f t="shared" si="98"/>
        <v>0</v>
      </c>
      <c r="FF15" s="78">
        <f t="shared" si="99"/>
        <v>0</v>
      </c>
      <c r="FG15" s="77">
        <f t="shared" si="100"/>
        <v>0</v>
      </c>
      <c r="FH15" s="79"/>
      <c r="FI15" s="80"/>
      <c r="FJ15" s="78"/>
      <c r="FK15" s="78"/>
      <c r="FL15" s="78"/>
      <c r="FM15" s="77">
        <f t="shared" si="101"/>
        <v>0</v>
      </c>
    </row>
    <row r="16" spans="3:169" ht="12.75">
      <c r="C16" s="42"/>
      <c r="D16" s="42"/>
      <c r="E16" s="42"/>
      <c r="F16" s="42"/>
      <c r="G16" s="42"/>
      <c r="J16" s="50"/>
      <c r="M16" s="42"/>
      <c r="S16" s="42"/>
      <c r="Y16" s="42"/>
      <c r="AA16" s="33"/>
      <c r="AB16" s="33"/>
      <c r="AE16" s="42"/>
      <c r="AG16" s="33"/>
      <c r="AH16" s="33"/>
      <c r="AI16" s="33"/>
      <c r="AJ16" s="33"/>
      <c r="AK16" s="42"/>
      <c r="AM16" s="20"/>
      <c r="AN16" s="20"/>
      <c r="AO16" s="20"/>
      <c r="AP16" s="20"/>
      <c r="AQ16" s="42"/>
      <c r="AR16" s="33"/>
      <c r="AS16" s="33"/>
      <c r="AT16" s="33"/>
      <c r="AU16" s="33"/>
      <c r="AV16" s="33"/>
      <c r="AW16" s="42"/>
      <c r="AX16" s="33"/>
      <c r="AY16" s="33"/>
      <c r="AZ16" s="33"/>
      <c r="BA16" s="33"/>
      <c r="BB16" s="33"/>
      <c r="BC16" s="42"/>
      <c r="BD16" s="33"/>
      <c r="BE16" s="33"/>
      <c r="BF16" s="33"/>
      <c r="BG16" s="33"/>
      <c r="BH16" s="33"/>
      <c r="BI16" s="42"/>
      <c r="BJ16" s="33"/>
      <c r="BK16" s="33"/>
      <c r="BL16" s="33"/>
      <c r="BM16" s="33"/>
      <c r="BN16" s="33"/>
      <c r="BO16" s="42"/>
      <c r="BP16" s="33"/>
      <c r="BQ16" s="33"/>
      <c r="BR16" s="33"/>
      <c r="BS16" s="33"/>
      <c r="BT16" s="33"/>
      <c r="BU16" s="42"/>
      <c r="BV16" s="33"/>
      <c r="BW16" s="33"/>
      <c r="BX16" s="33"/>
      <c r="BY16" s="33"/>
      <c r="BZ16" s="33"/>
      <c r="CA16" s="42"/>
      <c r="CB16" s="33"/>
      <c r="CC16" s="33"/>
      <c r="CD16" s="33"/>
      <c r="CE16" s="33"/>
      <c r="CF16" s="33"/>
      <c r="CG16" s="42"/>
      <c r="CH16" s="33"/>
      <c r="CI16" s="33"/>
      <c r="CJ16" s="33"/>
      <c r="CK16" s="33"/>
      <c r="CL16" s="33"/>
      <c r="CM16" s="42"/>
      <c r="CN16" s="33"/>
      <c r="CO16" s="33"/>
      <c r="CP16" s="33"/>
      <c r="CQ16" s="33"/>
      <c r="CR16" s="33"/>
      <c r="CS16" s="42"/>
      <c r="CT16" s="33"/>
      <c r="CU16" s="33"/>
      <c r="CV16" s="33"/>
      <c r="CW16" s="33"/>
      <c r="CX16" s="33"/>
      <c r="CY16" s="42"/>
      <c r="CZ16" s="33"/>
      <c r="DA16" s="33"/>
      <c r="DB16" s="33"/>
      <c r="DC16" s="33"/>
      <c r="DD16" s="33"/>
      <c r="DE16" s="42"/>
      <c r="DF16" s="33"/>
      <c r="DG16" s="33"/>
      <c r="DH16" s="33"/>
      <c r="DI16" s="33"/>
      <c r="DJ16" s="33"/>
      <c r="DK16" s="42"/>
      <c r="DL16" s="33"/>
      <c r="DM16" s="93"/>
      <c r="DN16" s="93"/>
      <c r="DO16" s="93"/>
      <c r="DP16" s="93"/>
      <c r="DQ16" s="94"/>
      <c r="DR16" s="33"/>
      <c r="DS16" s="33"/>
      <c r="DT16" s="33"/>
      <c r="DU16" s="33"/>
      <c r="DV16" s="33"/>
      <c r="DW16" s="42"/>
      <c r="DX16" s="33"/>
      <c r="DY16" s="33"/>
      <c r="DZ16" s="33"/>
      <c r="EA16" s="33"/>
      <c r="EB16" s="33"/>
      <c r="EC16" s="42"/>
      <c r="ED16" s="33"/>
      <c r="EE16" s="33"/>
      <c r="EF16" s="33"/>
      <c r="EG16" s="33"/>
      <c r="EH16" s="33"/>
      <c r="EI16" s="42"/>
      <c r="EJ16" s="33"/>
      <c r="EK16" s="33"/>
      <c r="EL16" s="33"/>
      <c r="EM16" s="33"/>
      <c r="EN16" s="33"/>
      <c r="EO16" s="42"/>
      <c r="EP16" s="33"/>
      <c r="EQ16" s="33"/>
      <c r="ER16" s="33"/>
      <c r="ES16" s="33"/>
      <c r="ET16" s="33"/>
      <c r="EU16" s="42"/>
      <c r="EV16" s="33"/>
      <c r="EW16" s="33"/>
      <c r="EX16" s="33"/>
      <c r="EY16" s="33"/>
      <c r="EZ16" s="33"/>
      <c r="FA16" s="42"/>
      <c r="FB16" s="33"/>
      <c r="FC16" s="33"/>
      <c r="FD16" s="33"/>
      <c r="FE16" s="33"/>
      <c r="FF16" s="33"/>
      <c r="FG16" s="42"/>
      <c r="FH16" s="33"/>
      <c r="FI16" s="50"/>
      <c r="FJ16" s="50"/>
      <c r="FK16" s="50"/>
      <c r="FL16" s="50"/>
      <c r="FM16" s="42"/>
    </row>
    <row r="17" spans="1:169" ht="13.5" thickBot="1">
      <c r="A17" s="31" t="s">
        <v>4</v>
      </c>
      <c r="C17" s="49">
        <f>SUM(C8:C16)</f>
        <v>5000</v>
      </c>
      <c r="D17" s="49">
        <f>SUM(D8:D16)</f>
        <v>878676</v>
      </c>
      <c r="E17" s="49">
        <f>SUM(E8:E16)</f>
        <v>883676</v>
      </c>
      <c r="F17" s="49">
        <f>SUM(F8:F16)</f>
        <v>187</v>
      </c>
      <c r="G17" s="49">
        <f>SUM(G8:G16)</f>
        <v>9</v>
      </c>
      <c r="I17" s="49">
        <f>SUM(I8:I16)</f>
        <v>2714.1295</v>
      </c>
      <c r="J17" s="49">
        <f>SUM(J8:J16)</f>
        <v>476968.0905084001</v>
      </c>
      <c r="K17" s="49">
        <f>SUM(K8:K16)</f>
        <v>479682.22000840015</v>
      </c>
      <c r="L17" s="49">
        <f>SUM(L8:L16)</f>
        <v>101.5084433</v>
      </c>
      <c r="M17" s="49">
        <f>SUM(M8:M16)</f>
        <v>4.885433100000001</v>
      </c>
      <c r="O17" s="49">
        <f>SUM(O8:O16)</f>
        <v>2285.8705</v>
      </c>
      <c r="P17" s="49">
        <f>SUM(P8:P16)</f>
        <v>401707.90949159994</v>
      </c>
      <c r="Q17" s="49">
        <f>SUM(Q8:Q16)</f>
        <v>403993.77999159996</v>
      </c>
      <c r="R17" s="49">
        <f>SUM(R8:R16)</f>
        <v>85.4915567</v>
      </c>
      <c r="S17" s="49">
        <f>SUM(S8:S16)</f>
        <v>4.1145669</v>
      </c>
      <c r="U17" s="49">
        <f>SUM(U8:U16)</f>
        <v>408.62</v>
      </c>
      <c r="V17" s="49">
        <f>SUM(V8:V16)</f>
        <v>71808.917424</v>
      </c>
      <c r="W17" s="49">
        <f>SUM(W8:W16)</f>
        <v>72217.53742400001</v>
      </c>
      <c r="X17" s="49">
        <f>SUM(X8:X16)</f>
        <v>15.282388000000001</v>
      </c>
      <c r="Y17" s="49">
        <f>SUM(Y8:Y16)</f>
        <v>0.7355160000000001</v>
      </c>
      <c r="AA17" s="49">
        <f>SUM(AA8:AA16)</f>
        <v>297.823</v>
      </c>
      <c r="AB17" s="49">
        <f>SUM(AB8:AB16)</f>
        <v>52337.9844696</v>
      </c>
      <c r="AC17" s="49">
        <f>SUM(AC8:AC16)</f>
        <v>52635.8074696</v>
      </c>
      <c r="AD17" s="49">
        <f>SUM(AD8:AD16)</f>
        <v>11.1385802</v>
      </c>
      <c r="AE17" s="49">
        <f>SUM(AE8:AE16)</f>
        <v>0.5360814</v>
      </c>
      <c r="AG17" s="49">
        <f>SUM(AG8:AG16)</f>
        <v>157.90200000000002</v>
      </c>
      <c r="AH17" s="49">
        <f>SUM(AH8:AH16)</f>
        <v>27748.939550400002</v>
      </c>
      <c r="AI17" s="49">
        <f>SUM(AI8:AI16)</f>
        <v>27906.8415504</v>
      </c>
      <c r="AJ17" s="49">
        <f>SUM(AJ8:AJ16)</f>
        <v>5.9055348</v>
      </c>
      <c r="AK17" s="49">
        <f>SUM(AK8:AK16)</f>
        <v>0.2842236</v>
      </c>
      <c r="AM17" s="49">
        <f>SUM(AM8:AM16)</f>
        <v>114.84</v>
      </c>
      <c r="AN17" s="49">
        <f>SUM(AN8:AN16)</f>
        <v>20181.430368</v>
      </c>
      <c r="AO17" s="49">
        <f>SUM(AO8:AO16)</f>
        <v>20296.270368</v>
      </c>
      <c r="AP17" s="49">
        <f>SUM(AP8:AP16)</f>
        <v>4.295016</v>
      </c>
      <c r="AQ17" s="49">
        <f>SUM(AQ8:AQ16)</f>
        <v>0.206712</v>
      </c>
      <c r="AR17" s="33"/>
      <c r="AS17" s="49">
        <f>SUM(AS8:AS16)</f>
        <v>13.1545</v>
      </c>
      <c r="AT17" s="49">
        <f>SUM(AT8:AT16)</f>
        <v>2311.7086884</v>
      </c>
      <c r="AU17" s="49">
        <f>SUM(AU8:AU16)</f>
        <v>2324.8631884</v>
      </c>
      <c r="AV17" s="49">
        <f>SUM(AV8:AV16)</f>
        <v>0.4919783</v>
      </c>
      <c r="AW17" s="49">
        <f>SUM(AW8:AW16)</f>
        <v>0.0236781</v>
      </c>
      <c r="AX17" s="33"/>
      <c r="AY17" s="49">
        <f>SUM(AY8:AY16)</f>
        <v>208.11449999999996</v>
      </c>
      <c r="AZ17" s="49">
        <f>SUM(AZ8:AZ16)</f>
        <v>36573.043280399994</v>
      </c>
      <c r="BA17" s="49">
        <f>SUM(BA8:BA16)</f>
        <v>36781.1577804</v>
      </c>
      <c r="BB17" s="49">
        <f>SUM(BB8:BB16)</f>
        <v>7.783482299999999</v>
      </c>
      <c r="BC17" s="49">
        <f>SUM(BC8:BC16)</f>
        <v>0.37460609999999994</v>
      </c>
      <c r="BD17" s="33"/>
      <c r="BE17" s="49">
        <f>SUM(BE8:BE16)</f>
        <v>22.5605</v>
      </c>
      <c r="BF17" s="49">
        <f>SUM(BF8:BF16)</f>
        <v>3964.6739795999997</v>
      </c>
      <c r="BG17" s="49">
        <f>SUM(BG8:BG16)</f>
        <v>3987.2344795999998</v>
      </c>
      <c r="BH17" s="49">
        <f>SUM(BH8:BH16)</f>
        <v>0.8437627</v>
      </c>
      <c r="BI17" s="49">
        <f>SUM(BI8:BI16)</f>
        <v>0.040608899999999996</v>
      </c>
      <c r="BJ17" s="33"/>
      <c r="BK17" s="49">
        <f>SUM(BK8:BK16)</f>
        <v>70.57350000000001</v>
      </c>
      <c r="BL17" s="49">
        <f>SUM(BL8:BL16)</f>
        <v>12402.2481372</v>
      </c>
      <c r="BM17" s="49">
        <f>SUM(BM8:BM16)</f>
        <v>12472.8216372</v>
      </c>
      <c r="BN17" s="49">
        <f>SUM(BN8:BN16)</f>
        <v>2.6394489</v>
      </c>
      <c r="BO17" s="49">
        <f>SUM(BO8:BO16)</f>
        <v>0.12703230000000001</v>
      </c>
      <c r="BP17" s="33"/>
      <c r="BQ17" s="49">
        <f>SUM(BQ8:BQ16)</f>
        <v>35.789500000000004</v>
      </c>
      <c r="BR17" s="49">
        <f>SUM(BR8:BR16)</f>
        <v>6289.4749404</v>
      </c>
      <c r="BS17" s="49">
        <f>SUM(BS8:BS16)</f>
        <v>6325.2644404</v>
      </c>
      <c r="BT17" s="49">
        <f>SUM(BT8:BT16)</f>
        <v>1.3385273</v>
      </c>
      <c r="BU17" s="49">
        <f>SUM(BU8:BU16)</f>
        <v>0.06442110000000001</v>
      </c>
      <c r="BV17" s="33"/>
      <c r="BW17" s="49">
        <f>SUM(BW8:BW16)</f>
        <v>6.9505</v>
      </c>
      <c r="BX17" s="49">
        <f>SUM(BX8:BX16)</f>
        <v>1221.4475075999999</v>
      </c>
      <c r="BY17" s="49">
        <f>SUM(BY8:BY16)</f>
        <v>1228.3980075999998</v>
      </c>
      <c r="BZ17" s="49">
        <f>SUM(BZ8:BZ16)</f>
        <v>0.25994870000000003</v>
      </c>
      <c r="CA17" s="49">
        <f>SUM(CA8:CA16)</f>
        <v>0.0125109</v>
      </c>
      <c r="CB17" s="33"/>
      <c r="CC17" s="49">
        <f>SUM(CC8:CC16)</f>
        <v>27.617000000000004</v>
      </c>
      <c r="CD17" s="49">
        <f>SUM(CD8:CD16)</f>
        <v>4853.2790184000005</v>
      </c>
      <c r="CE17" s="49">
        <f>SUM(CE8:CE16)</f>
        <v>4880.896018400001</v>
      </c>
      <c r="CF17" s="49">
        <f>SUM(CF8:CF16)</f>
        <v>1.0328758</v>
      </c>
      <c r="CG17" s="49">
        <f>SUM(CG8:CG16)</f>
        <v>0.04971060000000001</v>
      </c>
      <c r="CH17" s="33"/>
      <c r="CI17" s="49">
        <f>SUM(CI8:CI16)</f>
        <v>67.3565</v>
      </c>
      <c r="CJ17" s="49">
        <f>SUM(CJ8:CJ16)</f>
        <v>11836.907998799998</v>
      </c>
      <c r="CK17" s="49">
        <f>SUM(CK8:CK16)</f>
        <v>11904.264498799997</v>
      </c>
      <c r="CL17" s="49">
        <f>SUM(CL8:CL16)</f>
        <v>2.5191331</v>
      </c>
      <c r="CM17" s="49">
        <f>SUM(CM8:CM16)</f>
        <v>0.12124170000000001</v>
      </c>
      <c r="CN17" s="33"/>
      <c r="CO17" s="49">
        <f>SUM(CO8:CO16)</f>
        <v>150.762</v>
      </c>
      <c r="CP17" s="49">
        <f>SUM(CP8:CP16)</f>
        <v>26494.190222399997</v>
      </c>
      <c r="CQ17" s="49">
        <f>SUM(CQ8:CQ16)</f>
        <v>26644.952222399996</v>
      </c>
      <c r="CR17" s="49">
        <f>SUM(CR8:CR16)</f>
        <v>5.638498800000001</v>
      </c>
      <c r="CS17" s="49">
        <f>SUM(CS8:CS16)</f>
        <v>0.2713716</v>
      </c>
      <c r="CT17" s="33"/>
      <c r="CU17" s="49">
        <f>SUM(CU8:CU16)</f>
        <v>22.8095</v>
      </c>
      <c r="CV17" s="49">
        <f>SUM(CV8:CV16)</f>
        <v>4008.4320444</v>
      </c>
      <c r="CW17" s="49">
        <f>SUM(CW8:CW16)</f>
        <v>4031.2415444</v>
      </c>
      <c r="CX17" s="49">
        <f>SUM(CX8:CX16)</f>
        <v>0.8530753</v>
      </c>
      <c r="CY17" s="49">
        <f>SUM(CY8:CY16)</f>
        <v>0.0410571</v>
      </c>
      <c r="CZ17" s="33"/>
      <c r="DA17" s="49">
        <f>SUM(DA8:DA16)</f>
        <v>65.5395</v>
      </c>
      <c r="DB17" s="49">
        <f>SUM(DB8:DB16)</f>
        <v>11517.5971404</v>
      </c>
      <c r="DC17" s="49">
        <f>SUM(DC8:DC16)</f>
        <v>11583.1366404</v>
      </c>
      <c r="DD17" s="49">
        <f>SUM(DD8:DD16)</f>
        <v>2.4511773000000003</v>
      </c>
      <c r="DE17" s="49">
        <f>SUM(DE8:DE16)</f>
        <v>0.1179711</v>
      </c>
      <c r="DF17" s="33"/>
      <c r="DG17" s="49">
        <f>SUM(DG8:DG16)</f>
        <v>2.5254999999999996</v>
      </c>
      <c r="DH17" s="49">
        <f>SUM(DH8:DH16)</f>
        <v>443.81924760000004</v>
      </c>
      <c r="DI17" s="49">
        <f>SUM(DI8:DI16)</f>
        <v>446.3447476</v>
      </c>
      <c r="DJ17" s="49">
        <f>SUM(DJ8:DJ16)</f>
        <v>0.0944537</v>
      </c>
      <c r="DK17" s="49">
        <f>SUM(DK8:DK16)</f>
        <v>0.0045459</v>
      </c>
      <c r="DL17" s="33"/>
      <c r="DM17" s="95">
        <f>SUM(DM8:DM16)</f>
        <v>138.259</v>
      </c>
      <c r="DN17" s="95">
        <f>SUM(DN8:DN16)</f>
        <v>24296.9730168</v>
      </c>
      <c r="DO17" s="95">
        <f>SUM(DO8:DO16)</f>
        <v>24435.2320168</v>
      </c>
      <c r="DP17" s="95">
        <f>SUM(DP8:DP16)</f>
        <v>5.1708866</v>
      </c>
      <c r="DQ17" s="95">
        <f>SUM(DQ8:DQ16)</f>
        <v>0.24886619999999998</v>
      </c>
      <c r="DR17" s="33"/>
      <c r="DS17" s="49">
        <f>SUM(DS8:DS16)</f>
        <v>21.767</v>
      </c>
      <c r="DT17" s="49">
        <f>SUM(DT8:DT16)</f>
        <v>3825.2280984</v>
      </c>
      <c r="DU17" s="49">
        <f>SUM(DU8:DU16)</f>
        <v>3846.9950983999997</v>
      </c>
      <c r="DV17" s="49">
        <f>SUM(DV8:DV16)</f>
        <v>0.8140858</v>
      </c>
      <c r="DW17" s="49">
        <f>SUM(DW8:DW16)</f>
        <v>0.0391806</v>
      </c>
      <c r="DX17" s="33"/>
      <c r="DY17" s="49">
        <f>SUM(DY8:DY16)</f>
        <v>112.01449999999998</v>
      </c>
      <c r="DZ17" s="49">
        <f>SUM(DZ8:DZ16)</f>
        <v>19684.8905604</v>
      </c>
      <c r="EA17" s="49">
        <f>SUM(EA8:EA16)</f>
        <v>19796.9050604</v>
      </c>
      <c r="EB17" s="49">
        <f>SUM(EB8:EB16)</f>
        <v>4.1893423</v>
      </c>
      <c r="EC17" s="49">
        <f>SUM(EC8:EC16)</f>
        <v>0.2016261</v>
      </c>
      <c r="ED17" s="33"/>
      <c r="EE17" s="49">
        <f>SUM(EE8:EE16)</f>
        <v>31.979</v>
      </c>
      <c r="EF17" s="49">
        <f>SUM(EF8:EF16)</f>
        <v>5619.8359608</v>
      </c>
      <c r="EG17" s="49">
        <f>SUM(EG8:EG16)</f>
        <v>5651.8149608</v>
      </c>
      <c r="EH17" s="49">
        <f>SUM(EH8:EH16)</f>
        <v>1.1960146</v>
      </c>
      <c r="EI17" s="49">
        <f>SUM(EI8:EI16)</f>
        <v>0.0575622</v>
      </c>
      <c r="EJ17" s="33"/>
      <c r="EK17" s="49">
        <f>SUM(EK8:EK16)</f>
        <v>0.321</v>
      </c>
      <c r="EL17" s="49">
        <f>SUM(EL8:EL16)</f>
        <v>56.410999200000006</v>
      </c>
      <c r="EM17" s="49">
        <f>SUM(EM8:EM16)</f>
        <v>56.731999200000004</v>
      </c>
      <c r="EN17" s="49">
        <f>SUM(EN8:EN16)</f>
        <v>0.0120054</v>
      </c>
      <c r="EO17" s="49">
        <f>SUM(EO8:EO16)</f>
        <v>0.0005778000000000001</v>
      </c>
      <c r="EP17" s="33"/>
      <c r="EQ17" s="49">
        <f>SUM(EQ8:EQ16)</f>
        <v>0.596</v>
      </c>
      <c r="ER17" s="49">
        <f>SUM(ER8:ER16)</f>
        <v>104.73817919999999</v>
      </c>
      <c r="ES17" s="49">
        <f>SUM(ES8:ES16)</f>
        <v>105.3341792</v>
      </c>
      <c r="ET17" s="49">
        <f>SUM(ET8:ET16)</f>
        <v>0.0222904</v>
      </c>
      <c r="EU17" s="49">
        <f>SUM(EU8:EU16)</f>
        <v>0.0010728</v>
      </c>
      <c r="EV17" s="33"/>
      <c r="EW17" s="49">
        <f>SUM(EW8:EW16)</f>
        <v>107.738</v>
      </c>
      <c r="EX17" s="49">
        <f>SUM(EX8:EX16)</f>
        <v>18933.3589776</v>
      </c>
      <c r="EY17" s="49">
        <f>SUM(EY8:EY16)</f>
        <v>19041.0969776</v>
      </c>
      <c r="EZ17" s="49">
        <f>SUM(EZ8:EZ16)</f>
        <v>4.029401200000001</v>
      </c>
      <c r="FA17" s="49">
        <f>SUM(FA8:FA16)</f>
        <v>0.1939284</v>
      </c>
      <c r="FB17" s="33"/>
      <c r="FC17" s="49">
        <f>SUM(FC8:FC16)</f>
        <v>200.25799999999998</v>
      </c>
      <c r="FD17" s="49">
        <f>SUM(FD8:FD16)</f>
        <v>35192.3796816</v>
      </c>
      <c r="FE17" s="49">
        <f>SUM(FE8:FE16)</f>
        <v>35392.637681600005</v>
      </c>
      <c r="FF17" s="49">
        <f>SUM(FF8:FF16)</f>
        <v>7.4896492</v>
      </c>
      <c r="FG17" s="49">
        <f>SUM(FG8:FG16)</f>
        <v>0.3604644</v>
      </c>
      <c r="FH17" s="33"/>
      <c r="FI17" s="49">
        <f>SUM(FI8:FI16)</f>
        <v>0</v>
      </c>
      <c r="FJ17" s="49">
        <f>SUM(FJ8:FJ16)</f>
        <v>0</v>
      </c>
      <c r="FK17" s="49">
        <f>SUM(FK8:IV16)</f>
        <v>0</v>
      </c>
      <c r="FL17" s="42"/>
      <c r="FM17" s="49">
        <f>SUM(FM8:FM16)</f>
        <v>0</v>
      </c>
    </row>
    <row r="18" spans="33:43" ht="13.5" thickTop="1">
      <c r="AG18" s="33"/>
      <c r="AH18" s="33"/>
      <c r="AI18" s="33"/>
      <c r="AJ18" s="33"/>
      <c r="AK18" s="33"/>
      <c r="AM18" s="20"/>
      <c r="AN18" s="20"/>
      <c r="AO18" s="20"/>
      <c r="AP18" s="20"/>
      <c r="AQ18" s="20"/>
    </row>
    <row r="19" spans="3:43" ht="12.75">
      <c r="C19" s="33">
        <f>I17+O17</f>
        <v>5000</v>
      </c>
      <c r="D19" s="33">
        <f>J17+P17</f>
        <v>878676</v>
      </c>
      <c r="E19" s="33">
        <f>K17+Q17</f>
        <v>883676.0000000001</v>
      </c>
      <c r="F19" s="33">
        <f>L17+R17</f>
        <v>187</v>
      </c>
      <c r="G19" s="33">
        <f>M17+S17</f>
        <v>9</v>
      </c>
      <c r="P19" s="33"/>
      <c r="AG19" s="33"/>
      <c r="AH19" s="33"/>
      <c r="AI19" s="33"/>
      <c r="AJ19" s="33"/>
      <c r="AK19" s="33"/>
      <c r="AM19" s="20"/>
      <c r="AN19" s="20"/>
      <c r="AO19" s="20"/>
      <c r="AP19" s="20"/>
      <c r="AQ19" s="20"/>
    </row>
    <row r="20" spans="33:43" ht="12.75">
      <c r="AG20" s="33"/>
      <c r="AH20" s="33"/>
      <c r="AI20" s="33"/>
      <c r="AJ20" s="33"/>
      <c r="AK20" s="33"/>
      <c r="AM20" s="20"/>
      <c r="AN20" s="20"/>
      <c r="AO20" s="20"/>
      <c r="AP20" s="20"/>
      <c r="AQ20" s="20"/>
    </row>
    <row r="21" spans="33:43" ht="12.75">
      <c r="AG21" s="33"/>
      <c r="AH21" s="33"/>
      <c r="AI21" s="33"/>
      <c r="AJ21" s="33"/>
      <c r="AK21" s="33"/>
      <c r="AM21" s="20"/>
      <c r="AN21" s="20"/>
      <c r="AO21" s="20"/>
      <c r="AP21" s="20"/>
      <c r="AQ21" s="20"/>
    </row>
    <row r="22" spans="33:43" ht="12.75">
      <c r="AG22" s="33"/>
      <c r="AH22" s="33"/>
      <c r="AI22" s="33"/>
      <c r="AJ22" s="33"/>
      <c r="AK22" s="33"/>
      <c r="AM22" s="20"/>
      <c r="AN22" s="20"/>
      <c r="AO22" s="20"/>
      <c r="AP22" s="20"/>
      <c r="AQ22" s="20"/>
    </row>
    <row r="23" spans="33:43" ht="12.75">
      <c r="AG23" s="33"/>
      <c r="AH23" s="33"/>
      <c r="AI23" s="33"/>
      <c r="AJ23" s="33"/>
      <c r="AK23" s="33"/>
      <c r="AM23" s="20"/>
      <c r="AN23" s="20"/>
      <c r="AO23" s="20"/>
      <c r="AP23" s="20"/>
      <c r="AQ23" s="20"/>
    </row>
    <row r="24" spans="33:43" ht="12.75">
      <c r="AG24" s="33"/>
      <c r="AH24" s="33"/>
      <c r="AI24" s="33"/>
      <c r="AJ24" s="33"/>
      <c r="AK24" s="33"/>
      <c r="AM24" s="20"/>
      <c r="AN24" s="20"/>
      <c r="AO24" s="20"/>
      <c r="AP24" s="20"/>
      <c r="AQ24" s="20"/>
    </row>
    <row r="25" spans="33:43" ht="12.75">
      <c r="AG25" s="33"/>
      <c r="AH25" s="33"/>
      <c r="AI25" s="33"/>
      <c r="AJ25" s="33"/>
      <c r="AK25" s="33"/>
      <c r="AM25" s="20"/>
      <c r="AN25" s="20"/>
      <c r="AO25" s="20"/>
      <c r="AP25" s="20"/>
      <c r="AQ25" s="20"/>
    </row>
    <row r="26" spans="33:43" ht="12.75">
      <c r="AG26" s="33"/>
      <c r="AH26" s="33"/>
      <c r="AI26" s="33"/>
      <c r="AJ26" s="33"/>
      <c r="AK26" s="33"/>
      <c r="AM26" s="20"/>
      <c r="AN26" s="20"/>
      <c r="AO26" s="20"/>
      <c r="AP26" s="20"/>
      <c r="AQ26" s="20"/>
    </row>
    <row r="27" spans="33:43" ht="12.75">
      <c r="AG27" s="33"/>
      <c r="AH27" s="33"/>
      <c r="AI27" s="33"/>
      <c r="AJ27" s="33"/>
      <c r="AK27" s="33"/>
      <c r="AM27" s="20"/>
      <c r="AN27" s="20"/>
      <c r="AO27" s="20"/>
      <c r="AP27" s="20"/>
      <c r="AQ27" s="20"/>
    </row>
    <row r="28" spans="33:43" ht="12.75">
      <c r="AG28" s="33"/>
      <c r="AH28" s="33"/>
      <c r="AI28" s="33"/>
      <c r="AJ28" s="33"/>
      <c r="AK28" s="33"/>
      <c r="AM28" s="20"/>
      <c r="AN28" s="20"/>
      <c r="AO28" s="20"/>
      <c r="AP28" s="20"/>
      <c r="AQ28" s="20"/>
    </row>
    <row r="29" spans="33:43" ht="12.75">
      <c r="AG29" s="33"/>
      <c r="AH29" s="33"/>
      <c r="AI29" s="33"/>
      <c r="AJ29" s="33"/>
      <c r="AK29" s="33"/>
      <c r="AM29" s="20"/>
      <c r="AN29" s="20"/>
      <c r="AO29" s="20"/>
      <c r="AP29" s="20"/>
      <c r="AQ29" s="20"/>
    </row>
    <row r="30" spans="33:43" ht="12.75">
      <c r="AG30" s="33"/>
      <c r="AH30" s="33"/>
      <c r="AI30" s="33"/>
      <c r="AJ30" s="33"/>
      <c r="AK30" s="33"/>
      <c r="AM30" s="20"/>
      <c r="AN30" s="20"/>
      <c r="AO30" s="20"/>
      <c r="AP30" s="20"/>
      <c r="AQ30" s="20"/>
    </row>
    <row r="31" spans="1:168" ht="12.75">
      <c r="A31"/>
      <c r="C31"/>
      <c r="D31"/>
      <c r="E31"/>
      <c r="F31"/>
      <c r="G31"/>
      <c r="H31"/>
      <c r="I31"/>
      <c r="J31"/>
      <c r="K31"/>
      <c r="L31"/>
      <c r="M31"/>
      <c r="N31"/>
      <c r="T31"/>
      <c r="AG31" s="33"/>
      <c r="AH31" s="33"/>
      <c r="AI31" s="33"/>
      <c r="AJ31" s="33"/>
      <c r="AK31" s="33"/>
      <c r="AM31" s="20"/>
      <c r="AN31" s="20"/>
      <c r="AO31" s="20"/>
      <c r="AP31" s="20"/>
      <c r="AQ31" s="20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</row>
    <row r="32" spans="1:168" ht="12.75">
      <c r="A32"/>
      <c r="C32"/>
      <c r="D32"/>
      <c r="E32"/>
      <c r="F32"/>
      <c r="G32"/>
      <c r="H32"/>
      <c r="I32"/>
      <c r="J32"/>
      <c r="K32"/>
      <c r="L32"/>
      <c r="M32"/>
      <c r="N32"/>
      <c r="T32"/>
      <c r="AG32" s="33"/>
      <c r="AH32" s="33"/>
      <c r="AI32" s="33"/>
      <c r="AJ32" s="33"/>
      <c r="AK32" s="33"/>
      <c r="AM32" s="20"/>
      <c r="AN32" s="20"/>
      <c r="AO32" s="20"/>
      <c r="AP32" s="20"/>
      <c r="AQ32" s="20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</row>
    <row r="33" spans="33:43" ht="12.75">
      <c r="AG33" s="33"/>
      <c r="AH33" s="33"/>
      <c r="AI33" s="33"/>
      <c r="AJ33" s="33"/>
      <c r="AK33" s="33"/>
      <c r="AM33" s="20"/>
      <c r="AN33" s="20"/>
      <c r="AO33" s="20"/>
      <c r="AP33" s="20"/>
      <c r="AQ33" s="20"/>
    </row>
    <row r="34" spans="33:43" ht="12.75">
      <c r="AG34" s="33"/>
      <c r="AH34" s="33"/>
      <c r="AI34" s="33"/>
      <c r="AJ34" s="33"/>
      <c r="AK34" s="33"/>
      <c r="AM34" s="20"/>
      <c r="AN34" s="20"/>
      <c r="AO34" s="20"/>
      <c r="AP34" s="20"/>
      <c r="AQ34" s="20"/>
    </row>
    <row r="35" spans="33:43" ht="12.75">
      <c r="AG35" s="33"/>
      <c r="AH35" s="33"/>
      <c r="AI35" s="33"/>
      <c r="AJ35" s="33"/>
      <c r="AK35" s="33"/>
      <c r="AM35" s="20"/>
      <c r="AN35" s="20"/>
      <c r="AO35" s="20"/>
      <c r="AP35" s="20"/>
      <c r="AQ35" s="20"/>
    </row>
    <row r="36" spans="33:43" ht="12.75">
      <c r="AG36" s="33"/>
      <c r="AH36" s="33"/>
      <c r="AI36" s="33"/>
      <c r="AJ36" s="33"/>
      <c r="AK36" s="33"/>
      <c r="AM36" s="20"/>
      <c r="AN36" s="20"/>
      <c r="AO36" s="20"/>
      <c r="AP36" s="20"/>
      <c r="AQ36" s="20"/>
    </row>
    <row r="37" spans="33:43" ht="12.75">
      <c r="AG37" s="33"/>
      <c r="AH37" s="33"/>
      <c r="AI37" s="33"/>
      <c r="AJ37" s="33"/>
      <c r="AK37" s="33"/>
      <c r="AM37" s="20"/>
      <c r="AN37" s="20"/>
      <c r="AO37" s="20"/>
      <c r="AP37" s="20"/>
      <c r="AQ37" s="20"/>
    </row>
    <row r="38" spans="33:43" ht="12.75">
      <c r="AG38" s="33"/>
      <c r="AH38" s="33"/>
      <c r="AI38" s="33"/>
      <c r="AJ38" s="33"/>
      <c r="AK38" s="33"/>
      <c r="AM38" s="20"/>
      <c r="AN38" s="20"/>
      <c r="AO38" s="20"/>
      <c r="AP38" s="20"/>
      <c r="AQ38" s="20"/>
    </row>
    <row r="39" spans="33:43" ht="12.75">
      <c r="AG39" s="33"/>
      <c r="AH39" s="33"/>
      <c r="AI39" s="33"/>
      <c r="AJ39" s="33"/>
      <c r="AK39" s="33"/>
      <c r="AM39" s="20"/>
      <c r="AN39" s="20"/>
      <c r="AO39" s="20"/>
      <c r="AP39" s="20"/>
      <c r="AQ39" s="20"/>
    </row>
    <row r="40" spans="33:43" ht="12.75">
      <c r="AG40" s="33"/>
      <c r="AH40" s="33"/>
      <c r="AI40" s="33"/>
      <c r="AJ40" s="33"/>
      <c r="AK40" s="33"/>
      <c r="AM40" s="20"/>
      <c r="AN40" s="20"/>
      <c r="AO40" s="20"/>
      <c r="AP40" s="20"/>
      <c r="AQ40" s="20"/>
    </row>
    <row r="41" spans="33:43" ht="12.75">
      <c r="AG41" s="33"/>
      <c r="AH41" s="33"/>
      <c r="AI41" s="33"/>
      <c r="AJ41" s="33"/>
      <c r="AK41" s="33"/>
      <c r="AM41" s="20"/>
      <c r="AN41" s="20"/>
      <c r="AO41" s="20"/>
      <c r="AP41" s="20"/>
      <c r="AQ41" s="20"/>
    </row>
    <row r="42" spans="33:43" ht="12.75">
      <c r="AG42" s="33"/>
      <c r="AH42" s="33"/>
      <c r="AI42" s="33"/>
      <c r="AJ42" s="33"/>
      <c r="AK42" s="33"/>
      <c r="AM42" s="20"/>
      <c r="AN42" s="20"/>
      <c r="AO42" s="20"/>
      <c r="AP42" s="20"/>
      <c r="AQ42" s="20"/>
    </row>
    <row r="43" spans="33:43" ht="12.75">
      <c r="AG43" s="33"/>
      <c r="AH43" s="33"/>
      <c r="AI43" s="33"/>
      <c r="AJ43" s="33"/>
      <c r="AK43" s="33"/>
      <c r="AM43" s="20"/>
      <c r="AN43" s="20"/>
      <c r="AO43" s="20"/>
      <c r="AP43" s="20"/>
      <c r="AQ43" s="20"/>
    </row>
    <row r="44" spans="33:43" ht="12.75">
      <c r="AG44" s="33"/>
      <c r="AH44" s="33"/>
      <c r="AI44" s="33"/>
      <c r="AJ44" s="33"/>
      <c r="AK44" s="33"/>
      <c r="AM44" s="20"/>
      <c r="AN44" s="20"/>
      <c r="AO44" s="20"/>
      <c r="AP44" s="20"/>
      <c r="AQ44" s="20"/>
    </row>
    <row r="45" spans="33:37" ht="12.75">
      <c r="AG45" s="33"/>
      <c r="AH45" s="33"/>
      <c r="AI45" s="33"/>
      <c r="AJ45" s="33"/>
      <c r="AK45" s="33"/>
    </row>
    <row r="46" spans="33:37" ht="12.75">
      <c r="AG46" s="33"/>
      <c r="AH46" s="33"/>
      <c r="AI46" s="33"/>
      <c r="AJ46" s="33"/>
      <c r="AK46" s="33"/>
    </row>
    <row r="47" spans="33:37" ht="12.75">
      <c r="AG47" s="33"/>
      <c r="AH47" s="33"/>
      <c r="AI47" s="33"/>
      <c r="AJ47" s="33"/>
      <c r="AK47" s="33"/>
    </row>
    <row r="48" spans="33:37" ht="12.75">
      <c r="AG48" s="33"/>
      <c r="AH48" s="33"/>
      <c r="AI48" s="33"/>
      <c r="AJ48" s="33"/>
      <c r="AK48" s="33"/>
    </row>
    <row r="49" spans="33:37" ht="12.75">
      <c r="AG49" s="33"/>
      <c r="AH49" s="33"/>
      <c r="AI49" s="33"/>
      <c r="AJ49" s="33"/>
      <c r="AK49" s="33"/>
    </row>
    <row r="50" spans="33:37" ht="12.75">
      <c r="AG50" s="33"/>
      <c r="AH50" s="33"/>
      <c r="AI50" s="33"/>
      <c r="AJ50" s="33"/>
      <c r="AK50" s="33"/>
    </row>
    <row r="51" spans="33:37" ht="12.75">
      <c r="AG51" s="33"/>
      <c r="AH51" s="33"/>
      <c r="AI51" s="33"/>
      <c r="AJ51" s="33"/>
      <c r="AK51" s="33"/>
    </row>
    <row r="52" spans="33:37" ht="12.75">
      <c r="AG52" s="33"/>
      <c r="AH52" s="33"/>
      <c r="AI52" s="33"/>
      <c r="AJ52" s="33"/>
      <c r="AK52" s="33"/>
    </row>
    <row r="53" spans="33:37" ht="12.75">
      <c r="AG53" s="33"/>
      <c r="AH53" s="33"/>
      <c r="AI53" s="33"/>
      <c r="AJ53" s="33"/>
      <c r="AK53" s="33"/>
    </row>
    <row r="54" spans="33:37" ht="12.75">
      <c r="AG54" s="33"/>
      <c r="AH54" s="33"/>
      <c r="AI54" s="33"/>
      <c r="AJ54" s="33"/>
      <c r="AK54" s="33"/>
    </row>
    <row r="55" spans="33:37" ht="12.75">
      <c r="AG55" s="33"/>
      <c r="AH55" s="33"/>
      <c r="AI55" s="33"/>
      <c r="AJ55" s="33"/>
      <c r="AK55" s="33"/>
    </row>
    <row r="56" spans="33:37" ht="12.75">
      <c r="AG56" s="33"/>
      <c r="AH56" s="33"/>
      <c r="AI56" s="33"/>
      <c r="AJ56" s="33"/>
      <c r="AK56" s="33"/>
    </row>
    <row r="57" spans="33:37" ht="12.75">
      <c r="AG57" s="33"/>
      <c r="AH57" s="33"/>
      <c r="AI57" s="33"/>
      <c r="AJ57" s="33"/>
      <c r="AK57" s="33"/>
    </row>
  </sheetData>
  <sheetProtection/>
  <printOptions/>
  <pageMargins left="0.75" right="0.75" top="1" bottom="1" header="0.5" footer="0.5"/>
  <pageSetup horizontalDpi="600" verticalDpi="600" orientation="landscape" scale="71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I32"/>
  <sheetViews>
    <sheetView zoomScale="150" zoomScaleNormal="150" zoomScalePageLayoutView="0" workbookViewId="0" topLeftCell="A1">
      <selection activeCell="D12" sqref="D12"/>
    </sheetView>
  </sheetViews>
  <sheetFormatPr defaultColWidth="8.7109375" defaultRowHeight="12.75"/>
  <cols>
    <col min="1" max="1" width="9.7109375" style="19" customWidth="1"/>
    <col min="2" max="2" width="3.7109375" style="0" customWidth="1"/>
    <col min="3" max="6" width="13.7109375" style="33" customWidth="1"/>
    <col min="7" max="7" width="15.7109375" style="33" customWidth="1"/>
    <col min="8" max="8" width="3.7109375" style="33" customWidth="1"/>
    <col min="9" max="12" width="13.7109375" style="33" customWidth="1"/>
    <col min="13" max="13" width="15.7109375" style="33" customWidth="1"/>
    <col min="14" max="14" width="3.7109375" style="33" customWidth="1"/>
    <col min="15" max="18" width="13.7109375" style="33" customWidth="1"/>
    <col min="19" max="19" width="15.00390625" style="33" customWidth="1"/>
    <col min="20" max="20" width="3.7109375" style="33" customWidth="1"/>
    <col min="21" max="25" width="13.7109375" style="33" customWidth="1"/>
    <col min="26" max="26" width="3.7109375" style="33" customWidth="1"/>
    <col min="27" max="31" width="13.7109375" style="33" customWidth="1"/>
    <col min="32" max="32" width="3.7109375" style="33" customWidth="1"/>
    <col min="33" max="37" width="13.7109375" style="33" customWidth="1"/>
    <col min="38" max="38" width="3.7109375" style="33" customWidth="1"/>
    <col min="39" max="43" width="13.7109375" style="33" customWidth="1"/>
    <col min="44" max="44" width="3.7109375" style="33" customWidth="1"/>
    <col min="45" max="49" width="13.7109375" style="33" customWidth="1"/>
    <col min="50" max="50" width="3.7109375" style="33" customWidth="1"/>
    <col min="51" max="55" width="13.7109375" style="33" customWidth="1"/>
    <col min="56" max="56" width="3.7109375" style="33" customWidth="1"/>
    <col min="57" max="61" width="13.7109375" style="33" customWidth="1"/>
    <col min="62" max="62" width="3.7109375" style="33" customWidth="1"/>
    <col min="63" max="67" width="13.7109375" style="33" customWidth="1"/>
    <col min="68" max="68" width="3.7109375" style="33" customWidth="1"/>
    <col min="69" max="73" width="13.7109375" style="33" customWidth="1"/>
    <col min="74" max="74" width="3.7109375" style="33" customWidth="1"/>
    <col min="75" max="79" width="13.7109375" style="33" customWidth="1"/>
    <col min="80" max="80" width="3.7109375" style="33" customWidth="1"/>
    <col min="81" max="85" width="13.7109375" style="33" customWidth="1"/>
    <col min="86" max="86" width="3.7109375" style="33" customWidth="1"/>
    <col min="87" max="91" width="13.7109375" style="33" customWidth="1"/>
    <col min="92" max="92" width="3.7109375" style="33" customWidth="1"/>
    <col min="93" max="97" width="13.7109375" style="33" customWidth="1"/>
    <col min="98" max="98" width="3.7109375" style="33" customWidth="1"/>
    <col min="99" max="103" width="13.7109375" style="33" customWidth="1"/>
    <col min="104" max="104" width="3.7109375" style="33" customWidth="1"/>
    <col min="105" max="109" width="13.7109375" style="33" customWidth="1"/>
    <col min="110" max="110" width="3.7109375" style="33" customWidth="1"/>
    <col min="111" max="115" width="13.7109375" style="33" customWidth="1"/>
    <col min="116" max="116" width="3.7109375" style="33" customWidth="1"/>
    <col min="117" max="121" width="13.7109375" style="33" customWidth="1"/>
    <col min="122" max="122" width="3.7109375" style="33" customWidth="1"/>
    <col min="123" max="127" width="13.7109375" style="33" customWidth="1"/>
    <col min="128" max="128" width="3.7109375" style="33" customWidth="1"/>
    <col min="129" max="133" width="13.7109375" style="33" customWidth="1"/>
    <col min="134" max="134" width="3.7109375" style="33" customWidth="1"/>
    <col min="135" max="139" width="13.7109375" style="33" customWidth="1"/>
    <col min="140" max="140" width="3.7109375" style="33" customWidth="1"/>
    <col min="141" max="145" width="13.7109375" style="33" customWidth="1"/>
    <col min="146" max="146" width="3.7109375" style="33" customWidth="1"/>
    <col min="147" max="151" width="13.7109375" style="33" customWidth="1"/>
    <col min="152" max="152" width="3.7109375" style="33" customWidth="1"/>
    <col min="153" max="157" width="13.7109375" style="33" customWidth="1"/>
    <col min="158" max="158" width="3.7109375" style="33" customWidth="1"/>
    <col min="159" max="163" width="13.7109375" style="33" customWidth="1"/>
    <col min="164" max="164" width="3.7109375" style="33" customWidth="1"/>
    <col min="165" max="169" width="13.7109375" style="33" customWidth="1"/>
    <col min="170" max="170" width="3.7109375" style="33" customWidth="1"/>
    <col min="171" max="175" width="13.7109375" style="33" customWidth="1"/>
    <col min="176" max="176" width="3.7109375" style="33" customWidth="1"/>
    <col min="177" max="181" width="13.7109375" style="33" customWidth="1"/>
    <col min="182" max="182" width="3.7109375" style="33" customWidth="1"/>
    <col min="183" max="187" width="13.7109375" style="33" customWidth="1"/>
    <col min="188" max="188" width="3.7109375" style="33" customWidth="1"/>
    <col min="189" max="193" width="13.7109375" style="33" customWidth="1"/>
    <col min="194" max="194" width="3.7109375" style="33" customWidth="1"/>
    <col min="195" max="199" width="13.7109375" style="33" customWidth="1"/>
    <col min="200" max="200" width="3.7109375" style="33" customWidth="1"/>
    <col min="201" max="205" width="13.7109375" style="33" customWidth="1"/>
    <col min="206" max="206" width="3.7109375" style="33" customWidth="1"/>
    <col min="207" max="211" width="13.7109375" style="33" customWidth="1"/>
    <col min="212" max="212" width="3.7109375" style="33" customWidth="1"/>
  </cols>
  <sheetData>
    <row r="1" spans="1:212" ht="12.75">
      <c r="A1" s="44"/>
      <c r="B1" s="30"/>
      <c r="C1" s="43"/>
      <c r="D1" s="45"/>
      <c r="E1" s="45" t="s">
        <v>171</v>
      </c>
      <c r="G1" s="45"/>
      <c r="H1" s="45"/>
      <c r="I1" s="36"/>
      <c r="K1" s="45"/>
      <c r="O1" s="45" t="s">
        <v>171</v>
      </c>
      <c r="W1" s="45"/>
      <c r="AA1" s="45" t="s">
        <v>171</v>
      </c>
      <c r="AE1"/>
      <c r="AF1"/>
      <c r="AG1"/>
      <c r="AI1" s="45"/>
      <c r="AJ1"/>
      <c r="AK1"/>
      <c r="AL1"/>
      <c r="AM1" s="45" t="s">
        <v>171</v>
      </c>
      <c r="AN1"/>
      <c r="AO1"/>
      <c r="AP1"/>
      <c r="AQ1"/>
      <c r="AR1"/>
      <c r="AS1"/>
      <c r="AT1"/>
      <c r="AU1" s="45"/>
      <c r="AV1"/>
      <c r="AW1"/>
      <c r="AX1" s="20"/>
      <c r="AY1" s="45" t="s">
        <v>171</v>
      </c>
      <c r="AZ1" s="20"/>
      <c r="BA1" s="20"/>
      <c r="BB1" s="20"/>
      <c r="BC1" s="20"/>
      <c r="BD1" s="20"/>
      <c r="BE1" s="20"/>
      <c r="BF1" s="20"/>
      <c r="BG1" s="45"/>
      <c r="BH1" s="20"/>
      <c r="BI1" s="20"/>
      <c r="BJ1" s="20"/>
      <c r="BK1" s="45" t="s">
        <v>171</v>
      </c>
      <c r="BL1" s="20"/>
      <c r="BM1" s="20"/>
      <c r="BN1" s="20"/>
      <c r="BO1" s="20"/>
      <c r="BP1" s="20"/>
      <c r="BQ1" s="20"/>
      <c r="BR1" s="20"/>
      <c r="BS1" s="45"/>
      <c r="BT1" s="20"/>
      <c r="BU1" s="20"/>
      <c r="BV1" s="20"/>
      <c r="BW1" s="45" t="s">
        <v>171</v>
      </c>
      <c r="BX1" s="20"/>
      <c r="BY1" s="20"/>
      <c r="BZ1" s="20"/>
      <c r="CA1" s="20"/>
      <c r="CB1" s="20"/>
      <c r="CC1" s="20"/>
      <c r="CD1" s="20"/>
      <c r="CE1" s="45"/>
      <c r="CF1" s="20"/>
      <c r="CG1" s="20"/>
      <c r="CH1" s="20"/>
      <c r="CI1" s="45" t="s">
        <v>171</v>
      </c>
      <c r="CJ1" s="20"/>
      <c r="CK1" s="20"/>
      <c r="CL1" s="20"/>
      <c r="CM1" s="20"/>
      <c r="CN1" s="20"/>
      <c r="CO1" s="20"/>
      <c r="CP1" s="20"/>
      <c r="CQ1" s="45"/>
      <c r="CR1" s="20"/>
      <c r="CS1" s="20"/>
      <c r="CT1" s="20"/>
      <c r="CU1" s="45" t="s">
        <v>171</v>
      </c>
      <c r="CV1" s="20"/>
      <c r="CW1" s="20"/>
      <c r="CX1" s="20"/>
      <c r="CY1" s="20"/>
      <c r="CZ1" s="20"/>
      <c r="DA1" s="20"/>
      <c r="DB1" s="20"/>
      <c r="DC1" s="45"/>
      <c r="DD1" s="20"/>
      <c r="DE1" s="20"/>
      <c r="DF1" s="20"/>
      <c r="DG1" s="45" t="s">
        <v>171</v>
      </c>
      <c r="DH1" s="20"/>
      <c r="DI1" s="20"/>
      <c r="DJ1" s="20"/>
      <c r="DK1" s="20"/>
      <c r="DL1" s="20"/>
      <c r="DM1" s="20"/>
      <c r="DN1" s="20"/>
      <c r="DO1" s="45"/>
      <c r="DP1" s="20"/>
      <c r="DQ1" s="20"/>
      <c r="DR1" s="20"/>
      <c r="DS1" s="45" t="s">
        <v>171</v>
      </c>
      <c r="DT1" s="20"/>
      <c r="DU1" s="20"/>
      <c r="DV1" s="20"/>
      <c r="DW1" s="20"/>
      <c r="DX1" s="20"/>
      <c r="DY1" s="20"/>
      <c r="DZ1" s="20"/>
      <c r="EA1" s="45"/>
      <c r="EB1" s="20"/>
      <c r="EC1" s="20"/>
      <c r="ED1" s="45" t="s">
        <v>171</v>
      </c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</row>
    <row r="2" spans="1:212" ht="12.75">
      <c r="A2" s="44"/>
      <c r="B2" s="30"/>
      <c r="C2" s="43"/>
      <c r="D2" s="45"/>
      <c r="E2" s="43" t="s">
        <v>178</v>
      </c>
      <c r="G2" s="45"/>
      <c r="H2" s="45"/>
      <c r="I2" s="36"/>
      <c r="K2" s="45"/>
      <c r="O2" s="43" t="str">
        <f>E2</f>
        <v>Distribution of Debt Services after 2011B Bond Issue</v>
      </c>
      <c r="W2" s="45"/>
      <c r="AA2" s="43" t="str">
        <f>O2</f>
        <v>Distribution of Debt Services after 2011B Bond Issue</v>
      </c>
      <c r="AE2"/>
      <c r="AF2"/>
      <c r="AG2"/>
      <c r="AI2" s="45"/>
      <c r="AJ2"/>
      <c r="AK2"/>
      <c r="AL2"/>
      <c r="AM2" s="43" t="str">
        <f>AA2</f>
        <v>Distribution of Debt Services after 2011B Bond Issue</v>
      </c>
      <c r="AN2"/>
      <c r="AO2"/>
      <c r="AP2"/>
      <c r="AQ2"/>
      <c r="AR2"/>
      <c r="AS2"/>
      <c r="AT2"/>
      <c r="AU2" s="45"/>
      <c r="AV2"/>
      <c r="AW2"/>
      <c r="AX2" s="20"/>
      <c r="AY2" s="43" t="str">
        <f>AM2</f>
        <v>Distribution of Debt Services after 2011B Bond Issue</v>
      </c>
      <c r="AZ2" s="20"/>
      <c r="BA2" s="20"/>
      <c r="BB2" s="20"/>
      <c r="BC2" s="20"/>
      <c r="BD2" s="20"/>
      <c r="BE2" s="20"/>
      <c r="BF2" s="20"/>
      <c r="BG2" s="45"/>
      <c r="BH2" s="20"/>
      <c r="BI2" s="20"/>
      <c r="BJ2" s="20"/>
      <c r="BK2" s="43" t="str">
        <f>AY2</f>
        <v>Distribution of Debt Services after 2011B Bond Issue</v>
      </c>
      <c r="BL2" s="20"/>
      <c r="BM2" s="20"/>
      <c r="BN2" s="20"/>
      <c r="BO2" s="20"/>
      <c r="BP2" s="20"/>
      <c r="BQ2" s="20"/>
      <c r="BR2" s="20"/>
      <c r="BS2" s="45"/>
      <c r="BT2" s="20"/>
      <c r="BU2" s="20"/>
      <c r="BV2" s="20"/>
      <c r="BW2" s="43" t="str">
        <f>BK2</f>
        <v>Distribution of Debt Services after 2011B Bond Issue</v>
      </c>
      <c r="BX2" s="20"/>
      <c r="BY2" s="20"/>
      <c r="BZ2" s="20"/>
      <c r="CA2" s="20"/>
      <c r="CB2" s="20"/>
      <c r="CC2" s="20"/>
      <c r="CD2" s="20"/>
      <c r="CE2" s="45"/>
      <c r="CF2" s="20"/>
      <c r="CG2" s="20"/>
      <c r="CH2" s="20"/>
      <c r="CI2" s="43" t="str">
        <f>BW2</f>
        <v>Distribution of Debt Services after 2011B Bond Issue</v>
      </c>
      <c r="CJ2" s="20"/>
      <c r="CK2" s="20"/>
      <c r="CL2" s="20"/>
      <c r="CM2" s="20"/>
      <c r="CN2" s="20"/>
      <c r="CO2" s="20"/>
      <c r="CP2" s="20"/>
      <c r="CQ2" s="45"/>
      <c r="CR2" s="20"/>
      <c r="CS2" s="20"/>
      <c r="CT2" s="20"/>
      <c r="CU2" s="43" t="str">
        <f>CI2</f>
        <v>Distribution of Debt Services after 2011B Bond Issue</v>
      </c>
      <c r="CV2" s="20"/>
      <c r="CW2" s="20"/>
      <c r="CX2" s="20"/>
      <c r="CY2" s="20"/>
      <c r="CZ2" s="20"/>
      <c r="DA2" s="20"/>
      <c r="DB2" s="20"/>
      <c r="DC2" s="45"/>
      <c r="DD2" s="20"/>
      <c r="DE2" s="20"/>
      <c r="DF2" s="20"/>
      <c r="DG2" s="43" t="str">
        <f>CU2</f>
        <v>Distribution of Debt Services after 2011B Bond Issue</v>
      </c>
      <c r="DH2" s="20"/>
      <c r="DI2" s="20"/>
      <c r="DJ2" s="20"/>
      <c r="DK2" s="20"/>
      <c r="DL2" s="20"/>
      <c r="DM2" s="20"/>
      <c r="DN2" s="20"/>
      <c r="DO2" s="45"/>
      <c r="DP2" s="20"/>
      <c r="DQ2" s="20"/>
      <c r="DR2" s="20"/>
      <c r="DS2" s="43" t="str">
        <f>DG2</f>
        <v>Distribution of Debt Services after 2011B Bond Issue</v>
      </c>
      <c r="DT2" s="20"/>
      <c r="DU2" s="20"/>
      <c r="DV2" s="20"/>
      <c r="DW2" s="20"/>
      <c r="DX2" s="20"/>
      <c r="DY2" s="20"/>
      <c r="DZ2" s="20"/>
      <c r="EA2" s="45"/>
      <c r="EB2" s="20"/>
      <c r="EC2" s="20"/>
      <c r="ED2" s="43" t="str">
        <f>DS2</f>
        <v>Distribution of Debt Services after 2011B Bond Issue</v>
      </c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</row>
    <row r="3" spans="1:212" ht="12.75">
      <c r="A3" s="44"/>
      <c r="B3" s="30"/>
      <c r="C3" s="43"/>
      <c r="D3" s="43"/>
      <c r="E3" s="45" t="s">
        <v>172</v>
      </c>
      <c r="G3" s="43"/>
      <c r="H3" s="43"/>
      <c r="I3" s="36"/>
      <c r="K3" s="45"/>
      <c r="O3" s="45" t="s">
        <v>172</v>
      </c>
      <c r="W3" s="45"/>
      <c r="AA3" s="45" t="s">
        <v>172</v>
      </c>
      <c r="AE3"/>
      <c r="AF3" s="12"/>
      <c r="AG3"/>
      <c r="AI3" s="45"/>
      <c r="AJ3"/>
      <c r="AK3"/>
      <c r="AL3"/>
      <c r="AM3" s="45" t="s">
        <v>172</v>
      </c>
      <c r="AN3"/>
      <c r="AO3"/>
      <c r="AP3"/>
      <c r="AQ3"/>
      <c r="AR3"/>
      <c r="AS3"/>
      <c r="AT3"/>
      <c r="AU3" s="45"/>
      <c r="AV3"/>
      <c r="AW3"/>
      <c r="AX3" s="20"/>
      <c r="AY3" s="45" t="s">
        <v>172</v>
      </c>
      <c r="AZ3" s="20"/>
      <c r="BA3" s="20"/>
      <c r="BB3" s="20"/>
      <c r="BC3" s="20"/>
      <c r="BD3" s="20"/>
      <c r="BE3" s="20"/>
      <c r="BF3" s="20"/>
      <c r="BG3" s="45"/>
      <c r="BH3" s="20"/>
      <c r="BI3" s="20"/>
      <c r="BJ3" s="20"/>
      <c r="BK3" s="45" t="s">
        <v>172</v>
      </c>
      <c r="BL3" s="20"/>
      <c r="BM3" s="20"/>
      <c r="BN3" s="20"/>
      <c r="BO3" s="20"/>
      <c r="BP3" s="20"/>
      <c r="BQ3" s="20"/>
      <c r="BR3" s="20"/>
      <c r="BS3" s="45"/>
      <c r="BT3" s="20"/>
      <c r="BU3" s="20"/>
      <c r="BV3" s="20"/>
      <c r="BW3" s="45" t="s">
        <v>172</v>
      </c>
      <c r="BX3" s="20"/>
      <c r="BY3" s="20"/>
      <c r="BZ3" s="20"/>
      <c r="CA3" s="20"/>
      <c r="CB3" s="20"/>
      <c r="CC3" s="20"/>
      <c r="CD3" s="20"/>
      <c r="CE3" s="45"/>
      <c r="CF3" s="20"/>
      <c r="CG3" s="20"/>
      <c r="CH3" s="20"/>
      <c r="CI3" s="45" t="s">
        <v>172</v>
      </c>
      <c r="CJ3" s="20"/>
      <c r="CK3" s="20"/>
      <c r="CL3" s="20"/>
      <c r="CM3" s="20"/>
      <c r="CN3" s="20"/>
      <c r="CO3" s="20"/>
      <c r="CP3" s="20"/>
      <c r="CQ3" s="45"/>
      <c r="CR3" s="20"/>
      <c r="CS3" s="20"/>
      <c r="CT3" s="20"/>
      <c r="CU3" s="45" t="s">
        <v>172</v>
      </c>
      <c r="CV3" s="20"/>
      <c r="CW3" s="20"/>
      <c r="CX3" s="20"/>
      <c r="CY3" s="20"/>
      <c r="CZ3" s="20"/>
      <c r="DA3" s="20"/>
      <c r="DB3" s="20"/>
      <c r="DC3" s="45"/>
      <c r="DD3" s="20"/>
      <c r="DE3" s="20"/>
      <c r="DF3" s="20"/>
      <c r="DG3" s="45" t="s">
        <v>172</v>
      </c>
      <c r="DH3" s="20"/>
      <c r="DI3" s="20"/>
      <c r="DJ3" s="20"/>
      <c r="DK3" s="20"/>
      <c r="DL3" s="20"/>
      <c r="DM3" s="20"/>
      <c r="DN3" s="20"/>
      <c r="DO3" s="45"/>
      <c r="DP3" s="20"/>
      <c r="DQ3" s="20"/>
      <c r="DR3" s="20"/>
      <c r="DS3" s="45" t="s">
        <v>172</v>
      </c>
      <c r="DT3" s="20"/>
      <c r="DU3" s="20"/>
      <c r="DV3" s="20"/>
      <c r="DW3" s="20"/>
      <c r="DX3" s="20"/>
      <c r="DY3" s="20"/>
      <c r="DZ3" s="20"/>
      <c r="EA3" s="45"/>
      <c r="EB3" s="20"/>
      <c r="EC3" s="20"/>
      <c r="ED3" s="45" t="s">
        <v>172</v>
      </c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</row>
    <row r="4" spans="1:2" ht="12.75">
      <c r="A4" s="44"/>
      <c r="B4" s="30"/>
    </row>
    <row r="5" spans="1:211" ht="12.75">
      <c r="A5" s="22" t="s">
        <v>9</v>
      </c>
      <c r="C5" s="76" t="s">
        <v>179</v>
      </c>
      <c r="D5" s="38"/>
      <c r="E5" s="39"/>
      <c r="F5" s="41"/>
      <c r="G5" s="41"/>
      <c r="I5" s="37" t="s">
        <v>85</v>
      </c>
      <c r="J5" s="38"/>
      <c r="K5" s="39"/>
      <c r="L5" s="41"/>
      <c r="M5" s="41"/>
      <c r="O5" s="37" t="s">
        <v>86</v>
      </c>
      <c r="P5" s="38"/>
      <c r="Q5" s="39"/>
      <c r="R5" s="41"/>
      <c r="S5" s="41"/>
      <c r="U5" s="37" t="s">
        <v>164</v>
      </c>
      <c r="V5" s="38"/>
      <c r="W5" s="39"/>
      <c r="X5" s="41"/>
      <c r="Y5" s="41"/>
      <c r="AA5" s="62" t="s">
        <v>87</v>
      </c>
      <c r="AB5" s="38"/>
      <c r="AC5" s="39"/>
      <c r="AD5" s="41"/>
      <c r="AE5" s="41"/>
      <c r="AG5" s="62" t="s">
        <v>142</v>
      </c>
      <c r="AH5" s="38"/>
      <c r="AI5" s="39"/>
      <c r="AJ5" s="41"/>
      <c r="AK5" s="41"/>
      <c r="AM5" s="62" t="s">
        <v>88</v>
      </c>
      <c r="AN5" s="38"/>
      <c r="AO5" s="39"/>
      <c r="AP5" s="41"/>
      <c r="AQ5" s="41"/>
      <c r="AR5" s="63"/>
      <c r="AS5" s="37" t="s">
        <v>89</v>
      </c>
      <c r="AT5" s="38"/>
      <c r="AU5" s="39"/>
      <c r="AV5" s="41"/>
      <c r="AW5" s="41"/>
      <c r="AY5" s="37" t="s">
        <v>90</v>
      </c>
      <c r="AZ5" s="38"/>
      <c r="BA5" s="39"/>
      <c r="BB5" s="41"/>
      <c r="BC5" s="41"/>
      <c r="BE5" s="37" t="s">
        <v>91</v>
      </c>
      <c r="BF5" s="38"/>
      <c r="BG5" s="39"/>
      <c r="BH5" s="41"/>
      <c r="BI5" s="41"/>
      <c r="BK5" s="37" t="s">
        <v>92</v>
      </c>
      <c r="BL5" s="38"/>
      <c r="BM5" s="39"/>
      <c r="BN5" s="41"/>
      <c r="BO5" s="41"/>
      <c r="BQ5" s="37" t="s">
        <v>93</v>
      </c>
      <c r="BR5" s="38"/>
      <c r="BS5" s="39"/>
      <c r="BT5" s="41"/>
      <c r="BU5" s="41"/>
      <c r="BW5" s="37" t="s">
        <v>94</v>
      </c>
      <c r="BX5" s="38"/>
      <c r="BY5" s="39"/>
      <c r="BZ5" s="41"/>
      <c r="CA5" s="41"/>
      <c r="CB5" s="63"/>
      <c r="CC5" s="37" t="s">
        <v>95</v>
      </c>
      <c r="CD5" s="38"/>
      <c r="CE5" s="39"/>
      <c r="CF5" s="41"/>
      <c r="CG5" s="41"/>
      <c r="CI5" s="37" t="s">
        <v>96</v>
      </c>
      <c r="CJ5" s="38"/>
      <c r="CK5" s="39"/>
      <c r="CL5" s="41"/>
      <c r="CM5" s="41"/>
      <c r="CO5" s="37" t="s">
        <v>97</v>
      </c>
      <c r="CP5" s="38"/>
      <c r="CQ5" s="39"/>
      <c r="CR5" s="41"/>
      <c r="CS5" s="41"/>
      <c r="CU5" s="37" t="s">
        <v>98</v>
      </c>
      <c r="CV5" s="38"/>
      <c r="CW5" s="39"/>
      <c r="CX5" s="41"/>
      <c r="CY5" s="41"/>
      <c r="DA5" s="37" t="s">
        <v>99</v>
      </c>
      <c r="DB5" s="38"/>
      <c r="DC5" s="39"/>
      <c r="DD5" s="41"/>
      <c r="DE5" s="41"/>
      <c r="DG5" s="37" t="s">
        <v>100</v>
      </c>
      <c r="DH5" s="38"/>
      <c r="DI5" s="39"/>
      <c r="DJ5" s="41"/>
      <c r="DK5" s="41"/>
      <c r="DM5" s="37" t="s">
        <v>101</v>
      </c>
      <c r="DN5" s="38"/>
      <c r="DO5" s="39"/>
      <c r="DP5" s="41"/>
      <c r="DQ5" s="41"/>
      <c r="DS5" s="37" t="s">
        <v>102</v>
      </c>
      <c r="DT5" s="38"/>
      <c r="DU5" s="39"/>
      <c r="DV5" s="41"/>
      <c r="DW5" s="41"/>
      <c r="DY5" s="37" t="s">
        <v>103</v>
      </c>
      <c r="DZ5" s="38"/>
      <c r="EA5" s="39"/>
      <c r="EB5" s="41"/>
      <c r="EC5" s="41"/>
      <c r="EE5" s="37" t="s">
        <v>165</v>
      </c>
      <c r="EF5" s="38"/>
      <c r="EG5" s="39"/>
      <c r="EH5" s="41"/>
      <c r="EI5" s="41"/>
      <c r="EK5" s="37" t="s">
        <v>104</v>
      </c>
      <c r="EL5" s="38"/>
      <c r="EM5" s="39"/>
      <c r="EN5" s="41"/>
      <c r="EO5" s="41"/>
      <c r="EQ5" s="37" t="s">
        <v>105</v>
      </c>
      <c r="ER5" s="38"/>
      <c r="ES5" s="39"/>
      <c r="ET5" s="41"/>
      <c r="EU5" s="41"/>
      <c r="EW5" s="37" t="s">
        <v>106</v>
      </c>
      <c r="EX5" s="38"/>
      <c r="EY5" s="39"/>
      <c r="EZ5" s="41"/>
      <c r="FA5" s="41"/>
      <c r="FC5" s="37" t="s">
        <v>107</v>
      </c>
      <c r="FD5" s="38"/>
      <c r="FE5" s="39"/>
      <c r="FF5" s="41"/>
      <c r="FG5" s="41"/>
      <c r="FI5" s="37" t="s">
        <v>108</v>
      </c>
      <c r="FJ5" s="38"/>
      <c r="FK5" s="39"/>
      <c r="FL5" s="41"/>
      <c r="FM5" s="41"/>
      <c r="FO5" s="37" t="s">
        <v>109</v>
      </c>
      <c r="FP5" s="38"/>
      <c r="FQ5" s="39"/>
      <c r="FR5" s="41"/>
      <c r="FS5" s="41"/>
      <c r="FU5" s="37" t="s">
        <v>110</v>
      </c>
      <c r="FV5" s="38"/>
      <c r="FW5" s="39"/>
      <c r="FX5" s="41"/>
      <c r="FY5" s="41"/>
      <c r="GA5" s="37" t="s">
        <v>111</v>
      </c>
      <c r="GB5" s="38"/>
      <c r="GC5" s="39"/>
      <c r="GD5" s="41"/>
      <c r="GE5" s="41"/>
      <c r="GG5" s="37" t="s">
        <v>112</v>
      </c>
      <c r="GH5" s="38"/>
      <c r="GI5" s="39"/>
      <c r="GJ5" s="41"/>
      <c r="GK5" s="41"/>
      <c r="GM5" s="37" t="s">
        <v>113</v>
      </c>
      <c r="GN5" s="38"/>
      <c r="GO5" s="39"/>
      <c r="GP5" s="41"/>
      <c r="GQ5" s="41"/>
      <c r="GS5" s="37" t="s">
        <v>114</v>
      </c>
      <c r="GT5" s="38"/>
      <c r="GU5" s="39"/>
      <c r="GV5" s="41"/>
      <c r="GW5" s="41"/>
      <c r="GY5" s="37" t="s">
        <v>115</v>
      </c>
      <c r="GZ5" s="38"/>
      <c r="HA5" s="39"/>
      <c r="HB5" s="41"/>
      <c r="HC5" s="41"/>
    </row>
    <row r="6" spans="1:212" s="12" customFormat="1" ht="12.75">
      <c r="A6" s="46" t="s">
        <v>10</v>
      </c>
      <c r="C6" s="40"/>
      <c r="D6" s="61">
        <v>1</v>
      </c>
      <c r="E6" s="39"/>
      <c r="F6" s="41" t="s">
        <v>168</v>
      </c>
      <c r="G6" s="96" t="s">
        <v>173</v>
      </c>
      <c r="H6" s="33"/>
      <c r="I6" s="40"/>
      <c r="J6" s="67">
        <f>P6+V6+AB6+AH6+AN6+AT6+AZ6+BF6+BL6+BR6+BX6+CD6+CJ6+CP6+CV6+DB6+DH6+DN6+DT6+DZ6+EF6+EL6+ER6+EX6+FD6+FJ6+FP6+FV6+GB6+GH6+GN6+GT6+GZ6</f>
        <v>0.5428259000000001</v>
      </c>
      <c r="K6" s="39"/>
      <c r="L6" s="41" t="s">
        <v>168</v>
      </c>
      <c r="M6" s="96" t="s">
        <v>173</v>
      </c>
      <c r="N6" s="33"/>
      <c r="O6" s="40"/>
      <c r="P6" s="53">
        <v>0.0661452</v>
      </c>
      <c r="Q6" s="39"/>
      <c r="R6" s="41" t="s">
        <v>168</v>
      </c>
      <c r="S6" s="96" t="s">
        <v>173</v>
      </c>
      <c r="T6" s="33"/>
      <c r="U6" s="40"/>
      <c r="V6" s="53">
        <v>0.0011296</v>
      </c>
      <c r="W6" s="39"/>
      <c r="X6" s="41" t="s">
        <v>168</v>
      </c>
      <c r="Y6" s="96" t="s">
        <v>173</v>
      </c>
      <c r="Z6" s="33"/>
      <c r="AA6" s="40"/>
      <c r="AB6" s="53">
        <v>0.0050994</v>
      </c>
      <c r="AC6" s="39"/>
      <c r="AD6" s="41" t="s">
        <v>168</v>
      </c>
      <c r="AE6" s="96" t="s">
        <v>173</v>
      </c>
      <c r="AF6" s="33"/>
      <c r="AG6" s="40"/>
      <c r="AH6" s="53">
        <v>0.0886797</v>
      </c>
      <c r="AI6" s="39"/>
      <c r="AJ6" s="41" t="s">
        <v>168</v>
      </c>
      <c r="AK6" s="96" t="s">
        <v>173</v>
      </c>
      <c r="AL6" s="33"/>
      <c r="AM6" s="40"/>
      <c r="AN6" s="53">
        <v>0.0010742</v>
      </c>
      <c r="AO6" s="39"/>
      <c r="AP6" s="41" t="s">
        <v>168</v>
      </c>
      <c r="AQ6" s="96" t="s">
        <v>173</v>
      </c>
      <c r="AR6" s="63"/>
      <c r="AS6" s="40"/>
      <c r="AT6" s="53">
        <v>0.0009059</v>
      </c>
      <c r="AU6" s="39"/>
      <c r="AV6" s="41" t="s">
        <v>168</v>
      </c>
      <c r="AW6" s="96" t="s">
        <v>173</v>
      </c>
      <c r="AX6" s="33"/>
      <c r="AY6" s="40"/>
      <c r="AZ6" s="53">
        <v>0.0371668</v>
      </c>
      <c r="BA6" s="39"/>
      <c r="BB6" s="41" t="s">
        <v>168</v>
      </c>
      <c r="BC6" s="96" t="s">
        <v>173</v>
      </c>
      <c r="BD6" s="33"/>
      <c r="BE6" s="40"/>
      <c r="BF6" s="53">
        <v>0.0762623</v>
      </c>
      <c r="BG6" s="39"/>
      <c r="BH6" s="41" t="s">
        <v>168</v>
      </c>
      <c r="BI6" s="96" t="s">
        <v>173</v>
      </c>
      <c r="BJ6" s="33"/>
      <c r="BK6" s="40"/>
      <c r="BL6" s="53">
        <v>0.0008804</v>
      </c>
      <c r="BM6" s="39"/>
      <c r="BN6" s="41" t="s">
        <v>168</v>
      </c>
      <c r="BO6" s="96" t="s">
        <v>173</v>
      </c>
      <c r="BP6" s="33"/>
      <c r="BQ6" s="40"/>
      <c r="BR6" s="53">
        <v>0.0005914</v>
      </c>
      <c r="BS6" s="39"/>
      <c r="BT6" s="41" t="s">
        <v>168</v>
      </c>
      <c r="BU6" s="96" t="s">
        <v>173</v>
      </c>
      <c r="BV6" s="33"/>
      <c r="BW6" s="40"/>
      <c r="BX6" s="53">
        <v>-8.81E-05</v>
      </c>
      <c r="BY6" s="39"/>
      <c r="BZ6" s="41" t="s">
        <v>168</v>
      </c>
      <c r="CA6" s="96" t="s">
        <v>173</v>
      </c>
      <c r="CB6" s="63"/>
      <c r="CC6" s="40"/>
      <c r="CD6" s="53">
        <v>-5.74E-05</v>
      </c>
      <c r="CE6" s="39"/>
      <c r="CF6" s="41" t="s">
        <v>168</v>
      </c>
      <c r="CG6" s="96" t="s">
        <v>173</v>
      </c>
      <c r="CH6" s="33"/>
      <c r="CI6" s="40"/>
      <c r="CJ6" s="53">
        <v>0.0021346</v>
      </c>
      <c r="CK6" s="39"/>
      <c r="CL6" s="41" t="s">
        <v>168</v>
      </c>
      <c r="CM6" s="96" t="s">
        <v>173</v>
      </c>
      <c r="CN6" s="33"/>
      <c r="CO6" s="40"/>
      <c r="CP6" s="53">
        <v>0.013127</v>
      </c>
      <c r="CQ6" s="39"/>
      <c r="CR6" s="41" t="s">
        <v>168</v>
      </c>
      <c r="CS6" s="96" t="s">
        <v>173</v>
      </c>
      <c r="CT6" s="33"/>
      <c r="CU6" s="40"/>
      <c r="CV6" s="53">
        <v>0.0881851</v>
      </c>
      <c r="CW6" s="39"/>
      <c r="CX6" s="41" t="s">
        <v>168</v>
      </c>
      <c r="CY6" s="96" t="s">
        <v>173</v>
      </c>
      <c r="CZ6" s="33"/>
      <c r="DA6" s="40"/>
      <c r="DB6" s="53">
        <v>0.0127232</v>
      </c>
      <c r="DC6" s="39"/>
      <c r="DD6" s="41" t="s">
        <v>168</v>
      </c>
      <c r="DE6" s="96" t="s">
        <v>173</v>
      </c>
      <c r="DF6" s="33"/>
      <c r="DG6" s="40"/>
      <c r="DH6" s="53">
        <v>0.0259972</v>
      </c>
      <c r="DI6" s="39"/>
      <c r="DJ6" s="41" t="s">
        <v>168</v>
      </c>
      <c r="DK6" s="96" t="s">
        <v>173</v>
      </c>
      <c r="DL6" s="33"/>
      <c r="DM6" s="40"/>
      <c r="DN6" s="53">
        <v>0.0042162</v>
      </c>
      <c r="DO6" s="39"/>
      <c r="DP6" s="41" t="s">
        <v>168</v>
      </c>
      <c r="DQ6" s="96" t="s">
        <v>173</v>
      </c>
      <c r="DR6" s="33"/>
      <c r="DS6" s="40"/>
      <c r="DT6" s="53">
        <v>0.0216282</v>
      </c>
      <c r="DU6" s="39"/>
      <c r="DV6" s="41" t="s">
        <v>168</v>
      </c>
      <c r="DW6" s="96" t="s">
        <v>173</v>
      </c>
      <c r="DX6" s="33"/>
      <c r="DY6" s="40"/>
      <c r="DZ6" s="53">
        <v>0.0001933</v>
      </c>
      <c r="EA6" s="39"/>
      <c r="EB6" s="41" t="s">
        <v>168</v>
      </c>
      <c r="EC6" s="96" t="s">
        <v>173</v>
      </c>
      <c r="ED6" s="33"/>
      <c r="EE6" s="40"/>
      <c r="EF6" s="53">
        <v>0.0002544</v>
      </c>
      <c r="EG6" s="39"/>
      <c r="EH6" s="41" t="s">
        <v>168</v>
      </c>
      <c r="EI6" s="96" t="s">
        <v>173</v>
      </c>
      <c r="EJ6" s="33"/>
      <c r="EK6" s="40"/>
      <c r="EL6" s="53">
        <v>0.0128187</v>
      </c>
      <c r="EM6" s="39"/>
      <c r="EN6" s="41" t="s">
        <v>168</v>
      </c>
      <c r="EO6" s="96" t="s">
        <v>173</v>
      </c>
      <c r="EP6" s="33"/>
      <c r="EQ6" s="40"/>
      <c r="ER6" s="53">
        <v>0.000244</v>
      </c>
      <c r="ES6" s="39"/>
      <c r="ET6" s="41" t="s">
        <v>168</v>
      </c>
      <c r="EU6" s="96" t="s">
        <v>173</v>
      </c>
      <c r="EV6" s="33"/>
      <c r="EW6" s="40"/>
      <c r="EX6" s="53">
        <v>0.0036459</v>
      </c>
      <c r="EY6" s="39"/>
      <c r="EZ6" s="41" t="s">
        <v>168</v>
      </c>
      <c r="FA6" s="96" t="s">
        <v>173</v>
      </c>
      <c r="FB6" s="33"/>
      <c r="FC6" s="40"/>
      <c r="FD6" s="53">
        <v>0.0025327</v>
      </c>
      <c r="FE6" s="39"/>
      <c r="FF6" s="41" t="s">
        <v>168</v>
      </c>
      <c r="FG6" s="96" t="s">
        <v>173</v>
      </c>
      <c r="FH6" s="33"/>
      <c r="FI6" s="40"/>
      <c r="FJ6" s="53">
        <v>0.0009887</v>
      </c>
      <c r="FK6" s="39"/>
      <c r="FL6" s="41" t="s">
        <v>168</v>
      </c>
      <c r="FM6" s="96" t="s">
        <v>173</v>
      </c>
      <c r="FN6" s="33"/>
      <c r="FO6" s="40"/>
      <c r="FP6" s="53">
        <v>0.0111111</v>
      </c>
      <c r="FQ6" s="39"/>
      <c r="FR6" s="41" t="s">
        <v>168</v>
      </c>
      <c r="FS6" s="96" t="s">
        <v>173</v>
      </c>
      <c r="FT6" s="33"/>
      <c r="FU6" s="40"/>
      <c r="FV6" s="53">
        <v>0.0250422</v>
      </c>
      <c r="FW6" s="39"/>
      <c r="FX6" s="41" t="s">
        <v>168</v>
      </c>
      <c r="FY6" s="96" t="s">
        <v>173</v>
      </c>
      <c r="FZ6" s="33"/>
      <c r="GA6" s="40"/>
      <c r="GB6" s="53">
        <v>0.0031957</v>
      </c>
      <c r="GC6" s="39"/>
      <c r="GD6" s="41" t="s">
        <v>168</v>
      </c>
      <c r="GE6" s="96" t="s">
        <v>173</v>
      </c>
      <c r="GF6" s="33"/>
      <c r="GG6" s="40"/>
      <c r="GH6" s="53">
        <v>0.0050748</v>
      </c>
      <c r="GI6" s="39"/>
      <c r="GJ6" s="41" t="s">
        <v>168</v>
      </c>
      <c r="GK6" s="96" t="s">
        <v>173</v>
      </c>
      <c r="GL6" s="33"/>
      <c r="GM6" s="40"/>
      <c r="GN6" s="53">
        <v>0.0235189</v>
      </c>
      <c r="GO6" s="39"/>
      <c r="GP6" s="41" t="s">
        <v>168</v>
      </c>
      <c r="GQ6" s="96" t="s">
        <v>173</v>
      </c>
      <c r="GR6" s="33"/>
      <c r="GS6" s="40"/>
      <c r="GT6" s="53">
        <v>0.0012482</v>
      </c>
      <c r="GU6" s="39"/>
      <c r="GV6" s="41" t="s">
        <v>168</v>
      </c>
      <c r="GW6" s="96" t="s">
        <v>173</v>
      </c>
      <c r="GX6" s="33"/>
      <c r="GY6" s="40"/>
      <c r="GZ6" s="53">
        <v>0.0071564</v>
      </c>
      <c r="HA6" s="39"/>
      <c r="HB6" s="41" t="s">
        <v>168</v>
      </c>
      <c r="HC6" s="96" t="s">
        <v>173</v>
      </c>
      <c r="HD6" s="33"/>
    </row>
    <row r="7" spans="1:211" ht="12.75">
      <c r="A7" s="26"/>
      <c r="C7" s="41" t="s">
        <v>11</v>
      </c>
      <c r="D7" s="41" t="s">
        <v>12</v>
      </c>
      <c r="E7" s="41" t="s">
        <v>4</v>
      </c>
      <c r="F7" s="41" t="s">
        <v>169</v>
      </c>
      <c r="G7" s="96" t="s">
        <v>181</v>
      </c>
      <c r="I7" s="41" t="s">
        <v>11</v>
      </c>
      <c r="J7" s="41" t="s">
        <v>12</v>
      </c>
      <c r="K7" s="41" t="s">
        <v>4</v>
      </c>
      <c r="L7" s="41" t="s">
        <v>169</v>
      </c>
      <c r="M7" s="98" t="s">
        <v>181</v>
      </c>
      <c r="O7" s="41" t="s">
        <v>11</v>
      </c>
      <c r="P7" s="41" t="s">
        <v>12</v>
      </c>
      <c r="Q7" s="41" t="s">
        <v>4</v>
      </c>
      <c r="R7" s="41" t="s">
        <v>169</v>
      </c>
      <c r="S7" s="96" t="s">
        <v>181</v>
      </c>
      <c r="U7" s="41" t="s">
        <v>11</v>
      </c>
      <c r="V7" s="41" t="s">
        <v>12</v>
      </c>
      <c r="W7" s="41" t="s">
        <v>4</v>
      </c>
      <c r="X7" s="41" t="s">
        <v>169</v>
      </c>
      <c r="Y7" s="96" t="s">
        <v>181</v>
      </c>
      <c r="AA7" s="41" t="s">
        <v>11</v>
      </c>
      <c r="AB7" s="41" t="s">
        <v>12</v>
      </c>
      <c r="AC7" s="41" t="s">
        <v>4</v>
      </c>
      <c r="AD7" s="41" t="s">
        <v>169</v>
      </c>
      <c r="AE7" s="96" t="s">
        <v>181</v>
      </c>
      <c r="AG7" s="41" t="s">
        <v>11</v>
      </c>
      <c r="AH7" s="41" t="s">
        <v>12</v>
      </c>
      <c r="AI7" s="41" t="s">
        <v>4</v>
      </c>
      <c r="AJ7" s="41" t="s">
        <v>169</v>
      </c>
      <c r="AK7" s="96" t="s">
        <v>181</v>
      </c>
      <c r="AM7" s="41" t="s">
        <v>11</v>
      </c>
      <c r="AN7" s="41" t="s">
        <v>12</v>
      </c>
      <c r="AO7" s="41" t="s">
        <v>4</v>
      </c>
      <c r="AP7" s="41" t="s">
        <v>169</v>
      </c>
      <c r="AQ7" s="96" t="s">
        <v>181</v>
      </c>
      <c r="AR7" s="64"/>
      <c r="AS7" s="41" t="s">
        <v>11</v>
      </c>
      <c r="AT7" s="41" t="s">
        <v>12</v>
      </c>
      <c r="AU7" s="41" t="s">
        <v>4</v>
      </c>
      <c r="AV7" s="41" t="s">
        <v>169</v>
      </c>
      <c r="AW7" s="96" t="s">
        <v>181</v>
      </c>
      <c r="AY7" s="41" t="s">
        <v>11</v>
      </c>
      <c r="AZ7" s="41" t="s">
        <v>12</v>
      </c>
      <c r="BA7" s="41" t="s">
        <v>4</v>
      </c>
      <c r="BB7" s="41" t="s">
        <v>169</v>
      </c>
      <c r="BC7" s="96" t="s">
        <v>181</v>
      </c>
      <c r="BE7" s="41" t="s">
        <v>11</v>
      </c>
      <c r="BF7" s="41" t="s">
        <v>12</v>
      </c>
      <c r="BG7" s="41" t="s">
        <v>4</v>
      </c>
      <c r="BH7" s="41" t="s">
        <v>169</v>
      </c>
      <c r="BI7" s="96" t="s">
        <v>181</v>
      </c>
      <c r="BK7" s="41" t="s">
        <v>11</v>
      </c>
      <c r="BL7" s="41" t="s">
        <v>12</v>
      </c>
      <c r="BM7" s="41" t="s">
        <v>4</v>
      </c>
      <c r="BN7" s="41" t="s">
        <v>169</v>
      </c>
      <c r="BO7" s="96" t="s">
        <v>181</v>
      </c>
      <c r="BQ7" s="41" t="s">
        <v>11</v>
      </c>
      <c r="BR7" s="41" t="s">
        <v>12</v>
      </c>
      <c r="BS7" s="41" t="s">
        <v>4</v>
      </c>
      <c r="BT7" s="41" t="s">
        <v>169</v>
      </c>
      <c r="BU7" s="96" t="s">
        <v>181</v>
      </c>
      <c r="BW7" s="41" t="s">
        <v>11</v>
      </c>
      <c r="BX7" s="41" t="s">
        <v>12</v>
      </c>
      <c r="BY7" s="41" t="s">
        <v>4</v>
      </c>
      <c r="BZ7" s="41" t="s">
        <v>169</v>
      </c>
      <c r="CA7" s="96" t="s">
        <v>181</v>
      </c>
      <c r="CB7" s="64"/>
      <c r="CC7" s="41" t="s">
        <v>11</v>
      </c>
      <c r="CD7" s="41" t="s">
        <v>12</v>
      </c>
      <c r="CE7" s="41" t="s">
        <v>4</v>
      </c>
      <c r="CF7" s="41" t="s">
        <v>169</v>
      </c>
      <c r="CG7" s="96" t="s">
        <v>181</v>
      </c>
      <c r="CI7" s="41" t="s">
        <v>11</v>
      </c>
      <c r="CJ7" s="41" t="s">
        <v>12</v>
      </c>
      <c r="CK7" s="41" t="s">
        <v>4</v>
      </c>
      <c r="CL7" s="41" t="s">
        <v>169</v>
      </c>
      <c r="CM7" s="96" t="s">
        <v>181</v>
      </c>
      <c r="CO7" s="41" t="s">
        <v>11</v>
      </c>
      <c r="CP7" s="41" t="s">
        <v>12</v>
      </c>
      <c r="CQ7" s="41" t="s">
        <v>4</v>
      </c>
      <c r="CR7" s="41" t="s">
        <v>169</v>
      </c>
      <c r="CS7" s="96" t="s">
        <v>181</v>
      </c>
      <c r="CU7" s="41" t="s">
        <v>11</v>
      </c>
      <c r="CV7" s="41" t="s">
        <v>12</v>
      </c>
      <c r="CW7" s="41" t="s">
        <v>4</v>
      </c>
      <c r="CX7" s="41" t="s">
        <v>169</v>
      </c>
      <c r="CY7" s="96" t="s">
        <v>181</v>
      </c>
      <c r="DA7" s="41" t="s">
        <v>11</v>
      </c>
      <c r="DB7" s="41" t="s">
        <v>12</v>
      </c>
      <c r="DC7" s="41" t="s">
        <v>4</v>
      </c>
      <c r="DD7" s="41" t="s">
        <v>169</v>
      </c>
      <c r="DE7" s="96" t="s">
        <v>181</v>
      </c>
      <c r="DG7" s="41" t="s">
        <v>11</v>
      </c>
      <c r="DH7" s="41" t="s">
        <v>12</v>
      </c>
      <c r="DI7" s="41" t="s">
        <v>4</v>
      </c>
      <c r="DJ7" s="41" t="s">
        <v>169</v>
      </c>
      <c r="DK7" s="96" t="s">
        <v>181</v>
      </c>
      <c r="DM7" s="41" t="s">
        <v>11</v>
      </c>
      <c r="DN7" s="41" t="s">
        <v>12</v>
      </c>
      <c r="DO7" s="41" t="s">
        <v>4</v>
      </c>
      <c r="DP7" s="41" t="s">
        <v>169</v>
      </c>
      <c r="DQ7" s="96" t="s">
        <v>181</v>
      </c>
      <c r="DS7" s="41" t="s">
        <v>11</v>
      </c>
      <c r="DT7" s="41" t="s">
        <v>12</v>
      </c>
      <c r="DU7" s="41" t="s">
        <v>4</v>
      </c>
      <c r="DV7" s="41" t="s">
        <v>169</v>
      </c>
      <c r="DW7" s="96" t="s">
        <v>181</v>
      </c>
      <c r="DY7" s="41" t="s">
        <v>11</v>
      </c>
      <c r="DZ7" s="41" t="s">
        <v>12</v>
      </c>
      <c r="EA7" s="41" t="s">
        <v>4</v>
      </c>
      <c r="EB7" s="41" t="s">
        <v>169</v>
      </c>
      <c r="EC7" s="96" t="s">
        <v>181</v>
      </c>
      <c r="EE7" s="41" t="s">
        <v>11</v>
      </c>
      <c r="EF7" s="41" t="s">
        <v>12</v>
      </c>
      <c r="EG7" s="41" t="s">
        <v>4</v>
      </c>
      <c r="EH7" s="41" t="s">
        <v>169</v>
      </c>
      <c r="EI7" s="96" t="s">
        <v>181</v>
      </c>
      <c r="EK7" s="41" t="s">
        <v>11</v>
      </c>
      <c r="EL7" s="41" t="s">
        <v>12</v>
      </c>
      <c r="EM7" s="41" t="s">
        <v>4</v>
      </c>
      <c r="EN7" s="41" t="s">
        <v>169</v>
      </c>
      <c r="EO7" s="96" t="s">
        <v>181</v>
      </c>
      <c r="EQ7" s="41" t="s">
        <v>11</v>
      </c>
      <c r="ER7" s="41" t="s">
        <v>12</v>
      </c>
      <c r="ES7" s="41" t="s">
        <v>4</v>
      </c>
      <c r="ET7" s="41" t="s">
        <v>169</v>
      </c>
      <c r="EU7" s="96" t="s">
        <v>181</v>
      </c>
      <c r="EW7" s="41" t="s">
        <v>11</v>
      </c>
      <c r="EX7" s="41" t="s">
        <v>12</v>
      </c>
      <c r="EY7" s="41" t="s">
        <v>4</v>
      </c>
      <c r="EZ7" s="41" t="s">
        <v>169</v>
      </c>
      <c r="FA7" s="96" t="s">
        <v>181</v>
      </c>
      <c r="FC7" s="41" t="s">
        <v>11</v>
      </c>
      <c r="FD7" s="41" t="s">
        <v>12</v>
      </c>
      <c r="FE7" s="41" t="s">
        <v>4</v>
      </c>
      <c r="FF7" s="41" t="s">
        <v>169</v>
      </c>
      <c r="FG7" s="96" t="s">
        <v>181</v>
      </c>
      <c r="FI7" s="41" t="s">
        <v>11</v>
      </c>
      <c r="FJ7" s="41" t="s">
        <v>12</v>
      </c>
      <c r="FK7" s="41" t="s">
        <v>4</v>
      </c>
      <c r="FL7" s="41" t="s">
        <v>169</v>
      </c>
      <c r="FM7" s="96" t="s">
        <v>181</v>
      </c>
      <c r="FO7" s="41" t="s">
        <v>11</v>
      </c>
      <c r="FP7" s="41" t="s">
        <v>12</v>
      </c>
      <c r="FQ7" s="41" t="s">
        <v>4</v>
      </c>
      <c r="FR7" s="41" t="s">
        <v>169</v>
      </c>
      <c r="FS7" s="96" t="s">
        <v>181</v>
      </c>
      <c r="FU7" s="41" t="s">
        <v>11</v>
      </c>
      <c r="FV7" s="41" t="s">
        <v>12</v>
      </c>
      <c r="FW7" s="41" t="s">
        <v>4</v>
      </c>
      <c r="FX7" s="41" t="s">
        <v>169</v>
      </c>
      <c r="FY7" s="96" t="s">
        <v>181</v>
      </c>
      <c r="GA7" s="41" t="s">
        <v>11</v>
      </c>
      <c r="GB7" s="41" t="s">
        <v>12</v>
      </c>
      <c r="GC7" s="41" t="s">
        <v>4</v>
      </c>
      <c r="GD7" s="41" t="s">
        <v>169</v>
      </c>
      <c r="GE7" s="96" t="s">
        <v>181</v>
      </c>
      <c r="GG7" s="41" t="s">
        <v>11</v>
      </c>
      <c r="GH7" s="41" t="s">
        <v>12</v>
      </c>
      <c r="GI7" s="41" t="s">
        <v>4</v>
      </c>
      <c r="GJ7" s="41" t="s">
        <v>169</v>
      </c>
      <c r="GK7" s="96" t="s">
        <v>181</v>
      </c>
      <c r="GM7" s="41" t="s">
        <v>11</v>
      </c>
      <c r="GN7" s="41" t="s">
        <v>12</v>
      </c>
      <c r="GO7" s="41" t="s">
        <v>4</v>
      </c>
      <c r="GP7" s="41" t="s">
        <v>169</v>
      </c>
      <c r="GQ7" s="96" t="s">
        <v>181</v>
      </c>
      <c r="GS7" s="41" t="s">
        <v>11</v>
      </c>
      <c r="GT7" s="41" t="s">
        <v>12</v>
      </c>
      <c r="GU7" s="41" t="s">
        <v>4</v>
      </c>
      <c r="GV7" s="41" t="s">
        <v>169</v>
      </c>
      <c r="GW7" s="96" t="s">
        <v>181</v>
      </c>
      <c r="GY7" s="41" t="s">
        <v>11</v>
      </c>
      <c r="GZ7" s="41" t="s">
        <v>12</v>
      </c>
      <c r="HA7" s="41" t="s">
        <v>4</v>
      </c>
      <c r="HB7" s="41" t="s">
        <v>169</v>
      </c>
      <c r="HC7" s="96" t="s">
        <v>181</v>
      </c>
    </row>
    <row r="8" spans="1:217" s="52" customFormat="1" ht="12.75">
      <c r="A8" s="51">
        <v>44105</v>
      </c>
      <c r="C8" s="36"/>
      <c r="D8" s="36">
        <v>439338</v>
      </c>
      <c r="E8" s="77">
        <f aca="true" t="shared" si="0" ref="E8:E15">C8+D8</f>
        <v>439338</v>
      </c>
      <c r="F8" s="77">
        <v>93</v>
      </c>
      <c r="G8" s="77">
        <v>4</v>
      </c>
      <c r="H8" s="79"/>
      <c r="I8" s="79"/>
      <c r="J8" s="79">
        <f aca="true" t="shared" si="1" ref="J8:J15">P8+V8+AB8+AH8+AN8+AT8+AZ8+BF8+BL8+BR8+BX8+CD8+CJ8+CP8+CV8+DB8+DH8+DN8+DT8+DZ8+EF8+EL8+ER8+EX8+FD8+FJ8+FP8+FV8+GB8+GH8+GN8+GT8+GZ8</f>
        <v>238484.04525420006</v>
      </c>
      <c r="K8" s="79">
        <f aca="true" t="shared" si="2" ref="K8:K15">I8+J8</f>
        <v>238484.04525420006</v>
      </c>
      <c r="L8" s="79">
        <f aca="true" t="shared" si="3" ref="L8:M15">R8+X8+AD8+AJ8+AP8+AV8+BB8+BH8+BN8+BT8+BZ8+CF8+CL8+CR8+CX8+DD8+DJ8+DP8+DV8+EB8+EH8+EN8+ET8+EZ8+FF8+FL8+FR8+FX8+GD8+GJ8+GP8+GV8+HB8</f>
        <v>50.48280869999999</v>
      </c>
      <c r="M8" s="79">
        <f t="shared" si="3"/>
        <v>2.1713036000000003</v>
      </c>
      <c r="N8" s="79"/>
      <c r="O8" s="78"/>
      <c r="P8" s="78">
        <f aca="true" t="shared" si="4" ref="P8:P15">D8*6.61452/100</f>
        <v>29060.099877599998</v>
      </c>
      <c r="Q8" s="79">
        <f aca="true" t="shared" si="5" ref="Q8:Q14">O8+P8</f>
        <v>29060.099877599998</v>
      </c>
      <c r="R8" s="79">
        <f aca="true" t="shared" si="6" ref="R8:R15">P$6*$F8</f>
        <v>6.1515036</v>
      </c>
      <c r="S8" s="77">
        <f aca="true" t="shared" si="7" ref="S8:S15">P$6*$G8</f>
        <v>0.2645808</v>
      </c>
      <c r="T8" s="79"/>
      <c r="U8" s="78"/>
      <c r="V8" s="78">
        <f aca="true" t="shared" si="8" ref="V8:V15">D8*0.11296/100</f>
        <v>496.2762048000001</v>
      </c>
      <c r="W8" s="78">
        <f aca="true" t="shared" si="9" ref="W8:W15">U8+V8</f>
        <v>496.2762048000001</v>
      </c>
      <c r="X8" s="79">
        <f aca="true" t="shared" si="10" ref="X8:X15">V$6*$F8</f>
        <v>0.10505279999999999</v>
      </c>
      <c r="Y8" s="77">
        <f aca="true" t="shared" si="11" ref="Y8:Y15">V$6*$G8</f>
        <v>0.0045184</v>
      </c>
      <c r="Z8" s="79"/>
      <c r="AA8" s="79"/>
      <c r="AB8" s="78">
        <f aca="true" t="shared" si="12" ref="AB8:AB15">D8*0.50994/100</f>
        <v>2240.3601971999997</v>
      </c>
      <c r="AC8" s="78">
        <f aca="true" t="shared" si="13" ref="AC8:AC15">AA8+AB8</f>
        <v>2240.3601971999997</v>
      </c>
      <c r="AD8" s="79">
        <f aca="true" t="shared" si="14" ref="AD8:AD15">AB$6*$F8</f>
        <v>0.47424419999999995</v>
      </c>
      <c r="AE8" s="77">
        <f aca="true" t="shared" si="15" ref="AE8:AE15">AB$6*$G8</f>
        <v>0.0203976</v>
      </c>
      <c r="AF8" s="79"/>
      <c r="AG8" s="78"/>
      <c r="AH8" s="78">
        <f aca="true" t="shared" si="16" ref="AH8:AH15">D8*8.86797/100</f>
        <v>38960.3620386</v>
      </c>
      <c r="AI8" s="78">
        <f aca="true" t="shared" si="17" ref="AI8:AI15">AG8+AH8</f>
        <v>38960.3620386</v>
      </c>
      <c r="AJ8" s="79">
        <f aca="true" t="shared" si="18" ref="AJ8:AJ15">AH$6*$F8</f>
        <v>8.2472121</v>
      </c>
      <c r="AK8" s="77">
        <f aca="true" t="shared" si="19" ref="AK8:AK15">AH$6*$G8</f>
        <v>0.3547188</v>
      </c>
      <c r="AL8" s="79"/>
      <c r="AM8" s="78"/>
      <c r="AN8" s="78">
        <f aca="true" t="shared" si="20" ref="AN8:AN15">D8*0.10742/100</f>
        <v>471.93687960000005</v>
      </c>
      <c r="AO8" s="78">
        <f aca="true" t="shared" si="21" ref="AO8:AO15">AM8+AN8</f>
        <v>471.93687960000005</v>
      </c>
      <c r="AP8" s="79">
        <f aca="true" t="shared" si="22" ref="AP8:AP15">AN$6*$F8</f>
        <v>0.09990059999999999</v>
      </c>
      <c r="AQ8" s="77">
        <f aca="true" t="shared" si="23" ref="AQ8:AQ15">AN$6*$G8</f>
        <v>0.0042968</v>
      </c>
      <c r="AR8" s="78"/>
      <c r="AS8" s="78"/>
      <c r="AT8" s="78">
        <f aca="true" t="shared" si="24" ref="AT8:AT15">D8*0.09059/100</f>
        <v>397.9962942</v>
      </c>
      <c r="AU8" s="78">
        <f aca="true" t="shared" si="25" ref="AU8:AU15">AS8+AT8</f>
        <v>397.9962942</v>
      </c>
      <c r="AV8" s="79">
        <f aca="true" t="shared" si="26" ref="AV8:AV15">AT$6*$F8</f>
        <v>0.0842487</v>
      </c>
      <c r="AW8" s="77">
        <f aca="true" t="shared" si="27" ref="AW8:AW15">AT$6*$G8</f>
        <v>0.0036236</v>
      </c>
      <c r="AX8" s="79"/>
      <c r="AY8" s="78"/>
      <c r="AZ8" s="78">
        <f aca="true" t="shared" si="28" ref="AZ8:AZ15">D8*3.71668/100</f>
        <v>16328.7875784</v>
      </c>
      <c r="BA8" s="78">
        <f aca="true" t="shared" si="29" ref="BA8:BA15">AY8+AZ8</f>
        <v>16328.7875784</v>
      </c>
      <c r="BB8" s="79">
        <f aca="true" t="shared" si="30" ref="BB8:BB15">AZ$6*$F8</f>
        <v>3.4565124</v>
      </c>
      <c r="BC8" s="77">
        <f aca="true" t="shared" si="31" ref="BC8:BC15">AZ$6*$G8</f>
        <v>0.1486672</v>
      </c>
      <c r="BD8" s="79"/>
      <c r="BE8" s="78"/>
      <c r="BF8" s="78">
        <f aca="true" t="shared" si="32" ref="BF8:BF15">D8*7.62623/100</f>
        <v>33504.9263574</v>
      </c>
      <c r="BG8" s="78">
        <f aca="true" t="shared" si="33" ref="BG8:BG15">BE8+BF8</f>
        <v>33504.9263574</v>
      </c>
      <c r="BH8" s="79">
        <f aca="true" t="shared" si="34" ref="BH8:BH15">BF$6*$F8</f>
        <v>7.0923939</v>
      </c>
      <c r="BI8" s="77">
        <f aca="true" t="shared" si="35" ref="BI8:BI15">BF$6*$G8</f>
        <v>0.3050492</v>
      </c>
      <c r="BJ8" s="79"/>
      <c r="BK8" s="78"/>
      <c r="BL8" s="78">
        <f aca="true" t="shared" si="36" ref="BL8:BL15">D8*0.08804/100</f>
        <v>386.79317519999995</v>
      </c>
      <c r="BM8" s="78">
        <f aca="true" t="shared" si="37" ref="BM8:BM15">BK8+BL8</f>
        <v>386.79317519999995</v>
      </c>
      <c r="BN8" s="79">
        <f aca="true" t="shared" si="38" ref="BN8:BN15">BL$6*$F8</f>
        <v>0.0818772</v>
      </c>
      <c r="BO8" s="77">
        <f aca="true" t="shared" si="39" ref="BO8:BO15">BL$6*$G8</f>
        <v>0.0035216</v>
      </c>
      <c r="BP8" s="79"/>
      <c r="BQ8" s="78"/>
      <c r="BR8" s="78">
        <f aca="true" t="shared" si="40" ref="BR8:BR15">D8*0.05914/100</f>
        <v>259.8244932</v>
      </c>
      <c r="BS8" s="78">
        <f aca="true" t="shared" si="41" ref="BS8:BS15">BQ8+BR8</f>
        <v>259.8244932</v>
      </c>
      <c r="BT8" s="79">
        <f aca="true" t="shared" si="42" ref="BT8:BT15">BR$6*$F8</f>
        <v>0.0550002</v>
      </c>
      <c r="BU8" s="77">
        <f aca="true" t="shared" si="43" ref="BU8:BU15">BR$6*$G8</f>
        <v>0.0023656</v>
      </c>
      <c r="BV8" s="79"/>
      <c r="BW8" s="78"/>
      <c r="BX8" s="78">
        <f aca="true" t="shared" si="44" ref="BX8:BX15">D8*-0.00881/100</f>
        <v>-38.7056778</v>
      </c>
      <c r="BY8" s="78">
        <f aca="true" t="shared" si="45" ref="BY8:BY15">BW8+BX8</f>
        <v>-38.7056778</v>
      </c>
      <c r="BZ8" s="79">
        <f aca="true" t="shared" si="46" ref="BZ8:BZ15">BX$6*$F8</f>
        <v>-0.0081933</v>
      </c>
      <c r="CA8" s="77">
        <f aca="true" t="shared" si="47" ref="CA8:CA15">BX$6*$G8</f>
        <v>-0.0003524</v>
      </c>
      <c r="CB8" s="78"/>
      <c r="CC8" s="78"/>
      <c r="CD8" s="78">
        <f aca="true" t="shared" si="48" ref="CD8:CD15">D8*-0.00574/100</f>
        <v>-25.218001200000003</v>
      </c>
      <c r="CE8" s="78">
        <f aca="true" t="shared" si="49" ref="CE8:CE15">CC8+CD8</f>
        <v>-25.218001200000003</v>
      </c>
      <c r="CF8" s="79">
        <f aca="true" t="shared" si="50" ref="CF8:CF15">CD$6*$F8</f>
        <v>-0.0053381999999999995</v>
      </c>
      <c r="CG8" s="77">
        <f aca="true" t="shared" si="51" ref="CG8:CG15">CD$6*$G8</f>
        <v>-0.0002296</v>
      </c>
      <c r="CH8" s="79"/>
      <c r="CI8" s="78"/>
      <c r="CJ8" s="78">
        <f aca="true" t="shared" si="52" ref="CJ8:CJ15">D8*0.21346/100</f>
        <v>937.8108948000001</v>
      </c>
      <c r="CK8" s="78">
        <f aca="true" t="shared" si="53" ref="CK8:CK15">CI8+CJ8</f>
        <v>937.8108948000001</v>
      </c>
      <c r="CL8" s="79">
        <f aca="true" t="shared" si="54" ref="CL8:CL15">CJ$6*$F8</f>
        <v>0.1985178</v>
      </c>
      <c r="CM8" s="77">
        <f aca="true" t="shared" si="55" ref="CM8:CM15">CJ$6*$G8</f>
        <v>0.0085384</v>
      </c>
      <c r="CN8" s="79"/>
      <c r="CO8" s="78"/>
      <c r="CP8" s="78">
        <f aca="true" t="shared" si="56" ref="CP8:CP15">D8*1.3127/100</f>
        <v>5767.189926</v>
      </c>
      <c r="CQ8" s="78">
        <f aca="true" t="shared" si="57" ref="CQ8:CQ15">CO8+CP8</f>
        <v>5767.189926</v>
      </c>
      <c r="CR8" s="79">
        <f aca="true" t="shared" si="58" ref="CR8:CR15">CP$6*$F8</f>
        <v>1.2208109999999999</v>
      </c>
      <c r="CS8" s="77">
        <f aca="true" t="shared" si="59" ref="CS8:CS15">CP$6*$G8</f>
        <v>0.052508</v>
      </c>
      <c r="CT8" s="79"/>
      <c r="CU8" s="78"/>
      <c r="CV8" s="78">
        <f aca="true" t="shared" si="60" ref="CV8:CV15">D8*8.81851/100</f>
        <v>38743.0654638</v>
      </c>
      <c r="CW8" s="78">
        <f aca="true" t="shared" si="61" ref="CW8:CW15">CU8+CV8</f>
        <v>38743.0654638</v>
      </c>
      <c r="CX8" s="79">
        <f aca="true" t="shared" si="62" ref="CX8:CX15">CV$6*$F8</f>
        <v>8.2012143</v>
      </c>
      <c r="CY8" s="77">
        <f aca="true" t="shared" si="63" ref="CY8:CY15">CV$6*$G8</f>
        <v>0.3527404</v>
      </c>
      <c r="CZ8" s="79"/>
      <c r="DA8" s="78"/>
      <c r="DB8" s="78">
        <f aca="true" t="shared" si="64" ref="DB8:DB15">D8*1.27232/100</f>
        <v>5589.785241599999</v>
      </c>
      <c r="DC8" s="78">
        <f aca="true" t="shared" si="65" ref="DC8:DC15">DA8+DB8</f>
        <v>5589.785241599999</v>
      </c>
      <c r="DD8" s="79">
        <f aca="true" t="shared" si="66" ref="DD8:DD15">DB$6*$F8</f>
        <v>1.1832576000000001</v>
      </c>
      <c r="DE8" s="77">
        <f aca="true" t="shared" si="67" ref="DE8:DE15">DB$6*$G8</f>
        <v>0.0508928</v>
      </c>
      <c r="DF8" s="79"/>
      <c r="DG8" s="78"/>
      <c r="DH8" s="78">
        <f aca="true" t="shared" si="68" ref="DH8:DH15">D8*2.59972/100</f>
        <v>11421.557853600001</v>
      </c>
      <c r="DI8" s="78">
        <f aca="true" t="shared" si="69" ref="DI8:DI15">DG8+DH8</f>
        <v>11421.557853600001</v>
      </c>
      <c r="DJ8" s="79">
        <f aca="true" t="shared" si="70" ref="DJ8:DJ15">DH$6*$F8</f>
        <v>2.4177396</v>
      </c>
      <c r="DK8" s="77">
        <f aca="true" t="shared" si="71" ref="DK8:DK15">DH$6*$G8</f>
        <v>0.1039888</v>
      </c>
      <c r="DL8" s="79"/>
      <c r="DM8" s="78"/>
      <c r="DN8" s="78">
        <f aca="true" t="shared" si="72" ref="DN8:DN15">D8*0.42162/100</f>
        <v>1852.3368756</v>
      </c>
      <c r="DO8" s="78">
        <f aca="true" t="shared" si="73" ref="DO8:DO15">DM8+DN8</f>
        <v>1852.3368756</v>
      </c>
      <c r="DP8" s="79">
        <f aca="true" t="shared" si="74" ref="DP8:DP15">DN$6*$F8</f>
        <v>0.39210659999999997</v>
      </c>
      <c r="DQ8" s="77">
        <f aca="true" t="shared" si="75" ref="DQ8:DQ15">DN$6*$G8</f>
        <v>0.0168648</v>
      </c>
      <c r="DR8" s="79"/>
      <c r="DS8" s="78"/>
      <c r="DT8" s="78">
        <f aca="true" t="shared" si="76" ref="DT8:DT15">D8*2.16282/100</f>
        <v>9502.0901316</v>
      </c>
      <c r="DU8" s="78">
        <f aca="true" t="shared" si="77" ref="DU8:DU15">DS8+DT8</f>
        <v>9502.0901316</v>
      </c>
      <c r="DV8" s="79">
        <f aca="true" t="shared" si="78" ref="DV8:DV15">DT$6*$F8</f>
        <v>2.0114226</v>
      </c>
      <c r="DW8" s="77">
        <f aca="true" t="shared" si="79" ref="DW8:DW15">DT$6*$G8</f>
        <v>0.0865128</v>
      </c>
      <c r="DX8" s="79"/>
      <c r="DY8" s="78"/>
      <c r="DZ8" s="78">
        <f aca="true" t="shared" si="80" ref="DZ8:DZ15">D8*0.01933/100</f>
        <v>84.9240354</v>
      </c>
      <c r="EA8" s="78">
        <f aca="true" t="shared" si="81" ref="EA8:EA15">DY8+DZ8</f>
        <v>84.9240354</v>
      </c>
      <c r="EB8" s="79">
        <f aca="true" t="shared" si="82" ref="EB8:EB15">DZ$6*$F8</f>
        <v>0.0179769</v>
      </c>
      <c r="EC8" s="77">
        <f aca="true" t="shared" si="83" ref="EC8:EC15">DZ$6*$G8</f>
        <v>0.0007732</v>
      </c>
      <c r="ED8" s="79"/>
      <c r="EE8" s="78"/>
      <c r="EF8" s="78">
        <f aca="true" t="shared" si="84" ref="EF8:EF15">D8*0.02544/100</f>
        <v>111.7675872</v>
      </c>
      <c r="EG8" s="78">
        <f aca="true" t="shared" si="85" ref="EG8:EG15">EE8+EF8</f>
        <v>111.7675872</v>
      </c>
      <c r="EH8" s="79">
        <f aca="true" t="shared" si="86" ref="EH8:EH15">EF$6*$F8</f>
        <v>0.023659200000000002</v>
      </c>
      <c r="EI8" s="77">
        <f aca="true" t="shared" si="87" ref="EI8:EI15">EF$6*$G8</f>
        <v>0.0010176</v>
      </c>
      <c r="EJ8" s="79"/>
      <c r="EK8" s="78"/>
      <c r="EL8" s="78">
        <f aca="true" t="shared" si="88" ref="EL8:EL15">D8*1.28187/100</f>
        <v>5631.742020600001</v>
      </c>
      <c r="EM8" s="78">
        <f aca="true" t="shared" si="89" ref="EM8:EM15">EK8+EL8</f>
        <v>5631.742020600001</v>
      </c>
      <c r="EN8" s="79">
        <f aca="true" t="shared" si="90" ref="EN8:EN15">EL$6*$F8</f>
        <v>1.1921391000000001</v>
      </c>
      <c r="EO8" s="77">
        <f aca="true" t="shared" si="91" ref="EO8:EO15">EL$6*$G8</f>
        <v>0.0512748</v>
      </c>
      <c r="EP8" s="79"/>
      <c r="EQ8" s="78"/>
      <c r="ER8" s="78">
        <f aca="true" t="shared" si="92" ref="ER8:ER15">D8*0.0244/100</f>
        <v>107.198472</v>
      </c>
      <c r="ES8" s="78">
        <f aca="true" t="shared" si="93" ref="ES8:ES15">EQ8+ER8</f>
        <v>107.198472</v>
      </c>
      <c r="ET8" s="79">
        <f aca="true" t="shared" si="94" ref="ET8:ET15">ER$6*$F8</f>
        <v>0.022692</v>
      </c>
      <c r="EU8" s="77">
        <f aca="true" t="shared" si="95" ref="EU8:EU15">ER$6*$G8</f>
        <v>0.000976</v>
      </c>
      <c r="EV8" s="79"/>
      <c r="EW8" s="78"/>
      <c r="EX8" s="78">
        <f aca="true" t="shared" si="96" ref="EX8:EX15">D8*0.36459/100</f>
        <v>1601.7824142</v>
      </c>
      <c r="EY8" s="78">
        <f aca="true" t="shared" si="97" ref="EY8:EY15">EW8+EX8</f>
        <v>1601.7824142</v>
      </c>
      <c r="EZ8" s="79">
        <f aca="true" t="shared" si="98" ref="EZ8:EZ15">EX$6*$F8</f>
        <v>0.3390687</v>
      </c>
      <c r="FA8" s="77">
        <f aca="true" t="shared" si="99" ref="FA8:FA15">EX$6*$G8</f>
        <v>0.0145836</v>
      </c>
      <c r="FB8" s="79"/>
      <c r="FC8" s="78"/>
      <c r="FD8" s="78">
        <f aca="true" t="shared" si="100" ref="FD8:FD15">D8*0.25327/100</f>
        <v>1112.7113526</v>
      </c>
      <c r="FE8" s="78">
        <f aca="true" t="shared" si="101" ref="FE8:FE15">FC8+FD8</f>
        <v>1112.7113526</v>
      </c>
      <c r="FF8" s="79">
        <f aca="true" t="shared" si="102" ref="FF8:FF15">FD$6*$F8</f>
        <v>0.2355411</v>
      </c>
      <c r="FG8" s="77">
        <f aca="true" t="shared" si="103" ref="FG8:FG15">FD$6*$G8</f>
        <v>0.0101308</v>
      </c>
      <c r="FH8" s="79"/>
      <c r="FI8" s="78"/>
      <c r="FJ8" s="78">
        <f aca="true" t="shared" si="104" ref="FJ8:FJ15">D8*0.09887/100</f>
        <v>434.3734806</v>
      </c>
      <c r="FK8" s="78">
        <f aca="true" t="shared" si="105" ref="FK8:FK15">FI8+FJ8</f>
        <v>434.3734806</v>
      </c>
      <c r="FL8" s="79">
        <f aca="true" t="shared" si="106" ref="FL8:FL15">FJ$6*$F8</f>
        <v>0.09194909999999999</v>
      </c>
      <c r="FM8" s="77">
        <f aca="true" t="shared" si="107" ref="FM8:FM15">FJ$6*$G8</f>
        <v>0.0039548</v>
      </c>
      <c r="FN8" s="79"/>
      <c r="FO8" s="78"/>
      <c r="FP8" s="78">
        <f aca="true" t="shared" si="108" ref="FP8:FP15">D8*1.11111/100</f>
        <v>4881.5284518</v>
      </c>
      <c r="FQ8" s="78">
        <f aca="true" t="shared" si="109" ref="FQ8:FQ15">FO8+FP8</f>
        <v>4881.5284518</v>
      </c>
      <c r="FR8" s="79">
        <f aca="true" t="shared" si="110" ref="FR8:FR15">FP$6*$F8</f>
        <v>1.0333323</v>
      </c>
      <c r="FS8" s="77">
        <f aca="true" t="shared" si="111" ref="FS8:FS15">FP$6*$G8</f>
        <v>0.0444444</v>
      </c>
      <c r="FT8" s="79"/>
      <c r="FU8" s="78"/>
      <c r="FV8" s="78">
        <f aca="true" t="shared" si="112" ref="FV8:FV15">D8*2.50422/100</f>
        <v>11001.9900636</v>
      </c>
      <c r="FW8" s="78">
        <f aca="true" t="shared" si="113" ref="FW8:FW15">FU8+FV8</f>
        <v>11001.9900636</v>
      </c>
      <c r="FX8" s="79">
        <f aca="true" t="shared" si="114" ref="FX8:FX15">FV$6*$F8</f>
        <v>2.3289246</v>
      </c>
      <c r="FY8" s="77">
        <f aca="true" t="shared" si="115" ref="FY8:FY15">FV$6*$G8</f>
        <v>0.1001688</v>
      </c>
      <c r="FZ8" s="79"/>
      <c r="GA8" s="78"/>
      <c r="GB8" s="78">
        <f aca="true" t="shared" si="116" ref="GB8:GB15">D8*0.31957/100</f>
        <v>1403.9924466</v>
      </c>
      <c r="GC8" s="78">
        <f aca="true" t="shared" si="117" ref="GC8:GC15">GA8+GB8</f>
        <v>1403.9924466</v>
      </c>
      <c r="GD8" s="79">
        <f aca="true" t="shared" si="118" ref="GD8:GD15">GB$6*$F8</f>
        <v>0.2972001</v>
      </c>
      <c r="GE8" s="77">
        <f aca="true" t="shared" si="119" ref="GE8:GE15">GB$6*$G8</f>
        <v>0.0127828</v>
      </c>
      <c r="GF8" s="79"/>
      <c r="GG8" s="78"/>
      <c r="GH8" s="78">
        <f aca="true" t="shared" si="120" ref="GH8:GH15">D8*0.50748/100</f>
        <v>2229.5524824000004</v>
      </c>
      <c r="GI8" s="78">
        <f aca="true" t="shared" si="121" ref="GI8:GI15">GG8+GH8</f>
        <v>2229.5524824000004</v>
      </c>
      <c r="GJ8" s="79">
        <f aca="true" t="shared" si="122" ref="GJ8:GJ15">GH$6*$F8</f>
        <v>0.4719564</v>
      </c>
      <c r="GK8" s="77">
        <f aca="true" t="shared" si="123" ref="GK8:GK15">GH$6*$G8</f>
        <v>0.0202992</v>
      </c>
      <c r="GL8" s="79"/>
      <c r="GM8" s="78"/>
      <c r="GN8" s="78">
        <f aca="true" t="shared" si="124" ref="GN8:GN15">D8*2.35189/100</f>
        <v>10332.7464882</v>
      </c>
      <c r="GO8" s="78">
        <f aca="true" t="shared" si="125" ref="GO8:GO15">GM8+GN8</f>
        <v>10332.7464882</v>
      </c>
      <c r="GP8" s="79">
        <f aca="true" t="shared" si="126" ref="GP8:GP15">GN$6*$F8</f>
        <v>2.1872577</v>
      </c>
      <c r="GQ8" s="77">
        <f aca="true" t="shared" si="127" ref="GQ8:GQ15">GN$6*$G8</f>
        <v>0.0940756</v>
      </c>
      <c r="GR8" s="79"/>
      <c r="GS8" s="78"/>
      <c r="GT8" s="78">
        <f aca="true" t="shared" si="128" ref="GT8:GT15">D8*0.12482/100</f>
        <v>548.3816916</v>
      </c>
      <c r="GU8" s="78">
        <f aca="true" t="shared" si="129" ref="GU8:GU15">GS8+GT8</f>
        <v>548.3816916</v>
      </c>
      <c r="GV8" s="79">
        <f aca="true" t="shared" si="130" ref="GV8:GV15">GT$6*$F8</f>
        <v>0.11608260000000001</v>
      </c>
      <c r="GW8" s="77">
        <f aca="true" t="shared" si="131" ref="GW8:GW15">GT$6*$G8</f>
        <v>0.0049928</v>
      </c>
      <c r="GX8" s="79"/>
      <c r="GY8" s="78"/>
      <c r="GZ8" s="78">
        <f aca="true" t="shared" si="132" ref="GZ8:GZ15">D8*0.71564/100</f>
        <v>3144.0784632</v>
      </c>
      <c r="HA8" s="78">
        <f aca="true" t="shared" si="133" ref="HA8:HA15">GY8+GZ8</f>
        <v>3144.0784632</v>
      </c>
      <c r="HB8" s="79">
        <f aca="true" t="shared" si="134" ref="HB8:HB15">GZ$6*$F8</f>
        <v>0.6655452000000001</v>
      </c>
      <c r="HC8" s="77">
        <f aca="true" t="shared" si="135" ref="HC8:HC15">GZ$6*$G8</f>
        <v>0.0286256</v>
      </c>
      <c r="HD8" s="79"/>
      <c r="HE8" s="79"/>
      <c r="HF8" s="79"/>
      <c r="HG8" s="79"/>
      <c r="HH8" s="79"/>
      <c r="HI8" s="79"/>
    </row>
    <row r="9" spans="1:217" s="52" customFormat="1" ht="12.75">
      <c r="A9" s="51">
        <v>44287</v>
      </c>
      <c r="C9" s="36">
        <v>5000</v>
      </c>
      <c r="D9" s="36">
        <v>439338</v>
      </c>
      <c r="E9" s="77">
        <f t="shared" si="0"/>
        <v>444338</v>
      </c>
      <c r="F9" s="77">
        <v>94</v>
      </c>
      <c r="G9" s="77">
        <v>5</v>
      </c>
      <c r="H9" s="79"/>
      <c r="I9" s="79">
        <f>O9+U9+AA9+AG9+AM9+AS9+AY9+BE9+BK9+BQ9+BW9+CC9+CI9+CO9+CU9+DA9+DG9+DM9+DS9+DY9+EE9+EK9+EQ9+EW9+FC9+FI9+FO9+FU9+GA9+GG9+GM9+GS9+GY9</f>
        <v>2714.1295</v>
      </c>
      <c r="J9" s="79">
        <f t="shared" si="1"/>
        <v>238484.04525420006</v>
      </c>
      <c r="K9" s="79">
        <f t="shared" si="2"/>
        <v>241198.17475420007</v>
      </c>
      <c r="L9" s="79">
        <f t="shared" si="3"/>
        <v>51.025634600000004</v>
      </c>
      <c r="M9" s="79">
        <f t="shared" si="3"/>
        <v>2.7141295000000007</v>
      </c>
      <c r="N9" s="79"/>
      <c r="O9" s="78">
        <f aca="true" t="shared" si="136" ref="O9:O15">C9*6.61452/100</f>
        <v>330.726</v>
      </c>
      <c r="P9" s="78">
        <f t="shared" si="4"/>
        <v>29060.099877599998</v>
      </c>
      <c r="Q9" s="79">
        <f t="shared" si="5"/>
        <v>29390.825877599997</v>
      </c>
      <c r="R9" s="79">
        <f t="shared" si="6"/>
        <v>6.2176488</v>
      </c>
      <c r="S9" s="77">
        <f t="shared" si="7"/>
        <v>0.330726</v>
      </c>
      <c r="T9" s="79"/>
      <c r="U9" s="78">
        <f aca="true" t="shared" si="137" ref="U9:U15">C9*0.11296/100</f>
        <v>5.648000000000001</v>
      </c>
      <c r="V9" s="78">
        <f t="shared" si="8"/>
        <v>496.2762048000001</v>
      </c>
      <c r="W9" s="78">
        <f t="shared" si="9"/>
        <v>501.9242048000001</v>
      </c>
      <c r="X9" s="79">
        <f t="shared" si="10"/>
        <v>0.1061824</v>
      </c>
      <c r="Y9" s="77">
        <f t="shared" si="11"/>
        <v>0.005647999999999999</v>
      </c>
      <c r="Z9" s="79"/>
      <c r="AA9" s="79">
        <f aca="true" t="shared" si="138" ref="AA9:AA15">C9*0.50994/100</f>
        <v>25.497</v>
      </c>
      <c r="AB9" s="78">
        <f t="shared" si="12"/>
        <v>2240.3601971999997</v>
      </c>
      <c r="AC9" s="78">
        <f t="shared" si="13"/>
        <v>2265.8571971999995</v>
      </c>
      <c r="AD9" s="79">
        <f t="shared" si="14"/>
        <v>0.4793436</v>
      </c>
      <c r="AE9" s="77">
        <f t="shared" si="15"/>
        <v>0.025497</v>
      </c>
      <c r="AF9" s="79"/>
      <c r="AG9" s="78">
        <f aca="true" t="shared" si="139" ref="AG9:AG15">C9*8.86797/100</f>
        <v>443.3985</v>
      </c>
      <c r="AH9" s="78">
        <f t="shared" si="16"/>
        <v>38960.3620386</v>
      </c>
      <c r="AI9" s="78">
        <f t="shared" si="17"/>
        <v>39403.7605386</v>
      </c>
      <c r="AJ9" s="79">
        <f t="shared" si="18"/>
        <v>8.3358918</v>
      </c>
      <c r="AK9" s="77">
        <f t="shared" si="19"/>
        <v>0.44339850000000003</v>
      </c>
      <c r="AL9" s="79"/>
      <c r="AM9" s="78">
        <f aca="true" t="shared" si="140" ref="AM9:AM15">C9*0.10742/100</f>
        <v>5.371</v>
      </c>
      <c r="AN9" s="78">
        <f t="shared" si="20"/>
        <v>471.93687960000005</v>
      </c>
      <c r="AO9" s="78">
        <f t="shared" si="21"/>
        <v>477.30787960000004</v>
      </c>
      <c r="AP9" s="79">
        <f t="shared" si="22"/>
        <v>0.1009748</v>
      </c>
      <c r="AQ9" s="77">
        <f t="shared" si="23"/>
        <v>0.005371</v>
      </c>
      <c r="AR9" s="78"/>
      <c r="AS9" s="78">
        <f aca="true" t="shared" si="141" ref="AS9:AS15">C9*0.09059/100</f>
        <v>4.5295000000000005</v>
      </c>
      <c r="AT9" s="78">
        <f t="shared" si="24"/>
        <v>397.9962942</v>
      </c>
      <c r="AU9" s="78">
        <f t="shared" si="25"/>
        <v>402.5257942</v>
      </c>
      <c r="AV9" s="79">
        <f t="shared" si="26"/>
        <v>0.0851546</v>
      </c>
      <c r="AW9" s="77">
        <f t="shared" si="27"/>
        <v>0.0045295</v>
      </c>
      <c r="AX9" s="79"/>
      <c r="AY9" s="78">
        <f aca="true" t="shared" si="142" ref="AY9:AY15">C9*3.71668/100</f>
        <v>185.834</v>
      </c>
      <c r="AZ9" s="78">
        <f t="shared" si="28"/>
        <v>16328.7875784</v>
      </c>
      <c r="BA9" s="78">
        <f t="shared" si="29"/>
        <v>16514.6215784</v>
      </c>
      <c r="BB9" s="79">
        <f t="shared" si="30"/>
        <v>3.4936792</v>
      </c>
      <c r="BC9" s="77">
        <f t="shared" si="31"/>
        <v>0.185834</v>
      </c>
      <c r="BD9" s="79"/>
      <c r="BE9" s="78">
        <f aca="true" t="shared" si="143" ref="BE9:BE15">C9*7.62623/100</f>
        <v>381.3115</v>
      </c>
      <c r="BF9" s="78">
        <f t="shared" si="32"/>
        <v>33504.9263574</v>
      </c>
      <c r="BG9" s="78">
        <f t="shared" si="33"/>
        <v>33886.2378574</v>
      </c>
      <c r="BH9" s="79">
        <f t="shared" si="34"/>
        <v>7.168656200000001</v>
      </c>
      <c r="BI9" s="77">
        <f t="shared" si="35"/>
        <v>0.3813115</v>
      </c>
      <c r="BJ9" s="79"/>
      <c r="BK9" s="78">
        <f aca="true" t="shared" si="144" ref="BK9:BK15">C9*0.08804/100</f>
        <v>4.402</v>
      </c>
      <c r="BL9" s="78">
        <f t="shared" si="36"/>
        <v>386.79317519999995</v>
      </c>
      <c r="BM9" s="78">
        <f t="shared" si="37"/>
        <v>391.19517519999994</v>
      </c>
      <c r="BN9" s="79">
        <f t="shared" si="38"/>
        <v>0.0827576</v>
      </c>
      <c r="BO9" s="77">
        <f t="shared" si="39"/>
        <v>0.0044020000000000005</v>
      </c>
      <c r="BP9" s="79"/>
      <c r="BQ9" s="78">
        <f aca="true" t="shared" si="145" ref="BQ9:BQ15">C9*0.05914/100</f>
        <v>2.957</v>
      </c>
      <c r="BR9" s="78">
        <f t="shared" si="40"/>
        <v>259.8244932</v>
      </c>
      <c r="BS9" s="78">
        <f t="shared" si="41"/>
        <v>262.7814932</v>
      </c>
      <c r="BT9" s="79">
        <f t="shared" si="42"/>
        <v>0.0555916</v>
      </c>
      <c r="BU9" s="77">
        <f t="shared" si="43"/>
        <v>0.0029569999999999996</v>
      </c>
      <c r="BV9" s="79"/>
      <c r="BW9" s="78">
        <f aca="true" t="shared" si="146" ref="BW9:BW15">C9*-0.00881/100</f>
        <v>-0.44049999999999995</v>
      </c>
      <c r="BX9" s="78">
        <f t="shared" si="44"/>
        <v>-38.7056778</v>
      </c>
      <c r="BY9" s="78">
        <f t="shared" si="45"/>
        <v>-39.1461778</v>
      </c>
      <c r="BZ9" s="79">
        <f t="shared" si="46"/>
        <v>-0.0082814</v>
      </c>
      <c r="CA9" s="77">
        <f t="shared" si="47"/>
        <v>-0.00044050000000000003</v>
      </c>
      <c r="CB9" s="78"/>
      <c r="CC9" s="78">
        <f aca="true" t="shared" si="147" ref="CC9:CC15">C9*-0.00574/100</f>
        <v>-0.28700000000000003</v>
      </c>
      <c r="CD9" s="78">
        <f t="shared" si="48"/>
        <v>-25.218001200000003</v>
      </c>
      <c r="CE9" s="78">
        <f t="shared" si="49"/>
        <v>-25.505001200000002</v>
      </c>
      <c r="CF9" s="79">
        <f t="shared" si="50"/>
        <v>-0.0053955999999999995</v>
      </c>
      <c r="CG9" s="77">
        <f t="shared" si="51"/>
        <v>-0.000287</v>
      </c>
      <c r="CH9" s="79"/>
      <c r="CI9" s="78">
        <f aca="true" t="shared" si="148" ref="CI9:CI15">C9*0.21346/100</f>
        <v>10.673</v>
      </c>
      <c r="CJ9" s="78">
        <f t="shared" si="52"/>
        <v>937.8108948000001</v>
      </c>
      <c r="CK9" s="78">
        <f t="shared" si="53"/>
        <v>948.4838948000001</v>
      </c>
      <c r="CL9" s="79">
        <f t="shared" si="54"/>
        <v>0.2006524</v>
      </c>
      <c r="CM9" s="77">
        <f t="shared" si="55"/>
        <v>0.010673</v>
      </c>
      <c r="CN9" s="79"/>
      <c r="CO9" s="78">
        <f aca="true" t="shared" si="149" ref="CO9:CO15">C9*1.3127/100</f>
        <v>65.635</v>
      </c>
      <c r="CP9" s="78">
        <f t="shared" si="56"/>
        <v>5767.189926</v>
      </c>
      <c r="CQ9" s="78">
        <f t="shared" si="57"/>
        <v>5832.824926</v>
      </c>
      <c r="CR9" s="79">
        <f t="shared" si="58"/>
        <v>1.233938</v>
      </c>
      <c r="CS9" s="77">
        <f t="shared" si="59"/>
        <v>0.065635</v>
      </c>
      <c r="CT9" s="79"/>
      <c r="CU9" s="78">
        <f aca="true" t="shared" si="150" ref="CU9:CU15">C9*8.81851/100</f>
        <v>440.92549999999994</v>
      </c>
      <c r="CV9" s="78">
        <f t="shared" si="60"/>
        <v>38743.0654638</v>
      </c>
      <c r="CW9" s="78">
        <f t="shared" si="61"/>
        <v>39183.990963799995</v>
      </c>
      <c r="CX9" s="79">
        <f t="shared" si="62"/>
        <v>8.2893994</v>
      </c>
      <c r="CY9" s="77">
        <f t="shared" si="63"/>
        <v>0.4409255</v>
      </c>
      <c r="CZ9" s="79"/>
      <c r="DA9" s="78">
        <f aca="true" t="shared" si="151" ref="DA9:DA15">C9*1.27232/100</f>
        <v>63.61599999999999</v>
      </c>
      <c r="DB9" s="78">
        <f t="shared" si="64"/>
        <v>5589.785241599999</v>
      </c>
      <c r="DC9" s="78">
        <f t="shared" si="65"/>
        <v>5653.401241599999</v>
      </c>
      <c r="DD9" s="79">
        <f t="shared" si="66"/>
        <v>1.1959808</v>
      </c>
      <c r="DE9" s="77">
        <f t="shared" si="67"/>
        <v>0.063616</v>
      </c>
      <c r="DF9" s="79"/>
      <c r="DG9" s="78">
        <f aca="true" t="shared" si="152" ref="DG9:DG15">C9*2.59972/100</f>
        <v>129.986</v>
      </c>
      <c r="DH9" s="78">
        <f t="shared" si="68"/>
        <v>11421.557853600001</v>
      </c>
      <c r="DI9" s="78">
        <f t="shared" si="69"/>
        <v>11551.543853600002</v>
      </c>
      <c r="DJ9" s="79">
        <f t="shared" si="70"/>
        <v>2.4437368</v>
      </c>
      <c r="DK9" s="77">
        <f t="shared" si="71"/>
        <v>0.12998600000000002</v>
      </c>
      <c r="DL9" s="79"/>
      <c r="DM9" s="78">
        <f aca="true" t="shared" si="153" ref="DM9:DM15">C9*0.42162/100</f>
        <v>21.081</v>
      </c>
      <c r="DN9" s="78">
        <f t="shared" si="72"/>
        <v>1852.3368756</v>
      </c>
      <c r="DO9" s="78">
        <f t="shared" si="73"/>
        <v>1873.4178756</v>
      </c>
      <c r="DP9" s="79">
        <f t="shared" si="74"/>
        <v>0.3963228</v>
      </c>
      <c r="DQ9" s="77">
        <f t="shared" si="75"/>
        <v>0.021081</v>
      </c>
      <c r="DR9" s="79"/>
      <c r="DS9" s="78">
        <f aca="true" t="shared" si="154" ref="DS9:DS15">C9*2.16282/100</f>
        <v>108.141</v>
      </c>
      <c r="DT9" s="78">
        <f t="shared" si="76"/>
        <v>9502.0901316</v>
      </c>
      <c r="DU9" s="78">
        <f t="shared" si="77"/>
        <v>9610.2311316</v>
      </c>
      <c r="DV9" s="79">
        <f t="shared" si="78"/>
        <v>2.0330508</v>
      </c>
      <c r="DW9" s="77">
        <f t="shared" si="79"/>
        <v>0.108141</v>
      </c>
      <c r="DX9" s="79"/>
      <c r="DY9" s="78">
        <f aca="true" t="shared" si="155" ref="DY9:DY15">C9*0.01933/100</f>
        <v>0.9665</v>
      </c>
      <c r="DZ9" s="78">
        <f t="shared" si="80"/>
        <v>84.9240354</v>
      </c>
      <c r="EA9" s="78">
        <f t="shared" si="81"/>
        <v>85.89053539999999</v>
      </c>
      <c r="EB9" s="79">
        <f t="shared" si="82"/>
        <v>0.0181702</v>
      </c>
      <c r="EC9" s="77">
        <f t="shared" si="83"/>
        <v>0.0009665</v>
      </c>
      <c r="ED9" s="79"/>
      <c r="EE9" s="78">
        <f aca="true" t="shared" si="156" ref="EE9:EE15">C9*0.02544/100</f>
        <v>1.272</v>
      </c>
      <c r="EF9" s="78">
        <f t="shared" si="84"/>
        <v>111.7675872</v>
      </c>
      <c r="EG9" s="78">
        <f t="shared" si="85"/>
        <v>113.0395872</v>
      </c>
      <c r="EH9" s="79">
        <f t="shared" si="86"/>
        <v>0.0239136</v>
      </c>
      <c r="EI9" s="77">
        <f t="shared" si="87"/>
        <v>0.0012720000000000001</v>
      </c>
      <c r="EJ9" s="79"/>
      <c r="EK9" s="78">
        <f aca="true" t="shared" si="157" ref="EK9:EK15">C9*1.28187/100</f>
        <v>64.0935</v>
      </c>
      <c r="EL9" s="78">
        <f t="shared" si="88"/>
        <v>5631.742020600001</v>
      </c>
      <c r="EM9" s="78">
        <f t="shared" si="89"/>
        <v>5695.835520600001</v>
      </c>
      <c r="EN9" s="79">
        <f t="shared" si="90"/>
        <v>1.2049578</v>
      </c>
      <c r="EO9" s="77">
        <f t="shared" si="91"/>
        <v>0.0640935</v>
      </c>
      <c r="EP9" s="79"/>
      <c r="EQ9" s="78">
        <f aca="true" t="shared" si="158" ref="EQ9:EQ15">C9*0.0244/100</f>
        <v>1.2200000000000002</v>
      </c>
      <c r="ER9" s="78">
        <f t="shared" si="92"/>
        <v>107.198472</v>
      </c>
      <c r="ES9" s="78">
        <f t="shared" si="93"/>
        <v>108.418472</v>
      </c>
      <c r="ET9" s="79">
        <f t="shared" si="94"/>
        <v>0.022935999999999998</v>
      </c>
      <c r="EU9" s="77">
        <f t="shared" si="95"/>
        <v>0.00122</v>
      </c>
      <c r="EV9" s="79"/>
      <c r="EW9" s="78">
        <f aca="true" t="shared" si="159" ref="EW9:EW15">C9*0.36459/100</f>
        <v>18.2295</v>
      </c>
      <c r="EX9" s="78">
        <f t="shared" si="96"/>
        <v>1601.7824142</v>
      </c>
      <c r="EY9" s="78">
        <f t="shared" si="97"/>
        <v>1620.0119141999999</v>
      </c>
      <c r="EZ9" s="79">
        <f t="shared" si="98"/>
        <v>0.34271460000000004</v>
      </c>
      <c r="FA9" s="77">
        <f t="shared" si="99"/>
        <v>0.0182295</v>
      </c>
      <c r="FB9" s="79"/>
      <c r="FC9" s="78">
        <f aca="true" t="shared" si="160" ref="FC9:FC15">C9*0.25327/100</f>
        <v>12.663499999999999</v>
      </c>
      <c r="FD9" s="78">
        <f t="shared" si="100"/>
        <v>1112.7113526</v>
      </c>
      <c r="FE9" s="78">
        <f t="shared" si="101"/>
        <v>1125.3748526</v>
      </c>
      <c r="FF9" s="79">
        <f t="shared" si="102"/>
        <v>0.2380738</v>
      </c>
      <c r="FG9" s="77">
        <f t="shared" si="103"/>
        <v>0.012663500000000001</v>
      </c>
      <c r="FH9" s="79"/>
      <c r="FI9" s="78">
        <f aca="true" t="shared" si="161" ref="FI9:FI15">C9*0.09887/100</f>
        <v>4.9435</v>
      </c>
      <c r="FJ9" s="78">
        <f t="shared" si="104"/>
        <v>434.3734806</v>
      </c>
      <c r="FK9" s="78">
        <f t="shared" si="105"/>
        <v>439.31698059999997</v>
      </c>
      <c r="FL9" s="79">
        <f t="shared" si="106"/>
        <v>0.09293779999999999</v>
      </c>
      <c r="FM9" s="77">
        <f t="shared" si="107"/>
        <v>0.0049435</v>
      </c>
      <c r="FN9" s="79"/>
      <c r="FO9" s="78">
        <f aca="true" t="shared" si="162" ref="FO9:FO15">C9*1.11111/100</f>
        <v>55.5555</v>
      </c>
      <c r="FP9" s="78">
        <f t="shared" si="108"/>
        <v>4881.5284518</v>
      </c>
      <c r="FQ9" s="78">
        <f t="shared" si="109"/>
        <v>4937.0839518</v>
      </c>
      <c r="FR9" s="79">
        <f t="shared" si="110"/>
        <v>1.0444434</v>
      </c>
      <c r="FS9" s="77">
        <f t="shared" si="111"/>
        <v>0.0555555</v>
      </c>
      <c r="FT9" s="79"/>
      <c r="FU9" s="78">
        <f aca="true" t="shared" si="163" ref="FU9:FU15">C9*2.50422/100</f>
        <v>125.211</v>
      </c>
      <c r="FV9" s="78">
        <f t="shared" si="112"/>
        <v>11001.9900636</v>
      </c>
      <c r="FW9" s="78">
        <f t="shared" si="113"/>
        <v>11127.2010636</v>
      </c>
      <c r="FX9" s="79">
        <f t="shared" si="114"/>
        <v>2.3539668000000002</v>
      </c>
      <c r="FY9" s="77">
        <f t="shared" si="115"/>
        <v>0.12521100000000002</v>
      </c>
      <c r="FZ9" s="79"/>
      <c r="GA9" s="78">
        <f aca="true" t="shared" si="164" ref="GA9:GA15">C9*0.31957/100</f>
        <v>15.978500000000002</v>
      </c>
      <c r="GB9" s="78">
        <f t="shared" si="116"/>
        <v>1403.9924466</v>
      </c>
      <c r="GC9" s="78">
        <f t="shared" si="117"/>
        <v>1419.9709466</v>
      </c>
      <c r="GD9" s="79">
        <f t="shared" si="118"/>
        <v>0.3003958</v>
      </c>
      <c r="GE9" s="77">
        <f t="shared" si="119"/>
        <v>0.0159785</v>
      </c>
      <c r="GF9" s="79"/>
      <c r="GG9" s="78">
        <f aca="true" t="shared" si="165" ref="GG9:GG15">C9*0.50748/100</f>
        <v>25.374000000000002</v>
      </c>
      <c r="GH9" s="78">
        <f t="shared" si="120"/>
        <v>2229.5524824000004</v>
      </c>
      <c r="GI9" s="78">
        <f t="shared" si="121"/>
        <v>2254.9264824</v>
      </c>
      <c r="GJ9" s="79">
        <f t="shared" si="122"/>
        <v>0.4770312</v>
      </c>
      <c r="GK9" s="77">
        <f t="shared" si="123"/>
        <v>0.025374</v>
      </c>
      <c r="GL9" s="79"/>
      <c r="GM9" s="78">
        <f aca="true" t="shared" si="166" ref="GM9:GM15">C9*2.35189/100</f>
        <v>117.59450000000001</v>
      </c>
      <c r="GN9" s="78">
        <f t="shared" si="124"/>
        <v>10332.7464882</v>
      </c>
      <c r="GO9" s="78">
        <f t="shared" si="125"/>
        <v>10450.3409882</v>
      </c>
      <c r="GP9" s="79">
        <f t="shared" si="126"/>
        <v>2.2107766</v>
      </c>
      <c r="GQ9" s="77">
        <f t="shared" si="127"/>
        <v>0.11759449999999999</v>
      </c>
      <c r="GR9" s="79"/>
      <c r="GS9" s="78">
        <f aca="true" t="shared" si="167" ref="GS9:GS15">C9*0.12482/100</f>
        <v>6.2410000000000005</v>
      </c>
      <c r="GT9" s="78">
        <f t="shared" si="128"/>
        <v>548.3816916</v>
      </c>
      <c r="GU9" s="78">
        <f t="shared" si="129"/>
        <v>554.6226915999999</v>
      </c>
      <c r="GV9" s="79">
        <f t="shared" si="130"/>
        <v>0.11733080000000001</v>
      </c>
      <c r="GW9" s="77">
        <f t="shared" si="131"/>
        <v>0.006241</v>
      </c>
      <c r="GX9" s="79"/>
      <c r="GY9" s="78">
        <f aca="true" t="shared" si="168" ref="GY9:GY15">C9*0.71564/100</f>
        <v>35.782000000000004</v>
      </c>
      <c r="GZ9" s="78">
        <f t="shared" si="132"/>
        <v>3144.0784632</v>
      </c>
      <c r="HA9" s="78">
        <f t="shared" si="133"/>
        <v>3179.8604632</v>
      </c>
      <c r="HB9" s="79">
        <f t="shared" si="134"/>
        <v>0.6727016</v>
      </c>
      <c r="HC9" s="77">
        <f t="shared" si="135"/>
        <v>0.035782</v>
      </c>
      <c r="HD9" s="79"/>
      <c r="HE9" s="79"/>
      <c r="HF9" s="79"/>
      <c r="HG9" s="79"/>
      <c r="HH9" s="79"/>
      <c r="HI9" s="79"/>
    </row>
    <row r="10" spans="1:217" s="52" customFormat="1" ht="12.75">
      <c r="A10" s="51">
        <v>44470</v>
      </c>
      <c r="C10" s="36"/>
      <c r="D10" s="36">
        <v>0</v>
      </c>
      <c r="E10" s="77">
        <f t="shared" si="0"/>
        <v>0</v>
      </c>
      <c r="F10" s="77"/>
      <c r="G10" s="77"/>
      <c r="H10" s="79"/>
      <c r="I10" s="79"/>
      <c r="J10" s="79">
        <f t="shared" si="1"/>
        <v>0</v>
      </c>
      <c r="K10" s="79">
        <f t="shared" si="2"/>
        <v>0</v>
      </c>
      <c r="L10" s="79">
        <f t="shared" si="3"/>
        <v>0</v>
      </c>
      <c r="M10" s="79">
        <f t="shared" si="3"/>
        <v>0</v>
      </c>
      <c r="N10" s="79"/>
      <c r="O10" s="78"/>
      <c r="P10" s="78">
        <f t="shared" si="4"/>
        <v>0</v>
      </c>
      <c r="Q10" s="79">
        <f t="shared" si="5"/>
        <v>0</v>
      </c>
      <c r="R10" s="79">
        <f t="shared" si="6"/>
        <v>0</v>
      </c>
      <c r="S10" s="77">
        <f t="shared" si="7"/>
        <v>0</v>
      </c>
      <c r="T10" s="79"/>
      <c r="U10" s="78"/>
      <c r="V10" s="78">
        <f t="shared" si="8"/>
        <v>0</v>
      </c>
      <c r="W10" s="78">
        <f t="shared" si="9"/>
        <v>0</v>
      </c>
      <c r="X10" s="79">
        <f t="shared" si="10"/>
        <v>0</v>
      </c>
      <c r="Y10" s="77">
        <f t="shared" si="11"/>
        <v>0</v>
      </c>
      <c r="Z10" s="79"/>
      <c r="AA10" s="79"/>
      <c r="AB10" s="78">
        <f t="shared" si="12"/>
        <v>0</v>
      </c>
      <c r="AC10" s="78">
        <f t="shared" si="13"/>
        <v>0</v>
      </c>
      <c r="AD10" s="79">
        <f t="shared" si="14"/>
        <v>0</v>
      </c>
      <c r="AE10" s="77">
        <f t="shared" si="15"/>
        <v>0</v>
      </c>
      <c r="AF10" s="79"/>
      <c r="AG10" s="78"/>
      <c r="AH10" s="78">
        <f t="shared" si="16"/>
        <v>0</v>
      </c>
      <c r="AI10" s="78">
        <f t="shared" si="17"/>
        <v>0</v>
      </c>
      <c r="AJ10" s="79">
        <f t="shared" si="18"/>
        <v>0</v>
      </c>
      <c r="AK10" s="77">
        <f t="shared" si="19"/>
        <v>0</v>
      </c>
      <c r="AL10" s="79"/>
      <c r="AM10" s="78"/>
      <c r="AN10" s="78">
        <f t="shared" si="20"/>
        <v>0</v>
      </c>
      <c r="AO10" s="78">
        <f t="shared" si="21"/>
        <v>0</v>
      </c>
      <c r="AP10" s="79">
        <f t="shared" si="22"/>
        <v>0</v>
      </c>
      <c r="AQ10" s="77">
        <f t="shared" si="23"/>
        <v>0</v>
      </c>
      <c r="AR10" s="78"/>
      <c r="AS10" s="78"/>
      <c r="AT10" s="78">
        <f t="shared" si="24"/>
        <v>0</v>
      </c>
      <c r="AU10" s="78">
        <f t="shared" si="25"/>
        <v>0</v>
      </c>
      <c r="AV10" s="79">
        <f t="shared" si="26"/>
        <v>0</v>
      </c>
      <c r="AW10" s="77">
        <f t="shared" si="27"/>
        <v>0</v>
      </c>
      <c r="AX10" s="79"/>
      <c r="AY10" s="78"/>
      <c r="AZ10" s="78">
        <f t="shared" si="28"/>
        <v>0</v>
      </c>
      <c r="BA10" s="78">
        <f t="shared" si="29"/>
        <v>0</v>
      </c>
      <c r="BB10" s="79">
        <f t="shared" si="30"/>
        <v>0</v>
      </c>
      <c r="BC10" s="77">
        <f t="shared" si="31"/>
        <v>0</v>
      </c>
      <c r="BD10" s="79"/>
      <c r="BE10" s="78"/>
      <c r="BF10" s="78">
        <f t="shared" si="32"/>
        <v>0</v>
      </c>
      <c r="BG10" s="78">
        <f t="shared" si="33"/>
        <v>0</v>
      </c>
      <c r="BH10" s="79">
        <f t="shared" si="34"/>
        <v>0</v>
      </c>
      <c r="BI10" s="77">
        <f t="shared" si="35"/>
        <v>0</v>
      </c>
      <c r="BJ10" s="79"/>
      <c r="BK10" s="78"/>
      <c r="BL10" s="78">
        <f t="shared" si="36"/>
        <v>0</v>
      </c>
      <c r="BM10" s="78">
        <f t="shared" si="37"/>
        <v>0</v>
      </c>
      <c r="BN10" s="79">
        <f t="shared" si="38"/>
        <v>0</v>
      </c>
      <c r="BO10" s="77">
        <f t="shared" si="39"/>
        <v>0</v>
      </c>
      <c r="BP10" s="79"/>
      <c r="BQ10" s="78"/>
      <c r="BR10" s="78">
        <f t="shared" si="40"/>
        <v>0</v>
      </c>
      <c r="BS10" s="78">
        <f t="shared" si="41"/>
        <v>0</v>
      </c>
      <c r="BT10" s="79">
        <f t="shared" si="42"/>
        <v>0</v>
      </c>
      <c r="BU10" s="77">
        <f t="shared" si="43"/>
        <v>0</v>
      </c>
      <c r="BV10" s="79"/>
      <c r="BW10" s="78"/>
      <c r="BX10" s="78">
        <f t="shared" si="44"/>
        <v>0</v>
      </c>
      <c r="BY10" s="78">
        <f t="shared" si="45"/>
        <v>0</v>
      </c>
      <c r="BZ10" s="79">
        <f t="shared" si="46"/>
        <v>0</v>
      </c>
      <c r="CA10" s="77">
        <f t="shared" si="47"/>
        <v>0</v>
      </c>
      <c r="CB10" s="78"/>
      <c r="CC10" s="78"/>
      <c r="CD10" s="78">
        <f t="shared" si="48"/>
        <v>0</v>
      </c>
      <c r="CE10" s="78">
        <f t="shared" si="49"/>
        <v>0</v>
      </c>
      <c r="CF10" s="79">
        <f t="shared" si="50"/>
        <v>0</v>
      </c>
      <c r="CG10" s="77">
        <f t="shared" si="51"/>
        <v>0</v>
      </c>
      <c r="CH10" s="79"/>
      <c r="CI10" s="78"/>
      <c r="CJ10" s="78">
        <f t="shared" si="52"/>
        <v>0</v>
      </c>
      <c r="CK10" s="78">
        <f t="shared" si="53"/>
        <v>0</v>
      </c>
      <c r="CL10" s="79">
        <f t="shared" si="54"/>
        <v>0</v>
      </c>
      <c r="CM10" s="77">
        <f t="shared" si="55"/>
        <v>0</v>
      </c>
      <c r="CN10" s="79"/>
      <c r="CO10" s="78"/>
      <c r="CP10" s="78">
        <f t="shared" si="56"/>
        <v>0</v>
      </c>
      <c r="CQ10" s="78">
        <f t="shared" si="57"/>
        <v>0</v>
      </c>
      <c r="CR10" s="79">
        <f t="shared" si="58"/>
        <v>0</v>
      </c>
      <c r="CS10" s="77">
        <f t="shared" si="59"/>
        <v>0</v>
      </c>
      <c r="CT10" s="79"/>
      <c r="CU10" s="78"/>
      <c r="CV10" s="78">
        <f t="shared" si="60"/>
        <v>0</v>
      </c>
      <c r="CW10" s="78">
        <f t="shared" si="61"/>
        <v>0</v>
      </c>
      <c r="CX10" s="79">
        <f t="shared" si="62"/>
        <v>0</v>
      </c>
      <c r="CY10" s="77">
        <f t="shared" si="63"/>
        <v>0</v>
      </c>
      <c r="CZ10" s="79"/>
      <c r="DA10" s="78"/>
      <c r="DB10" s="78">
        <f t="shared" si="64"/>
        <v>0</v>
      </c>
      <c r="DC10" s="78">
        <f t="shared" si="65"/>
        <v>0</v>
      </c>
      <c r="DD10" s="79">
        <f t="shared" si="66"/>
        <v>0</v>
      </c>
      <c r="DE10" s="77">
        <f t="shared" si="67"/>
        <v>0</v>
      </c>
      <c r="DF10" s="79"/>
      <c r="DG10" s="78"/>
      <c r="DH10" s="78">
        <f t="shared" si="68"/>
        <v>0</v>
      </c>
      <c r="DI10" s="78">
        <f t="shared" si="69"/>
        <v>0</v>
      </c>
      <c r="DJ10" s="79">
        <f t="shared" si="70"/>
        <v>0</v>
      </c>
      <c r="DK10" s="77">
        <f t="shared" si="71"/>
        <v>0</v>
      </c>
      <c r="DL10" s="79"/>
      <c r="DM10" s="78"/>
      <c r="DN10" s="78">
        <f t="shared" si="72"/>
        <v>0</v>
      </c>
      <c r="DO10" s="78">
        <f t="shared" si="73"/>
        <v>0</v>
      </c>
      <c r="DP10" s="79">
        <f t="shared" si="74"/>
        <v>0</v>
      </c>
      <c r="DQ10" s="77">
        <f t="shared" si="75"/>
        <v>0</v>
      </c>
      <c r="DR10" s="79"/>
      <c r="DS10" s="78"/>
      <c r="DT10" s="78">
        <f t="shared" si="76"/>
        <v>0</v>
      </c>
      <c r="DU10" s="78">
        <f t="shared" si="77"/>
        <v>0</v>
      </c>
      <c r="DV10" s="79">
        <f t="shared" si="78"/>
        <v>0</v>
      </c>
      <c r="DW10" s="77">
        <f t="shared" si="79"/>
        <v>0</v>
      </c>
      <c r="DX10" s="79"/>
      <c r="DY10" s="78"/>
      <c r="DZ10" s="78">
        <f t="shared" si="80"/>
        <v>0</v>
      </c>
      <c r="EA10" s="78">
        <f t="shared" si="81"/>
        <v>0</v>
      </c>
      <c r="EB10" s="79">
        <f t="shared" si="82"/>
        <v>0</v>
      </c>
      <c r="EC10" s="77">
        <f t="shared" si="83"/>
        <v>0</v>
      </c>
      <c r="ED10" s="79"/>
      <c r="EE10" s="78"/>
      <c r="EF10" s="78">
        <f t="shared" si="84"/>
        <v>0</v>
      </c>
      <c r="EG10" s="78">
        <f t="shared" si="85"/>
        <v>0</v>
      </c>
      <c r="EH10" s="79">
        <f t="shared" si="86"/>
        <v>0</v>
      </c>
      <c r="EI10" s="77">
        <f t="shared" si="87"/>
        <v>0</v>
      </c>
      <c r="EJ10" s="79"/>
      <c r="EK10" s="78"/>
      <c r="EL10" s="78">
        <f t="shared" si="88"/>
        <v>0</v>
      </c>
      <c r="EM10" s="78">
        <f t="shared" si="89"/>
        <v>0</v>
      </c>
      <c r="EN10" s="79">
        <f t="shared" si="90"/>
        <v>0</v>
      </c>
      <c r="EO10" s="77">
        <f t="shared" si="91"/>
        <v>0</v>
      </c>
      <c r="EP10" s="79"/>
      <c r="EQ10" s="78"/>
      <c r="ER10" s="78">
        <f t="shared" si="92"/>
        <v>0</v>
      </c>
      <c r="ES10" s="78">
        <f t="shared" si="93"/>
        <v>0</v>
      </c>
      <c r="ET10" s="79">
        <f t="shared" si="94"/>
        <v>0</v>
      </c>
      <c r="EU10" s="77">
        <f t="shared" si="95"/>
        <v>0</v>
      </c>
      <c r="EV10" s="79"/>
      <c r="EW10" s="78"/>
      <c r="EX10" s="78">
        <f t="shared" si="96"/>
        <v>0</v>
      </c>
      <c r="EY10" s="78">
        <f t="shared" si="97"/>
        <v>0</v>
      </c>
      <c r="EZ10" s="79">
        <f t="shared" si="98"/>
        <v>0</v>
      </c>
      <c r="FA10" s="77">
        <f t="shared" si="99"/>
        <v>0</v>
      </c>
      <c r="FB10" s="79"/>
      <c r="FC10" s="78"/>
      <c r="FD10" s="78">
        <f t="shared" si="100"/>
        <v>0</v>
      </c>
      <c r="FE10" s="78">
        <f t="shared" si="101"/>
        <v>0</v>
      </c>
      <c r="FF10" s="79">
        <f t="shared" si="102"/>
        <v>0</v>
      </c>
      <c r="FG10" s="77">
        <f t="shared" si="103"/>
        <v>0</v>
      </c>
      <c r="FH10" s="79"/>
      <c r="FI10" s="78"/>
      <c r="FJ10" s="78">
        <f t="shared" si="104"/>
        <v>0</v>
      </c>
      <c r="FK10" s="78">
        <f t="shared" si="105"/>
        <v>0</v>
      </c>
      <c r="FL10" s="79">
        <f t="shared" si="106"/>
        <v>0</v>
      </c>
      <c r="FM10" s="77">
        <f t="shared" si="107"/>
        <v>0</v>
      </c>
      <c r="FN10" s="79"/>
      <c r="FO10" s="78"/>
      <c r="FP10" s="78">
        <f t="shared" si="108"/>
        <v>0</v>
      </c>
      <c r="FQ10" s="78">
        <f t="shared" si="109"/>
        <v>0</v>
      </c>
      <c r="FR10" s="79">
        <f t="shared" si="110"/>
        <v>0</v>
      </c>
      <c r="FS10" s="77">
        <f t="shared" si="111"/>
        <v>0</v>
      </c>
      <c r="FT10" s="79"/>
      <c r="FU10" s="78"/>
      <c r="FV10" s="78">
        <f t="shared" si="112"/>
        <v>0</v>
      </c>
      <c r="FW10" s="78">
        <f t="shared" si="113"/>
        <v>0</v>
      </c>
      <c r="FX10" s="79">
        <f t="shared" si="114"/>
        <v>0</v>
      </c>
      <c r="FY10" s="77">
        <f t="shared" si="115"/>
        <v>0</v>
      </c>
      <c r="FZ10" s="79"/>
      <c r="GA10" s="78"/>
      <c r="GB10" s="78">
        <f t="shared" si="116"/>
        <v>0</v>
      </c>
      <c r="GC10" s="78">
        <f t="shared" si="117"/>
        <v>0</v>
      </c>
      <c r="GD10" s="79">
        <f t="shared" si="118"/>
        <v>0</v>
      </c>
      <c r="GE10" s="77">
        <f t="shared" si="119"/>
        <v>0</v>
      </c>
      <c r="GF10" s="79"/>
      <c r="GG10" s="78"/>
      <c r="GH10" s="78">
        <f t="shared" si="120"/>
        <v>0</v>
      </c>
      <c r="GI10" s="78">
        <f t="shared" si="121"/>
        <v>0</v>
      </c>
      <c r="GJ10" s="79">
        <f t="shared" si="122"/>
        <v>0</v>
      </c>
      <c r="GK10" s="77">
        <f t="shared" si="123"/>
        <v>0</v>
      </c>
      <c r="GL10" s="79"/>
      <c r="GM10" s="78"/>
      <c r="GN10" s="78">
        <f t="shared" si="124"/>
        <v>0</v>
      </c>
      <c r="GO10" s="78">
        <f t="shared" si="125"/>
        <v>0</v>
      </c>
      <c r="GP10" s="79">
        <f t="shared" si="126"/>
        <v>0</v>
      </c>
      <c r="GQ10" s="77">
        <f t="shared" si="127"/>
        <v>0</v>
      </c>
      <c r="GR10" s="79"/>
      <c r="GS10" s="78"/>
      <c r="GT10" s="78">
        <f t="shared" si="128"/>
        <v>0</v>
      </c>
      <c r="GU10" s="78">
        <f t="shared" si="129"/>
        <v>0</v>
      </c>
      <c r="GV10" s="79">
        <f t="shared" si="130"/>
        <v>0</v>
      </c>
      <c r="GW10" s="77">
        <f t="shared" si="131"/>
        <v>0</v>
      </c>
      <c r="GX10" s="79"/>
      <c r="GY10" s="78"/>
      <c r="GZ10" s="78">
        <f t="shared" si="132"/>
        <v>0</v>
      </c>
      <c r="HA10" s="78">
        <f t="shared" si="133"/>
        <v>0</v>
      </c>
      <c r="HB10" s="79">
        <f t="shared" si="134"/>
        <v>0</v>
      </c>
      <c r="HC10" s="77">
        <f t="shared" si="135"/>
        <v>0</v>
      </c>
      <c r="HD10" s="79"/>
      <c r="HE10" s="79"/>
      <c r="HF10" s="79"/>
      <c r="HG10" s="79"/>
      <c r="HH10" s="79"/>
      <c r="HI10" s="79"/>
    </row>
    <row r="11" spans="1:217" s="52" customFormat="1" ht="12.75">
      <c r="A11" s="51">
        <v>44652</v>
      </c>
      <c r="C11" s="36">
        <v>0</v>
      </c>
      <c r="D11" s="36">
        <v>0</v>
      </c>
      <c r="E11" s="77">
        <f t="shared" si="0"/>
        <v>0</v>
      </c>
      <c r="F11" s="77"/>
      <c r="G11" s="77"/>
      <c r="H11" s="79"/>
      <c r="I11" s="79">
        <f>O11+U11+AA11+AG11+AM11+AS11+AY11+BE11+BK11+BQ11+BW11+CC11+CI11+CO11+CU11+DA11+DG11+DM11+DS11+DY11+EE11+EK11+EQ11+EW11+FC11+FI11+FO11+FU11+GA11+GG11+GM11+GS11+GY11</f>
        <v>0</v>
      </c>
      <c r="J11" s="79">
        <f t="shared" si="1"/>
        <v>0</v>
      </c>
      <c r="K11" s="79">
        <f t="shared" si="2"/>
        <v>0</v>
      </c>
      <c r="L11" s="79">
        <f t="shared" si="3"/>
        <v>0</v>
      </c>
      <c r="M11" s="79">
        <f t="shared" si="3"/>
        <v>0</v>
      </c>
      <c r="N11" s="79"/>
      <c r="O11" s="78">
        <f t="shared" si="136"/>
        <v>0</v>
      </c>
      <c r="P11" s="78">
        <f t="shared" si="4"/>
        <v>0</v>
      </c>
      <c r="Q11" s="79">
        <f t="shared" si="5"/>
        <v>0</v>
      </c>
      <c r="R11" s="79">
        <f t="shared" si="6"/>
        <v>0</v>
      </c>
      <c r="S11" s="77">
        <f t="shared" si="7"/>
        <v>0</v>
      </c>
      <c r="T11" s="79"/>
      <c r="U11" s="78">
        <f t="shared" si="137"/>
        <v>0</v>
      </c>
      <c r="V11" s="78">
        <f t="shared" si="8"/>
        <v>0</v>
      </c>
      <c r="W11" s="78">
        <f t="shared" si="9"/>
        <v>0</v>
      </c>
      <c r="X11" s="79">
        <f t="shared" si="10"/>
        <v>0</v>
      </c>
      <c r="Y11" s="77">
        <f t="shared" si="11"/>
        <v>0</v>
      </c>
      <c r="Z11" s="79"/>
      <c r="AA11" s="79">
        <f t="shared" si="138"/>
        <v>0</v>
      </c>
      <c r="AB11" s="78">
        <f t="shared" si="12"/>
        <v>0</v>
      </c>
      <c r="AC11" s="78">
        <f t="shared" si="13"/>
        <v>0</v>
      </c>
      <c r="AD11" s="79">
        <f t="shared" si="14"/>
        <v>0</v>
      </c>
      <c r="AE11" s="77">
        <f t="shared" si="15"/>
        <v>0</v>
      </c>
      <c r="AF11" s="79"/>
      <c r="AG11" s="78">
        <f t="shared" si="139"/>
        <v>0</v>
      </c>
      <c r="AH11" s="78">
        <f t="shared" si="16"/>
        <v>0</v>
      </c>
      <c r="AI11" s="78">
        <f t="shared" si="17"/>
        <v>0</v>
      </c>
      <c r="AJ11" s="79">
        <f t="shared" si="18"/>
        <v>0</v>
      </c>
      <c r="AK11" s="77">
        <f t="shared" si="19"/>
        <v>0</v>
      </c>
      <c r="AL11" s="79"/>
      <c r="AM11" s="78">
        <f t="shared" si="140"/>
        <v>0</v>
      </c>
      <c r="AN11" s="78">
        <f t="shared" si="20"/>
        <v>0</v>
      </c>
      <c r="AO11" s="78">
        <f t="shared" si="21"/>
        <v>0</v>
      </c>
      <c r="AP11" s="79">
        <f t="shared" si="22"/>
        <v>0</v>
      </c>
      <c r="AQ11" s="77">
        <f t="shared" si="23"/>
        <v>0</v>
      </c>
      <c r="AR11" s="78"/>
      <c r="AS11" s="78">
        <f t="shared" si="141"/>
        <v>0</v>
      </c>
      <c r="AT11" s="78">
        <f t="shared" si="24"/>
        <v>0</v>
      </c>
      <c r="AU11" s="78">
        <f t="shared" si="25"/>
        <v>0</v>
      </c>
      <c r="AV11" s="79">
        <f t="shared" si="26"/>
        <v>0</v>
      </c>
      <c r="AW11" s="77">
        <f t="shared" si="27"/>
        <v>0</v>
      </c>
      <c r="AX11" s="79"/>
      <c r="AY11" s="78">
        <f t="shared" si="142"/>
        <v>0</v>
      </c>
      <c r="AZ11" s="78">
        <f t="shared" si="28"/>
        <v>0</v>
      </c>
      <c r="BA11" s="78">
        <f t="shared" si="29"/>
        <v>0</v>
      </c>
      <c r="BB11" s="79">
        <f t="shared" si="30"/>
        <v>0</v>
      </c>
      <c r="BC11" s="77">
        <f t="shared" si="31"/>
        <v>0</v>
      </c>
      <c r="BD11" s="79"/>
      <c r="BE11" s="78">
        <f t="shared" si="143"/>
        <v>0</v>
      </c>
      <c r="BF11" s="78">
        <f t="shared" si="32"/>
        <v>0</v>
      </c>
      <c r="BG11" s="78">
        <f t="shared" si="33"/>
        <v>0</v>
      </c>
      <c r="BH11" s="79">
        <f t="shared" si="34"/>
        <v>0</v>
      </c>
      <c r="BI11" s="77">
        <f t="shared" si="35"/>
        <v>0</v>
      </c>
      <c r="BJ11" s="79"/>
      <c r="BK11" s="78">
        <f t="shared" si="144"/>
        <v>0</v>
      </c>
      <c r="BL11" s="78">
        <f t="shared" si="36"/>
        <v>0</v>
      </c>
      <c r="BM11" s="78">
        <f t="shared" si="37"/>
        <v>0</v>
      </c>
      <c r="BN11" s="79">
        <f t="shared" si="38"/>
        <v>0</v>
      </c>
      <c r="BO11" s="77">
        <f t="shared" si="39"/>
        <v>0</v>
      </c>
      <c r="BP11" s="79"/>
      <c r="BQ11" s="78">
        <f t="shared" si="145"/>
        <v>0</v>
      </c>
      <c r="BR11" s="78">
        <f t="shared" si="40"/>
        <v>0</v>
      </c>
      <c r="BS11" s="78">
        <f t="shared" si="41"/>
        <v>0</v>
      </c>
      <c r="BT11" s="79">
        <f t="shared" si="42"/>
        <v>0</v>
      </c>
      <c r="BU11" s="77">
        <f t="shared" si="43"/>
        <v>0</v>
      </c>
      <c r="BV11" s="79"/>
      <c r="BW11" s="78">
        <f t="shared" si="146"/>
        <v>0</v>
      </c>
      <c r="BX11" s="78">
        <f t="shared" si="44"/>
        <v>0</v>
      </c>
      <c r="BY11" s="78">
        <f t="shared" si="45"/>
        <v>0</v>
      </c>
      <c r="BZ11" s="79">
        <f t="shared" si="46"/>
        <v>0</v>
      </c>
      <c r="CA11" s="77">
        <f t="shared" si="47"/>
        <v>0</v>
      </c>
      <c r="CB11" s="78"/>
      <c r="CC11" s="78">
        <f t="shared" si="147"/>
        <v>0</v>
      </c>
      <c r="CD11" s="78">
        <f t="shared" si="48"/>
        <v>0</v>
      </c>
      <c r="CE11" s="78">
        <f t="shared" si="49"/>
        <v>0</v>
      </c>
      <c r="CF11" s="79">
        <f t="shared" si="50"/>
        <v>0</v>
      </c>
      <c r="CG11" s="77">
        <f t="shared" si="51"/>
        <v>0</v>
      </c>
      <c r="CH11" s="79"/>
      <c r="CI11" s="78">
        <f t="shared" si="148"/>
        <v>0</v>
      </c>
      <c r="CJ11" s="78">
        <f t="shared" si="52"/>
        <v>0</v>
      </c>
      <c r="CK11" s="78">
        <f t="shared" si="53"/>
        <v>0</v>
      </c>
      <c r="CL11" s="79">
        <f t="shared" si="54"/>
        <v>0</v>
      </c>
      <c r="CM11" s="77">
        <f t="shared" si="55"/>
        <v>0</v>
      </c>
      <c r="CN11" s="79"/>
      <c r="CO11" s="78">
        <f t="shared" si="149"/>
        <v>0</v>
      </c>
      <c r="CP11" s="78">
        <f t="shared" si="56"/>
        <v>0</v>
      </c>
      <c r="CQ11" s="78">
        <f t="shared" si="57"/>
        <v>0</v>
      </c>
      <c r="CR11" s="79">
        <f t="shared" si="58"/>
        <v>0</v>
      </c>
      <c r="CS11" s="77">
        <f t="shared" si="59"/>
        <v>0</v>
      </c>
      <c r="CT11" s="79"/>
      <c r="CU11" s="78">
        <f t="shared" si="150"/>
        <v>0</v>
      </c>
      <c r="CV11" s="78">
        <f t="shared" si="60"/>
        <v>0</v>
      </c>
      <c r="CW11" s="78">
        <f t="shared" si="61"/>
        <v>0</v>
      </c>
      <c r="CX11" s="79">
        <f t="shared" si="62"/>
        <v>0</v>
      </c>
      <c r="CY11" s="77">
        <f t="shared" si="63"/>
        <v>0</v>
      </c>
      <c r="CZ11" s="79"/>
      <c r="DA11" s="78">
        <f t="shared" si="151"/>
        <v>0</v>
      </c>
      <c r="DB11" s="78">
        <f t="shared" si="64"/>
        <v>0</v>
      </c>
      <c r="DC11" s="78">
        <f t="shared" si="65"/>
        <v>0</v>
      </c>
      <c r="DD11" s="79">
        <f t="shared" si="66"/>
        <v>0</v>
      </c>
      <c r="DE11" s="77">
        <f t="shared" si="67"/>
        <v>0</v>
      </c>
      <c r="DF11" s="79"/>
      <c r="DG11" s="78">
        <f t="shared" si="152"/>
        <v>0</v>
      </c>
      <c r="DH11" s="78">
        <f t="shared" si="68"/>
        <v>0</v>
      </c>
      <c r="DI11" s="78">
        <f t="shared" si="69"/>
        <v>0</v>
      </c>
      <c r="DJ11" s="79">
        <f t="shared" si="70"/>
        <v>0</v>
      </c>
      <c r="DK11" s="77">
        <f t="shared" si="71"/>
        <v>0</v>
      </c>
      <c r="DL11" s="79"/>
      <c r="DM11" s="78">
        <f t="shared" si="153"/>
        <v>0</v>
      </c>
      <c r="DN11" s="78">
        <f t="shared" si="72"/>
        <v>0</v>
      </c>
      <c r="DO11" s="78">
        <f t="shared" si="73"/>
        <v>0</v>
      </c>
      <c r="DP11" s="79">
        <f t="shared" si="74"/>
        <v>0</v>
      </c>
      <c r="DQ11" s="77">
        <f t="shared" si="75"/>
        <v>0</v>
      </c>
      <c r="DR11" s="79"/>
      <c r="DS11" s="78">
        <f t="shared" si="154"/>
        <v>0</v>
      </c>
      <c r="DT11" s="78">
        <f t="shared" si="76"/>
        <v>0</v>
      </c>
      <c r="DU11" s="78">
        <f t="shared" si="77"/>
        <v>0</v>
      </c>
      <c r="DV11" s="79">
        <f t="shared" si="78"/>
        <v>0</v>
      </c>
      <c r="DW11" s="77">
        <f t="shared" si="79"/>
        <v>0</v>
      </c>
      <c r="DX11" s="79"/>
      <c r="DY11" s="78">
        <f t="shared" si="155"/>
        <v>0</v>
      </c>
      <c r="DZ11" s="78">
        <f t="shared" si="80"/>
        <v>0</v>
      </c>
      <c r="EA11" s="78">
        <f t="shared" si="81"/>
        <v>0</v>
      </c>
      <c r="EB11" s="79">
        <f t="shared" si="82"/>
        <v>0</v>
      </c>
      <c r="EC11" s="77">
        <f t="shared" si="83"/>
        <v>0</v>
      </c>
      <c r="ED11" s="79"/>
      <c r="EE11" s="78">
        <f t="shared" si="156"/>
        <v>0</v>
      </c>
      <c r="EF11" s="78">
        <f t="shared" si="84"/>
        <v>0</v>
      </c>
      <c r="EG11" s="78">
        <f t="shared" si="85"/>
        <v>0</v>
      </c>
      <c r="EH11" s="79">
        <f t="shared" si="86"/>
        <v>0</v>
      </c>
      <c r="EI11" s="77">
        <f t="shared" si="87"/>
        <v>0</v>
      </c>
      <c r="EJ11" s="79"/>
      <c r="EK11" s="78">
        <f t="shared" si="157"/>
        <v>0</v>
      </c>
      <c r="EL11" s="78">
        <f t="shared" si="88"/>
        <v>0</v>
      </c>
      <c r="EM11" s="78">
        <f t="shared" si="89"/>
        <v>0</v>
      </c>
      <c r="EN11" s="79">
        <f t="shared" si="90"/>
        <v>0</v>
      </c>
      <c r="EO11" s="77">
        <f t="shared" si="91"/>
        <v>0</v>
      </c>
      <c r="EP11" s="79"/>
      <c r="EQ11" s="78">
        <f t="shared" si="158"/>
        <v>0</v>
      </c>
      <c r="ER11" s="78">
        <f t="shared" si="92"/>
        <v>0</v>
      </c>
      <c r="ES11" s="78">
        <f t="shared" si="93"/>
        <v>0</v>
      </c>
      <c r="ET11" s="79">
        <f t="shared" si="94"/>
        <v>0</v>
      </c>
      <c r="EU11" s="77">
        <f t="shared" si="95"/>
        <v>0</v>
      </c>
      <c r="EV11" s="79"/>
      <c r="EW11" s="78">
        <f t="shared" si="159"/>
        <v>0</v>
      </c>
      <c r="EX11" s="78">
        <f t="shared" si="96"/>
        <v>0</v>
      </c>
      <c r="EY11" s="78">
        <f t="shared" si="97"/>
        <v>0</v>
      </c>
      <c r="EZ11" s="79">
        <f t="shared" si="98"/>
        <v>0</v>
      </c>
      <c r="FA11" s="77">
        <f t="shared" si="99"/>
        <v>0</v>
      </c>
      <c r="FB11" s="79"/>
      <c r="FC11" s="78">
        <f t="shared" si="160"/>
        <v>0</v>
      </c>
      <c r="FD11" s="78">
        <f t="shared" si="100"/>
        <v>0</v>
      </c>
      <c r="FE11" s="78">
        <f t="shared" si="101"/>
        <v>0</v>
      </c>
      <c r="FF11" s="79">
        <f t="shared" si="102"/>
        <v>0</v>
      </c>
      <c r="FG11" s="77">
        <f t="shared" si="103"/>
        <v>0</v>
      </c>
      <c r="FH11" s="79"/>
      <c r="FI11" s="78">
        <f t="shared" si="161"/>
        <v>0</v>
      </c>
      <c r="FJ11" s="78">
        <f t="shared" si="104"/>
        <v>0</v>
      </c>
      <c r="FK11" s="78">
        <f t="shared" si="105"/>
        <v>0</v>
      </c>
      <c r="FL11" s="79">
        <f t="shared" si="106"/>
        <v>0</v>
      </c>
      <c r="FM11" s="77">
        <f t="shared" si="107"/>
        <v>0</v>
      </c>
      <c r="FN11" s="79"/>
      <c r="FO11" s="78">
        <f t="shared" si="162"/>
        <v>0</v>
      </c>
      <c r="FP11" s="78">
        <f t="shared" si="108"/>
        <v>0</v>
      </c>
      <c r="FQ11" s="78">
        <f t="shared" si="109"/>
        <v>0</v>
      </c>
      <c r="FR11" s="79">
        <f t="shared" si="110"/>
        <v>0</v>
      </c>
      <c r="FS11" s="77">
        <f t="shared" si="111"/>
        <v>0</v>
      </c>
      <c r="FT11" s="79"/>
      <c r="FU11" s="78">
        <f t="shared" si="163"/>
        <v>0</v>
      </c>
      <c r="FV11" s="78">
        <f t="shared" si="112"/>
        <v>0</v>
      </c>
      <c r="FW11" s="78">
        <f t="shared" si="113"/>
        <v>0</v>
      </c>
      <c r="FX11" s="79">
        <f t="shared" si="114"/>
        <v>0</v>
      </c>
      <c r="FY11" s="77">
        <f t="shared" si="115"/>
        <v>0</v>
      </c>
      <c r="FZ11" s="79"/>
      <c r="GA11" s="78">
        <f t="shared" si="164"/>
        <v>0</v>
      </c>
      <c r="GB11" s="78">
        <f t="shared" si="116"/>
        <v>0</v>
      </c>
      <c r="GC11" s="78">
        <f t="shared" si="117"/>
        <v>0</v>
      </c>
      <c r="GD11" s="79">
        <f t="shared" si="118"/>
        <v>0</v>
      </c>
      <c r="GE11" s="77">
        <f t="shared" si="119"/>
        <v>0</v>
      </c>
      <c r="GF11" s="79"/>
      <c r="GG11" s="78">
        <f t="shared" si="165"/>
        <v>0</v>
      </c>
      <c r="GH11" s="78">
        <f t="shared" si="120"/>
        <v>0</v>
      </c>
      <c r="GI11" s="78">
        <f t="shared" si="121"/>
        <v>0</v>
      </c>
      <c r="GJ11" s="79">
        <f t="shared" si="122"/>
        <v>0</v>
      </c>
      <c r="GK11" s="77">
        <f t="shared" si="123"/>
        <v>0</v>
      </c>
      <c r="GL11" s="79"/>
      <c r="GM11" s="78">
        <f t="shared" si="166"/>
        <v>0</v>
      </c>
      <c r="GN11" s="78">
        <f t="shared" si="124"/>
        <v>0</v>
      </c>
      <c r="GO11" s="78">
        <f t="shared" si="125"/>
        <v>0</v>
      </c>
      <c r="GP11" s="79">
        <f t="shared" si="126"/>
        <v>0</v>
      </c>
      <c r="GQ11" s="77">
        <f t="shared" si="127"/>
        <v>0</v>
      </c>
      <c r="GR11" s="79"/>
      <c r="GS11" s="78">
        <f t="shared" si="167"/>
        <v>0</v>
      </c>
      <c r="GT11" s="78">
        <f t="shared" si="128"/>
        <v>0</v>
      </c>
      <c r="GU11" s="78">
        <f t="shared" si="129"/>
        <v>0</v>
      </c>
      <c r="GV11" s="79">
        <f t="shared" si="130"/>
        <v>0</v>
      </c>
      <c r="GW11" s="77">
        <f t="shared" si="131"/>
        <v>0</v>
      </c>
      <c r="GX11" s="79"/>
      <c r="GY11" s="78">
        <f t="shared" si="168"/>
        <v>0</v>
      </c>
      <c r="GZ11" s="78">
        <f t="shared" si="132"/>
        <v>0</v>
      </c>
      <c r="HA11" s="78">
        <f t="shared" si="133"/>
        <v>0</v>
      </c>
      <c r="HB11" s="79">
        <f t="shared" si="134"/>
        <v>0</v>
      </c>
      <c r="HC11" s="77">
        <f t="shared" si="135"/>
        <v>0</v>
      </c>
      <c r="HD11" s="79"/>
      <c r="HE11" s="79"/>
      <c r="HF11" s="79"/>
      <c r="HG11" s="79"/>
      <c r="HH11" s="79"/>
      <c r="HI11" s="79"/>
    </row>
    <row r="12" spans="1:217" s="52" customFormat="1" ht="12.75">
      <c r="A12" s="51">
        <v>44835</v>
      </c>
      <c r="C12" s="36"/>
      <c r="D12" s="36">
        <v>0</v>
      </c>
      <c r="E12" s="77">
        <f t="shared" si="0"/>
        <v>0</v>
      </c>
      <c r="F12" s="77"/>
      <c r="G12" s="77"/>
      <c r="H12" s="79"/>
      <c r="I12" s="79"/>
      <c r="J12" s="79">
        <f t="shared" si="1"/>
        <v>0</v>
      </c>
      <c r="K12" s="79">
        <f t="shared" si="2"/>
        <v>0</v>
      </c>
      <c r="L12" s="79">
        <f t="shared" si="3"/>
        <v>0</v>
      </c>
      <c r="M12" s="79">
        <f t="shared" si="3"/>
        <v>0</v>
      </c>
      <c r="N12" s="79"/>
      <c r="O12" s="78"/>
      <c r="P12" s="78">
        <f t="shared" si="4"/>
        <v>0</v>
      </c>
      <c r="Q12" s="79">
        <f t="shared" si="5"/>
        <v>0</v>
      </c>
      <c r="R12" s="79">
        <f t="shared" si="6"/>
        <v>0</v>
      </c>
      <c r="S12" s="77">
        <f t="shared" si="7"/>
        <v>0</v>
      </c>
      <c r="T12" s="79"/>
      <c r="U12" s="78"/>
      <c r="V12" s="78">
        <f t="shared" si="8"/>
        <v>0</v>
      </c>
      <c r="W12" s="78">
        <f t="shared" si="9"/>
        <v>0</v>
      </c>
      <c r="X12" s="79">
        <f t="shared" si="10"/>
        <v>0</v>
      </c>
      <c r="Y12" s="77">
        <f t="shared" si="11"/>
        <v>0</v>
      </c>
      <c r="Z12" s="79"/>
      <c r="AA12" s="79"/>
      <c r="AB12" s="78">
        <f t="shared" si="12"/>
        <v>0</v>
      </c>
      <c r="AC12" s="78">
        <f t="shared" si="13"/>
        <v>0</v>
      </c>
      <c r="AD12" s="79">
        <f t="shared" si="14"/>
        <v>0</v>
      </c>
      <c r="AE12" s="77">
        <f t="shared" si="15"/>
        <v>0</v>
      </c>
      <c r="AF12" s="79"/>
      <c r="AG12" s="78"/>
      <c r="AH12" s="78">
        <f t="shared" si="16"/>
        <v>0</v>
      </c>
      <c r="AI12" s="78">
        <f t="shared" si="17"/>
        <v>0</v>
      </c>
      <c r="AJ12" s="79">
        <f t="shared" si="18"/>
        <v>0</v>
      </c>
      <c r="AK12" s="77">
        <f t="shared" si="19"/>
        <v>0</v>
      </c>
      <c r="AL12" s="79"/>
      <c r="AM12" s="78"/>
      <c r="AN12" s="78">
        <f t="shared" si="20"/>
        <v>0</v>
      </c>
      <c r="AO12" s="78">
        <f t="shared" si="21"/>
        <v>0</v>
      </c>
      <c r="AP12" s="79">
        <f t="shared" si="22"/>
        <v>0</v>
      </c>
      <c r="AQ12" s="77">
        <f t="shared" si="23"/>
        <v>0</v>
      </c>
      <c r="AR12" s="78"/>
      <c r="AS12" s="78"/>
      <c r="AT12" s="78">
        <f t="shared" si="24"/>
        <v>0</v>
      </c>
      <c r="AU12" s="78">
        <f t="shared" si="25"/>
        <v>0</v>
      </c>
      <c r="AV12" s="79">
        <f t="shared" si="26"/>
        <v>0</v>
      </c>
      <c r="AW12" s="77">
        <f t="shared" si="27"/>
        <v>0</v>
      </c>
      <c r="AX12" s="79"/>
      <c r="AY12" s="78"/>
      <c r="AZ12" s="78">
        <f t="shared" si="28"/>
        <v>0</v>
      </c>
      <c r="BA12" s="78">
        <f t="shared" si="29"/>
        <v>0</v>
      </c>
      <c r="BB12" s="79">
        <f t="shared" si="30"/>
        <v>0</v>
      </c>
      <c r="BC12" s="77">
        <f t="shared" si="31"/>
        <v>0</v>
      </c>
      <c r="BD12" s="79"/>
      <c r="BE12" s="78"/>
      <c r="BF12" s="78">
        <f t="shared" si="32"/>
        <v>0</v>
      </c>
      <c r="BG12" s="78">
        <f t="shared" si="33"/>
        <v>0</v>
      </c>
      <c r="BH12" s="79">
        <f t="shared" si="34"/>
        <v>0</v>
      </c>
      <c r="BI12" s="77">
        <f t="shared" si="35"/>
        <v>0</v>
      </c>
      <c r="BJ12" s="79"/>
      <c r="BK12" s="78"/>
      <c r="BL12" s="78">
        <f t="shared" si="36"/>
        <v>0</v>
      </c>
      <c r="BM12" s="78">
        <f t="shared" si="37"/>
        <v>0</v>
      </c>
      <c r="BN12" s="79">
        <f t="shared" si="38"/>
        <v>0</v>
      </c>
      <c r="BO12" s="77">
        <f t="shared" si="39"/>
        <v>0</v>
      </c>
      <c r="BP12" s="79"/>
      <c r="BQ12" s="78"/>
      <c r="BR12" s="78">
        <f t="shared" si="40"/>
        <v>0</v>
      </c>
      <c r="BS12" s="78">
        <f t="shared" si="41"/>
        <v>0</v>
      </c>
      <c r="BT12" s="79">
        <f t="shared" si="42"/>
        <v>0</v>
      </c>
      <c r="BU12" s="77">
        <f t="shared" si="43"/>
        <v>0</v>
      </c>
      <c r="BV12" s="79"/>
      <c r="BW12" s="78"/>
      <c r="BX12" s="78">
        <f t="shared" si="44"/>
        <v>0</v>
      </c>
      <c r="BY12" s="78">
        <f t="shared" si="45"/>
        <v>0</v>
      </c>
      <c r="BZ12" s="79">
        <f t="shared" si="46"/>
        <v>0</v>
      </c>
      <c r="CA12" s="77">
        <f t="shared" si="47"/>
        <v>0</v>
      </c>
      <c r="CB12" s="78"/>
      <c r="CC12" s="78"/>
      <c r="CD12" s="78">
        <f t="shared" si="48"/>
        <v>0</v>
      </c>
      <c r="CE12" s="78">
        <f t="shared" si="49"/>
        <v>0</v>
      </c>
      <c r="CF12" s="79">
        <f t="shared" si="50"/>
        <v>0</v>
      </c>
      <c r="CG12" s="77">
        <f t="shared" si="51"/>
        <v>0</v>
      </c>
      <c r="CH12" s="79"/>
      <c r="CI12" s="78"/>
      <c r="CJ12" s="78">
        <f t="shared" si="52"/>
        <v>0</v>
      </c>
      <c r="CK12" s="78">
        <f t="shared" si="53"/>
        <v>0</v>
      </c>
      <c r="CL12" s="79">
        <f t="shared" si="54"/>
        <v>0</v>
      </c>
      <c r="CM12" s="77">
        <f t="shared" si="55"/>
        <v>0</v>
      </c>
      <c r="CN12" s="79"/>
      <c r="CO12" s="78"/>
      <c r="CP12" s="78">
        <f t="shared" si="56"/>
        <v>0</v>
      </c>
      <c r="CQ12" s="78">
        <f t="shared" si="57"/>
        <v>0</v>
      </c>
      <c r="CR12" s="79">
        <f t="shared" si="58"/>
        <v>0</v>
      </c>
      <c r="CS12" s="77">
        <f t="shared" si="59"/>
        <v>0</v>
      </c>
      <c r="CT12" s="79"/>
      <c r="CU12" s="78"/>
      <c r="CV12" s="78">
        <f t="shared" si="60"/>
        <v>0</v>
      </c>
      <c r="CW12" s="78">
        <f t="shared" si="61"/>
        <v>0</v>
      </c>
      <c r="CX12" s="79">
        <f t="shared" si="62"/>
        <v>0</v>
      </c>
      <c r="CY12" s="77">
        <f t="shared" si="63"/>
        <v>0</v>
      </c>
      <c r="CZ12" s="79"/>
      <c r="DA12" s="78"/>
      <c r="DB12" s="78">
        <f t="shared" si="64"/>
        <v>0</v>
      </c>
      <c r="DC12" s="78">
        <f t="shared" si="65"/>
        <v>0</v>
      </c>
      <c r="DD12" s="79">
        <f t="shared" si="66"/>
        <v>0</v>
      </c>
      <c r="DE12" s="77">
        <f t="shared" si="67"/>
        <v>0</v>
      </c>
      <c r="DF12" s="79"/>
      <c r="DG12" s="78"/>
      <c r="DH12" s="78">
        <f t="shared" si="68"/>
        <v>0</v>
      </c>
      <c r="DI12" s="78">
        <f t="shared" si="69"/>
        <v>0</v>
      </c>
      <c r="DJ12" s="79">
        <f t="shared" si="70"/>
        <v>0</v>
      </c>
      <c r="DK12" s="77">
        <f t="shared" si="71"/>
        <v>0</v>
      </c>
      <c r="DL12" s="79"/>
      <c r="DM12" s="78"/>
      <c r="DN12" s="78">
        <f t="shared" si="72"/>
        <v>0</v>
      </c>
      <c r="DO12" s="78">
        <f t="shared" si="73"/>
        <v>0</v>
      </c>
      <c r="DP12" s="79">
        <f t="shared" si="74"/>
        <v>0</v>
      </c>
      <c r="DQ12" s="77">
        <f t="shared" si="75"/>
        <v>0</v>
      </c>
      <c r="DR12" s="79"/>
      <c r="DS12" s="78"/>
      <c r="DT12" s="78">
        <f t="shared" si="76"/>
        <v>0</v>
      </c>
      <c r="DU12" s="78">
        <f t="shared" si="77"/>
        <v>0</v>
      </c>
      <c r="DV12" s="79">
        <f t="shared" si="78"/>
        <v>0</v>
      </c>
      <c r="DW12" s="77">
        <f t="shared" si="79"/>
        <v>0</v>
      </c>
      <c r="DX12" s="79"/>
      <c r="DY12" s="78"/>
      <c r="DZ12" s="78">
        <f t="shared" si="80"/>
        <v>0</v>
      </c>
      <c r="EA12" s="78">
        <f t="shared" si="81"/>
        <v>0</v>
      </c>
      <c r="EB12" s="79">
        <f t="shared" si="82"/>
        <v>0</v>
      </c>
      <c r="EC12" s="77">
        <f t="shared" si="83"/>
        <v>0</v>
      </c>
      <c r="ED12" s="79"/>
      <c r="EE12" s="78"/>
      <c r="EF12" s="78">
        <f t="shared" si="84"/>
        <v>0</v>
      </c>
      <c r="EG12" s="78">
        <f t="shared" si="85"/>
        <v>0</v>
      </c>
      <c r="EH12" s="79">
        <f t="shared" si="86"/>
        <v>0</v>
      </c>
      <c r="EI12" s="77">
        <f t="shared" si="87"/>
        <v>0</v>
      </c>
      <c r="EJ12" s="79"/>
      <c r="EK12" s="78"/>
      <c r="EL12" s="78">
        <f t="shared" si="88"/>
        <v>0</v>
      </c>
      <c r="EM12" s="78">
        <f t="shared" si="89"/>
        <v>0</v>
      </c>
      <c r="EN12" s="79">
        <f t="shared" si="90"/>
        <v>0</v>
      </c>
      <c r="EO12" s="77">
        <f t="shared" si="91"/>
        <v>0</v>
      </c>
      <c r="EP12" s="79"/>
      <c r="EQ12" s="78"/>
      <c r="ER12" s="78">
        <f t="shared" si="92"/>
        <v>0</v>
      </c>
      <c r="ES12" s="78">
        <f t="shared" si="93"/>
        <v>0</v>
      </c>
      <c r="ET12" s="79">
        <f t="shared" si="94"/>
        <v>0</v>
      </c>
      <c r="EU12" s="77">
        <f t="shared" si="95"/>
        <v>0</v>
      </c>
      <c r="EV12" s="79"/>
      <c r="EW12" s="78"/>
      <c r="EX12" s="78">
        <f t="shared" si="96"/>
        <v>0</v>
      </c>
      <c r="EY12" s="78">
        <f t="shared" si="97"/>
        <v>0</v>
      </c>
      <c r="EZ12" s="79">
        <f t="shared" si="98"/>
        <v>0</v>
      </c>
      <c r="FA12" s="77">
        <f t="shared" si="99"/>
        <v>0</v>
      </c>
      <c r="FB12" s="79"/>
      <c r="FC12" s="78"/>
      <c r="FD12" s="78">
        <f t="shared" si="100"/>
        <v>0</v>
      </c>
      <c r="FE12" s="78">
        <f t="shared" si="101"/>
        <v>0</v>
      </c>
      <c r="FF12" s="79">
        <f t="shared" si="102"/>
        <v>0</v>
      </c>
      <c r="FG12" s="77">
        <f t="shared" si="103"/>
        <v>0</v>
      </c>
      <c r="FH12" s="79"/>
      <c r="FI12" s="78"/>
      <c r="FJ12" s="78">
        <f t="shared" si="104"/>
        <v>0</v>
      </c>
      <c r="FK12" s="78">
        <f t="shared" si="105"/>
        <v>0</v>
      </c>
      <c r="FL12" s="79">
        <f t="shared" si="106"/>
        <v>0</v>
      </c>
      <c r="FM12" s="77">
        <f t="shared" si="107"/>
        <v>0</v>
      </c>
      <c r="FN12" s="79"/>
      <c r="FO12" s="78"/>
      <c r="FP12" s="78">
        <f t="shared" si="108"/>
        <v>0</v>
      </c>
      <c r="FQ12" s="78">
        <f t="shared" si="109"/>
        <v>0</v>
      </c>
      <c r="FR12" s="79">
        <f t="shared" si="110"/>
        <v>0</v>
      </c>
      <c r="FS12" s="77">
        <f t="shared" si="111"/>
        <v>0</v>
      </c>
      <c r="FT12" s="79"/>
      <c r="FU12" s="78"/>
      <c r="FV12" s="78">
        <f t="shared" si="112"/>
        <v>0</v>
      </c>
      <c r="FW12" s="78">
        <f t="shared" si="113"/>
        <v>0</v>
      </c>
      <c r="FX12" s="79">
        <f t="shared" si="114"/>
        <v>0</v>
      </c>
      <c r="FY12" s="77">
        <f t="shared" si="115"/>
        <v>0</v>
      </c>
      <c r="FZ12" s="79"/>
      <c r="GA12" s="78"/>
      <c r="GB12" s="78">
        <f t="shared" si="116"/>
        <v>0</v>
      </c>
      <c r="GC12" s="78">
        <f t="shared" si="117"/>
        <v>0</v>
      </c>
      <c r="GD12" s="79">
        <f t="shared" si="118"/>
        <v>0</v>
      </c>
      <c r="GE12" s="77">
        <f t="shared" si="119"/>
        <v>0</v>
      </c>
      <c r="GF12" s="79"/>
      <c r="GG12" s="78"/>
      <c r="GH12" s="78">
        <f t="shared" si="120"/>
        <v>0</v>
      </c>
      <c r="GI12" s="78">
        <f t="shared" si="121"/>
        <v>0</v>
      </c>
      <c r="GJ12" s="79">
        <f t="shared" si="122"/>
        <v>0</v>
      </c>
      <c r="GK12" s="77">
        <f t="shared" si="123"/>
        <v>0</v>
      </c>
      <c r="GL12" s="79"/>
      <c r="GM12" s="78"/>
      <c r="GN12" s="78">
        <f t="shared" si="124"/>
        <v>0</v>
      </c>
      <c r="GO12" s="78">
        <f t="shared" si="125"/>
        <v>0</v>
      </c>
      <c r="GP12" s="79">
        <f t="shared" si="126"/>
        <v>0</v>
      </c>
      <c r="GQ12" s="77">
        <f t="shared" si="127"/>
        <v>0</v>
      </c>
      <c r="GR12" s="79"/>
      <c r="GS12" s="78"/>
      <c r="GT12" s="78">
        <f t="shared" si="128"/>
        <v>0</v>
      </c>
      <c r="GU12" s="78">
        <f t="shared" si="129"/>
        <v>0</v>
      </c>
      <c r="GV12" s="79">
        <f t="shared" si="130"/>
        <v>0</v>
      </c>
      <c r="GW12" s="77">
        <f t="shared" si="131"/>
        <v>0</v>
      </c>
      <c r="GX12" s="79"/>
      <c r="GY12" s="78"/>
      <c r="GZ12" s="78">
        <f t="shared" si="132"/>
        <v>0</v>
      </c>
      <c r="HA12" s="78">
        <f t="shared" si="133"/>
        <v>0</v>
      </c>
      <c r="HB12" s="79">
        <f t="shared" si="134"/>
        <v>0</v>
      </c>
      <c r="HC12" s="77">
        <f t="shared" si="135"/>
        <v>0</v>
      </c>
      <c r="HD12" s="79"/>
      <c r="HE12" s="79"/>
      <c r="HF12" s="79"/>
      <c r="HG12" s="79"/>
      <c r="HH12" s="79"/>
      <c r="HI12" s="79"/>
    </row>
    <row r="13" spans="1:217" s="52" customFormat="1" ht="12.75">
      <c r="A13" s="51">
        <v>45017</v>
      </c>
      <c r="C13" s="36">
        <v>0</v>
      </c>
      <c r="D13" s="36">
        <v>0</v>
      </c>
      <c r="E13" s="77">
        <f t="shared" si="0"/>
        <v>0</v>
      </c>
      <c r="F13" s="77"/>
      <c r="G13" s="77"/>
      <c r="H13" s="79"/>
      <c r="I13" s="79">
        <f>O13+U13+AA13+AG13+AM13+AS13+AY13+BE13+BK13+BQ13+BW13+CC13+CI13+CO13+CU13+DA13+DG13+DM13+DS13+DY13+EE13+EK13+EQ13+EW13+FC13+FI13+FO13+FU13+GA13+GG13+GM13+GS13+GY13</f>
        <v>0</v>
      </c>
      <c r="J13" s="79">
        <f t="shared" si="1"/>
        <v>0</v>
      </c>
      <c r="K13" s="79">
        <f t="shared" si="2"/>
        <v>0</v>
      </c>
      <c r="L13" s="79">
        <f t="shared" si="3"/>
        <v>0</v>
      </c>
      <c r="M13" s="79">
        <f t="shared" si="3"/>
        <v>0</v>
      </c>
      <c r="N13" s="79"/>
      <c r="O13" s="78">
        <f t="shared" si="136"/>
        <v>0</v>
      </c>
      <c r="P13" s="78">
        <f t="shared" si="4"/>
        <v>0</v>
      </c>
      <c r="Q13" s="79">
        <f t="shared" si="5"/>
        <v>0</v>
      </c>
      <c r="R13" s="79">
        <f t="shared" si="6"/>
        <v>0</v>
      </c>
      <c r="S13" s="77">
        <f t="shared" si="7"/>
        <v>0</v>
      </c>
      <c r="T13" s="79"/>
      <c r="U13" s="78">
        <f t="shared" si="137"/>
        <v>0</v>
      </c>
      <c r="V13" s="78">
        <f t="shared" si="8"/>
        <v>0</v>
      </c>
      <c r="W13" s="78">
        <f t="shared" si="9"/>
        <v>0</v>
      </c>
      <c r="X13" s="79">
        <f t="shared" si="10"/>
        <v>0</v>
      </c>
      <c r="Y13" s="77">
        <f t="shared" si="11"/>
        <v>0</v>
      </c>
      <c r="Z13" s="79"/>
      <c r="AA13" s="79">
        <f t="shared" si="138"/>
        <v>0</v>
      </c>
      <c r="AB13" s="78">
        <f t="shared" si="12"/>
        <v>0</v>
      </c>
      <c r="AC13" s="78">
        <f t="shared" si="13"/>
        <v>0</v>
      </c>
      <c r="AD13" s="79">
        <f t="shared" si="14"/>
        <v>0</v>
      </c>
      <c r="AE13" s="77">
        <f t="shared" si="15"/>
        <v>0</v>
      </c>
      <c r="AF13" s="79"/>
      <c r="AG13" s="78">
        <f t="shared" si="139"/>
        <v>0</v>
      </c>
      <c r="AH13" s="78">
        <f t="shared" si="16"/>
        <v>0</v>
      </c>
      <c r="AI13" s="78">
        <f t="shared" si="17"/>
        <v>0</v>
      </c>
      <c r="AJ13" s="79">
        <f t="shared" si="18"/>
        <v>0</v>
      </c>
      <c r="AK13" s="77">
        <f t="shared" si="19"/>
        <v>0</v>
      </c>
      <c r="AL13" s="79"/>
      <c r="AM13" s="78">
        <f t="shared" si="140"/>
        <v>0</v>
      </c>
      <c r="AN13" s="78">
        <f t="shared" si="20"/>
        <v>0</v>
      </c>
      <c r="AO13" s="78">
        <f t="shared" si="21"/>
        <v>0</v>
      </c>
      <c r="AP13" s="79">
        <f t="shared" si="22"/>
        <v>0</v>
      </c>
      <c r="AQ13" s="77">
        <f t="shared" si="23"/>
        <v>0</v>
      </c>
      <c r="AR13" s="78"/>
      <c r="AS13" s="78">
        <f t="shared" si="141"/>
        <v>0</v>
      </c>
      <c r="AT13" s="78">
        <f t="shared" si="24"/>
        <v>0</v>
      </c>
      <c r="AU13" s="78">
        <f t="shared" si="25"/>
        <v>0</v>
      </c>
      <c r="AV13" s="79">
        <f t="shared" si="26"/>
        <v>0</v>
      </c>
      <c r="AW13" s="77">
        <f t="shared" si="27"/>
        <v>0</v>
      </c>
      <c r="AX13" s="79"/>
      <c r="AY13" s="78">
        <f t="shared" si="142"/>
        <v>0</v>
      </c>
      <c r="AZ13" s="78">
        <f t="shared" si="28"/>
        <v>0</v>
      </c>
      <c r="BA13" s="78">
        <f t="shared" si="29"/>
        <v>0</v>
      </c>
      <c r="BB13" s="79">
        <f t="shared" si="30"/>
        <v>0</v>
      </c>
      <c r="BC13" s="77">
        <f t="shared" si="31"/>
        <v>0</v>
      </c>
      <c r="BD13" s="79"/>
      <c r="BE13" s="78">
        <f t="shared" si="143"/>
        <v>0</v>
      </c>
      <c r="BF13" s="78">
        <f t="shared" si="32"/>
        <v>0</v>
      </c>
      <c r="BG13" s="78">
        <f t="shared" si="33"/>
        <v>0</v>
      </c>
      <c r="BH13" s="79">
        <f t="shared" si="34"/>
        <v>0</v>
      </c>
      <c r="BI13" s="77">
        <f t="shared" si="35"/>
        <v>0</v>
      </c>
      <c r="BJ13" s="79"/>
      <c r="BK13" s="78">
        <f t="shared" si="144"/>
        <v>0</v>
      </c>
      <c r="BL13" s="78">
        <f t="shared" si="36"/>
        <v>0</v>
      </c>
      <c r="BM13" s="78">
        <f t="shared" si="37"/>
        <v>0</v>
      </c>
      <c r="BN13" s="79">
        <f t="shared" si="38"/>
        <v>0</v>
      </c>
      <c r="BO13" s="77">
        <f t="shared" si="39"/>
        <v>0</v>
      </c>
      <c r="BP13" s="79"/>
      <c r="BQ13" s="78">
        <f t="shared" si="145"/>
        <v>0</v>
      </c>
      <c r="BR13" s="78">
        <f t="shared" si="40"/>
        <v>0</v>
      </c>
      <c r="BS13" s="78">
        <f t="shared" si="41"/>
        <v>0</v>
      </c>
      <c r="BT13" s="79">
        <f t="shared" si="42"/>
        <v>0</v>
      </c>
      <c r="BU13" s="77">
        <f t="shared" si="43"/>
        <v>0</v>
      </c>
      <c r="BV13" s="79"/>
      <c r="BW13" s="78">
        <f t="shared" si="146"/>
        <v>0</v>
      </c>
      <c r="BX13" s="78">
        <f t="shared" si="44"/>
        <v>0</v>
      </c>
      <c r="BY13" s="78">
        <f t="shared" si="45"/>
        <v>0</v>
      </c>
      <c r="BZ13" s="79">
        <f t="shared" si="46"/>
        <v>0</v>
      </c>
      <c r="CA13" s="77">
        <f t="shared" si="47"/>
        <v>0</v>
      </c>
      <c r="CB13" s="78"/>
      <c r="CC13" s="78">
        <f t="shared" si="147"/>
        <v>0</v>
      </c>
      <c r="CD13" s="78">
        <f t="shared" si="48"/>
        <v>0</v>
      </c>
      <c r="CE13" s="78">
        <f t="shared" si="49"/>
        <v>0</v>
      </c>
      <c r="CF13" s="79">
        <f t="shared" si="50"/>
        <v>0</v>
      </c>
      <c r="CG13" s="77">
        <f t="shared" si="51"/>
        <v>0</v>
      </c>
      <c r="CH13" s="79"/>
      <c r="CI13" s="78">
        <f t="shared" si="148"/>
        <v>0</v>
      </c>
      <c r="CJ13" s="78">
        <f t="shared" si="52"/>
        <v>0</v>
      </c>
      <c r="CK13" s="78">
        <f t="shared" si="53"/>
        <v>0</v>
      </c>
      <c r="CL13" s="79">
        <f t="shared" si="54"/>
        <v>0</v>
      </c>
      <c r="CM13" s="77">
        <f t="shared" si="55"/>
        <v>0</v>
      </c>
      <c r="CN13" s="79"/>
      <c r="CO13" s="78">
        <f t="shared" si="149"/>
        <v>0</v>
      </c>
      <c r="CP13" s="78">
        <f t="shared" si="56"/>
        <v>0</v>
      </c>
      <c r="CQ13" s="78">
        <f t="shared" si="57"/>
        <v>0</v>
      </c>
      <c r="CR13" s="79">
        <f t="shared" si="58"/>
        <v>0</v>
      </c>
      <c r="CS13" s="77">
        <f t="shared" si="59"/>
        <v>0</v>
      </c>
      <c r="CT13" s="79"/>
      <c r="CU13" s="78">
        <f t="shared" si="150"/>
        <v>0</v>
      </c>
      <c r="CV13" s="78">
        <f t="shared" si="60"/>
        <v>0</v>
      </c>
      <c r="CW13" s="78">
        <f t="shared" si="61"/>
        <v>0</v>
      </c>
      <c r="CX13" s="79">
        <f t="shared" si="62"/>
        <v>0</v>
      </c>
      <c r="CY13" s="77">
        <f t="shared" si="63"/>
        <v>0</v>
      </c>
      <c r="CZ13" s="79"/>
      <c r="DA13" s="78">
        <f t="shared" si="151"/>
        <v>0</v>
      </c>
      <c r="DB13" s="78">
        <f t="shared" si="64"/>
        <v>0</v>
      </c>
      <c r="DC13" s="78">
        <f t="shared" si="65"/>
        <v>0</v>
      </c>
      <c r="DD13" s="79">
        <f t="shared" si="66"/>
        <v>0</v>
      </c>
      <c r="DE13" s="77">
        <f t="shared" si="67"/>
        <v>0</v>
      </c>
      <c r="DF13" s="79"/>
      <c r="DG13" s="78">
        <f t="shared" si="152"/>
        <v>0</v>
      </c>
      <c r="DH13" s="78">
        <f t="shared" si="68"/>
        <v>0</v>
      </c>
      <c r="DI13" s="78">
        <f t="shared" si="69"/>
        <v>0</v>
      </c>
      <c r="DJ13" s="79">
        <f t="shared" si="70"/>
        <v>0</v>
      </c>
      <c r="DK13" s="77">
        <f t="shared" si="71"/>
        <v>0</v>
      </c>
      <c r="DL13" s="79"/>
      <c r="DM13" s="78">
        <f t="shared" si="153"/>
        <v>0</v>
      </c>
      <c r="DN13" s="78">
        <f t="shared" si="72"/>
        <v>0</v>
      </c>
      <c r="DO13" s="78">
        <f t="shared" si="73"/>
        <v>0</v>
      </c>
      <c r="DP13" s="79">
        <f t="shared" si="74"/>
        <v>0</v>
      </c>
      <c r="DQ13" s="77">
        <f t="shared" si="75"/>
        <v>0</v>
      </c>
      <c r="DR13" s="79"/>
      <c r="DS13" s="78">
        <f t="shared" si="154"/>
        <v>0</v>
      </c>
      <c r="DT13" s="78">
        <f t="shared" si="76"/>
        <v>0</v>
      </c>
      <c r="DU13" s="78">
        <f t="shared" si="77"/>
        <v>0</v>
      </c>
      <c r="DV13" s="79">
        <f t="shared" si="78"/>
        <v>0</v>
      </c>
      <c r="DW13" s="77">
        <f t="shared" si="79"/>
        <v>0</v>
      </c>
      <c r="DX13" s="79"/>
      <c r="DY13" s="78">
        <f t="shared" si="155"/>
        <v>0</v>
      </c>
      <c r="DZ13" s="78">
        <f t="shared" si="80"/>
        <v>0</v>
      </c>
      <c r="EA13" s="78">
        <f t="shared" si="81"/>
        <v>0</v>
      </c>
      <c r="EB13" s="79">
        <f t="shared" si="82"/>
        <v>0</v>
      </c>
      <c r="EC13" s="77">
        <f t="shared" si="83"/>
        <v>0</v>
      </c>
      <c r="ED13" s="79"/>
      <c r="EE13" s="78">
        <f t="shared" si="156"/>
        <v>0</v>
      </c>
      <c r="EF13" s="78">
        <f t="shared" si="84"/>
        <v>0</v>
      </c>
      <c r="EG13" s="78">
        <f t="shared" si="85"/>
        <v>0</v>
      </c>
      <c r="EH13" s="79">
        <f t="shared" si="86"/>
        <v>0</v>
      </c>
      <c r="EI13" s="77">
        <f t="shared" si="87"/>
        <v>0</v>
      </c>
      <c r="EJ13" s="79"/>
      <c r="EK13" s="78">
        <f t="shared" si="157"/>
        <v>0</v>
      </c>
      <c r="EL13" s="78">
        <f t="shared" si="88"/>
        <v>0</v>
      </c>
      <c r="EM13" s="78">
        <f t="shared" si="89"/>
        <v>0</v>
      </c>
      <c r="EN13" s="79">
        <f t="shared" si="90"/>
        <v>0</v>
      </c>
      <c r="EO13" s="77">
        <f t="shared" si="91"/>
        <v>0</v>
      </c>
      <c r="EP13" s="79"/>
      <c r="EQ13" s="78">
        <f t="shared" si="158"/>
        <v>0</v>
      </c>
      <c r="ER13" s="78">
        <f t="shared" si="92"/>
        <v>0</v>
      </c>
      <c r="ES13" s="78">
        <f t="shared" si="93"/>
        <v>0</v>
      </c>
      <c r="ET13" s="79">
        <f t="shared" si="94"/>
        <v>0</v>
      </c>
      <c r="EU13" s="77">
        <f t="shared" si="95"/>
        <v>0</v>
      </c>
      <c r="EV13" s="79"/>
      <c r="EW13" s="78">
        <f t="shared" si="159"/>
        <v>0</v>
      </c>
      <c r="EX13" s="78">
        <f t="shared" si="96"/>
        <v>0</v>
      </c>
      <c r="EY13" s="78">
        <f t="shared" si="97"/>
        <v>0</v>
      </c>
      <c r="EZ13" s="79">
        <f t="shared" si="98"/>
        <v>0</v>
      </c>
      <c r="FA13" s="77">
        <f t="shared" si="99"/>
        <v>0</v>
      </c>
      <c r="FB13" s="79"/>
      <c r="FC13" s="78">
        <f t="shared" si="160"/>
        <v>0</v>
      </c>
      <c r="FD13" s="78">
        <f t="shared" si="100"/>
        <v>0</v>
      </c>
      <c r="FE13" s="78">
        <f t="shared" si="101"/>
        <v>0</v>
      </c>
      <c r="FF13" s="79">
        <f t="shared" si="102"/>
        <v>0</v>
      </c>
      <c r="FG13" s="77">
        <f t="shared" si="103"/>
        <v>0</v>
      </c>
      <c r="FH13" s="79"/>
      <c r="FI13" s="78">
        <f t="shared" si="161"/>
        <v>0</v>
      </c>
      <c r="FJ13" s="78">
        <f t="shared" si="104"/>
        <v>0</v>
      </c>
      <c r="FK13" s="78">
        <f t="shared" si="105"/>
        <v>0</v>
      </c>
      <c r="FL13" s="79">
        <f t="shared" si="106"/>
        <v>0</v>
      </c>
      <c r="FM13" s="77">
        <f t="shared" si="107"/>
        <v>0</v>
      </c>
      <c r="FN13" s="79"/>
      <c r="FO13" s="78">
        <f t="shared" si="162"/>
        <v>0</v>
      </c>
      <c r="FP13" s="78">
        <f t="shared" si="108"/>
        <v>0</v>
      </c>
      <c r="FQ13" s="78">
        <f t="shared" si="109"/>
        <v>0</v>
      </c>
      <c r="FR13" s="79">
        <f t="shared" si="110"/>
        <v>0</v>
      </c>
      <c r="FS13" s="77">
        <f t="shared" si="111"/>
        <v>0</v>
      </c>
      <c r="FT13" s="79"/>
      <c r="FU13" s="78">
        <f t="shared" si="163"/>
        <v>0</v>
      </c>
      <c r="FV13" s="78">
        <f t="shared" si="112"/>
        <v>0</v>
      </c>
      <c r="FW13" s="78">
        <f t="shared" si="113"/>
        <v>0</v>
      </c>
      <c r="FX13" s="79">
        <f t="shared" si="114"/>
        <v>0</v>
      </c>
      <c r="FY13" s="77">
        <f t="shared" si="115"/>
        <v>0</v>
      </c>
      <c r="FZ13" s="79"/>
      <c r="GA13" s="78">
        <f t="shared" si="164"/>
        <v>0</v>
      </c>
      <c r="GB13" s="78">
        <f t="shared" si="116"/>
        <v>0</v>
      </c>
      <c r="GC13" s="78">
        <f t="shared" si="117"/>
        <v>0</v>
      </c>
      <c r="GD13" s="79">
        <f t="shared" si="118"/>
        <v>0</v>
      </c>
      <c r="GE13" s="77">
        <f t="shared" si="119"/>
        <v>0</v>
      </c>
      <c r="GF13" s="79"/>
      <c r="GG13" s="78">
        <f t="shared" si="165"/>
        <v>0</v>
      </c>
      <c r="GH13" s="78">
        <f t="shared" si="120"/>
        <v>0</v>
      </c>
      <c r="GI13" s="78">
        <f t="shared" si="121"/>
        <v>0</v>
      </c>
      <c r="GJ13" s="79">
        <f t="shared" si="122"/>
        <v>0</v>
      </c>
      <c r="GK13" s="77">
        <f t="shared" si="123"/>
        <v>0</v>
      </c>
      <c r="GL13" s="79"/>
      <c r="GM13" s="78">
        <f t="shared" si="166"/>
        <v>0</v>
      </c>
      <c r="GN13" s="78">
        <f t="shared" si="124"/>
        <v>0</v>
      </c>
      <c r="GO13" s="78">
        <f t="shared" si="125"/>
        <v>0</v>
      </c>
      <c r="GP13" s="79">
        <f t="shared" si="126"/>
        <v>0</v>
      </c>
      <c r="GQ13" s="77">
        <f t="shared" si="127"/>
        <v>0</v>
      </c>
      <c r="GR13" s="79"/>
      <c r="GS13" s="78">
        <f t="shared" si="167"/>
        <v>0</v>
      </c>
      <c r="GT13" s="78">
        <f t="shared" si="128"/>
        <v>0</v>
      </c>
      <c r="GU13" s="78">
        <f t="shared" si="129"/>
        <v>0</v>
      </c>
      <c r="GV13" s="79">
        <f t="shared" si="130"/>
        <v>0</v>
      </c>
      <c r="GW13" s="77">
        <f t="shared" si="131"/>
        <v>0</v>
      </c>
      <c r="GX13" s="79"/>
      <c r="GY13" s="78">
        <f t="shared" si="168"/>
        <v>0</v>
      </c>
      <c r="GZ13" s="78">
        <f t="shared" si="132"/>
        <v>0</v>
      </c>
      <c r="HA13" s="78">
        <f t="shared" si="133"/>
        <v>0</v>
      </c>
      <c r="HB13" s="79">
        <f t="shared" si="134"/>
        <v>0</v>
      </c>
      <c r="HC13" s="77">
        <f t="shared" si="135"/>
        <v>0</v>
      </c>
      <c r="HD13" s="79"/>
      <c r="HE13" s="79"/>
      <c r="HF13" s="79"/>
      <c r="HG13" s="79"/>
      <c r="HH13" s="79"/>
      <c r="HI13" s="79"/>
    </row>
    <row r="14" spans="1:217" s="52" customFormat="1" ht="12.75">
      <c r="A14" s="51">
        <v>45200</v>
      </c>
      <c r="C14" s="36"/>
      <c r="D14" s="36">
        <v>0</v>
      </c>
      <c r="E14" s="77">
        <f t="shared" si="0"/>
        <v>0</v>
      </c>
      <c r="F14" s="77"/>
      <c r="G14" s="77"/>
      <c r="H14" s="79"/>
      <c r="I14" s="79"/>
      <c r="J14" s="79">
        <f t="shared" si="1"/>
        <v>0</v>
      </c>
      <c r="K14" s="79">
        <f t="shared" si="2"/>
        <v>0</v>
      </c>
      <c r="L14" s="79">
        <f t="shared" si="3"/>
        <v>0</v>
      </c>
      <c r="M14" s="79">
        <f t="shared" si="3"/>
        <v>0</v>
      </c>
      <c r="N14" s="79"/>
      <c r="O14" s="78"/>
      <c r="P14" s="78">
        <f t="shared" si="4"/>
        <v>0</v>
      </c>
      <c r="Q14" s="79">
        <f t="shared" si="5"/>
        <v>0</v>
      </c>
      <c r="R14" s="79">
        <f t="shared" si="6"/>
        <v>0</v>
      </c>
      <c r="S14" s="77">
        <f t="shared" si="7"/>
        <v>0</v>
      </c>
      <c r="T14" s="79"/>
      <c r="U14" s="78"/>
      <c r="V14" s="78">
        <f t="shared" si="8"/>
        <v>0</v>
      </c>
      <c r="W14" s="78">
        <f t="shared" si="9"/>
        <v>0</v>
      </c>
      <c r="X14" s="79">
        <f t="shared" si="10"/>
        <v>0</v>
      </c>
      <c r="Y14" s="77">
        <f t="shared" si="11"/>
        <v>0</v>
      </c>
      <c r="Z14" s="79"/>
      <c r="AA14" s="79"/>
      <c r="AB14" s="78">
        <f t="shared" si="12"/>
        <v>0</v>
      </c>
      <c r="AC14" s="78">
        <f t="shared" si="13"/>
        <v>0</v>
      </c>
      <c r="AD14" s="79">
        <f t="shared" si="14"/>
        <v>0</v>
      </c>
      <c r="AE14" s="77">
        <f t="shared" si="15"/>
        <v>0</v>
      </c>
      <c r="AF14" s="79"/>
      <c r="AG14" s="78"/>
      <c r="AH14" s="78">
        <f t="shared" si="16"/>
        <v>0</v>
      </c>
      <c r="AI14" s="78">
        <f t="shared" si="17"/>
        <v>0</v>
      </c>
      <c r="AJ14" s="79">
        <f t="shared" si="18"/>
        <v>0</v>
      </c>
      <c r="AK14" s="77">
        <f t="shared" si="19"/>
        <v>0</v>
      </c>
      <c r="AL14" s="79"/>
      <c r="AM14" s="78"/>
      <c r="AN14" s="78">
        <f t="shared" si="20"/>
        <v>0</v>
      </c>
      <c r="AO14" s="78">
        <f t="shared" si="21"/>
        <v>0</v>
      </c>
      <c r="AP14" s="79">
        <f t="shared" si="22"/>
        <v>0</v>
      </c>
      <c r="AQ14" s="77">
        <f t="shared" si="23"/>
        <v>0</v>
      </c>
      <c r="AR14" s="78"/>
      <c r="AS14" s="78"/>
      <c r="AT14" s="78">
        <f t="shared" si="24"/>
        <v>0</v>
      </c>
      <c r="AU14" s="78">
        <f t="shared" si="25"/>
        <v>0</v>
      </c>
      <c r="AV14" s="79">
        <f t="shared" si="26"/>
        <v>0</v>
      </c>
      <c r="AW14" s="77">
        <f t="shared" si="27"/>
        <v>0</v>
      </c>
      <c r="AX14" s="79"/>
      <c r="AY14" s="78"/>
      <c r="AZ14" s="78">
        <f t="shared" si="28"/>
        <v>0</v>
      </c>
      <c r="BA14" s="78">
        <f t="shared" si="29"/>
        <v>0</v>
      </c>
      <c r="BB14" s="79">
        <f t="shared" si="30"/>
        <v>0</v>
      </c>
      <c r="BC14" s="77">
        <f t="shared" si="31"/>
        <v>0</v>
      </c>
      <c r="BD14" s="79"/>
      <c r="BE14" s="78"/>
      <c r="BF14" s="78">
        <f t="shared" si="32"/>
        <v>0</v>
      </c>
      <c r="BG14" s="78">
        <f t="shared" si="33"/>
        <v>0</v>
      </c>
      <c r="BH14" s="79">
        <f t="shared" si="34"/>
        <v>0</v>
      </c>
      <c r="BI14" s="77">
        <f t="shared" si="35"/>
        <v>0</v>
      </c>
      <c r="BJ14" s="79"/>
      <c r="BK14" s="78"/>
      <c r="BL14" s="78">
        <f t="shared" si="36"/>
        <v>0</v>
      </c>
      <c r="BM14" s="78">
        <f t="shared" si="37"/>
        <v>0</v>
      </c>
      <c r="BN14" s="79">
        <f t="shared" si="38"/>
        <v>0</v>
      </c>
      <c r="BO14" s="77">
        <f t="shared" si="39"/>
        <v>0</v>
      </c>
      <c r="BP14" s="79"/>
      <c r="BQ14" s="78"/>
      <c r="BR14" s="78">
        <f t="shared" si="40"/>
        <v>0</v>
      </c>
      <c r="BS14" s="78">
        <f t="shared" si="41"/>
        <v>0</v>
      </c>
      <c r="BT14" s="79">
        <f t="shared" si="42"/>
        <v>0</v>
      </c>
      <c r="BU14" s="77">
        <f t="shared" si="43"/>
        <v>0</v>
      </c>
      <c r="BV14" s="79"/>
      <c r="BW14" s="78"/>
      <c r="BX14" s="78">
        <f t="shared" si="44"/>
        <v>0</v>
      </c>
      <c r="BY14" s="78">
        <f t="shared" si="45"/>
        <v>0</v>
      </c>
      <c r="BZ14" s="79">
        <f t="shared" si="46"/>
        <v>0</v>
      </c>
      <c r="CA14" s="77">
        <f t="shared" si="47"/>
        <v>0</v>
      </c>
      <c r="CB14" s="78"/>
      <c r="CC14" s="78"/>
      <c r="CD14" s="78">
        <f t="shared" si="48"/>
        <v>0</v>
      </c>
      <c r="CE14" s="78">
        <f t="shared" si="49"/>
        <v>0</v>
      </c>
      <c r="CF14" s="79">
        <f t="shared" si="50"/>
        <v>0</v>
      </c>
      <c r="CG14" s="77">
        <f t="shared" si="51"/>
        <v>0</v>
      </c>
      <c r="CH14" s="79"/>
      <c r="CI14" s="78"/>
      <c r="CJ14" s="78">
        <f t="shared" si="52"/>
        <v>0</v>
      </c>
      <c r="CK14" s="78">
        <f t="shared" si="53"/>
        <v>0</v>
      </c>
      <c r="CL14" s="79">
        <f t="shared" si="54"/>
        <v>0</v>
      </c>
      <c r="CM14" s="77">
        <f t="shared" si="55"/>
        <v>0</v>
      </c>
      <c r="CN14" s="79"/>
      <c r="CO14" s="78"/>
      <c r="CP14" s="78">
        <f t="shared" si="56"/>
        <v>0</v>
      </c>
      <c r="CQ14" s="78">
        <f t="shared" si="57"/>
        <v>0</v>
      </c>
      <c r="CR14" s="79">
        <f t="shared" si="58"/>
        <v>0</v>
      </c>
      <c r="CS14" s="77">
        <f t="shared" si="59"/>
        <v>0</v>
      </c>
      <c r="CT14" s="79"/>
      <c r="CU14" s="78"/>
      <c r="CV14" s="78">
        <f t="shared" si="60"/>
        <v>0</v>
      </c>
      <c r="CW14" s="78">
        <f t="shared" si="61"/>
        <v>0</v>
      </c>
      <c r="CX14" s="79">
        <f t="shared" si="62"/>
        <v>0</v>
      </c>
      <c r="CY14" s="77">
        <f t="shared" si="63"/>
        <v>0</v>
      </c>
      <c r="CZ14" s="79"/>
      <c r="DA14" s="78"/>
      <c r="DB14" s="78">
        <f t="shared" si="64"/>
        <v>0</v>
      </c>
      <c r="DC14" s="78">
        <f t="shared" si="65"/>
        <v>0</v>
      </c>
      <c r="DD14" s="79">
        <f t="shared" si="66"/>
        <v>0</v>
      </c>
      <c r="DE14" s="77">
        <f t="shared" si="67"/>
        <v>0</v>
      </c>
      <c r="DF14" s="79"/>
      <c r="DG14" s="78"/>
      <c r="DH14" s="78">
        <f t="shared" si="68"/>
        <v>0</v>
      </c>
      <c r="DI14" s="78">
        <f t="shared" si="69"/>
        <v>0</v>
      </c>
      <c r="DJ14" s="79">
        <f t="shared" si="70"/>
        <v>0</v>
      </c>
      <c r="DK14" s="77">
        <f t="shared" si="71"/>
        <v>0</v>
      </c>
      <c r="DL14" s="79"/>
      <c r="DM14" s="78"/>
      <c r="DN14" s="78">
        <f t="shared" si="72"/>
        <v>0</v>
      </c>
      <c r="DO14" s="78">
        <f t="shared" si="73"/>
        <v>0</v>
      </c>
      <c r="DP14" s="79">
        <f t="shared" si="74"/>
        <v>0</v>
      </c>
      <c r="DQ14" s="77">
        <f t="shared" si="75"/>
        <v>0</v>
      </c>
      <c r="DR14" s="79"/>
      <c r="DS14" s="78"/>
      <c r="DT14" s="78">
        <f t="shared" si="76"/>
        <v>0</v>
      </c>
      <c r="DU14" s="78">
        <f t="shared" si="77"/>
        <v>0</v>
      </c>
      <c r="DV14" s="79">
        <f t="shared" si="78"/>
        <v>0</v>
      </c>
      <c r="DW14" s="77">
        <f t="shared" si="79"/>
        <v>0</v>
      </c>
      <c r="DX14" s="79"/>
      <c r="DY14" s="78"/>
      <c r="DZ14" s="78">
        <f t="shared" si="80"/>
        <v>0</v>
      </c>
      <c r="EA14" s="78">
        <f t="shared" si="81"/>
        <v>0</v>
      </c>
      <c r="EB14" s="79">
        <f t="shared" si="82"/>
        <v>0</v>
      </c>
      <c r="EC14" s="77">
        <f t="shared" si="83"/>
        <v>0</v>
      </c>
      <c r="ED14" s="79"/>
      <c r="EE14" s="78"/>
      <c r="EF14" s="78">
        <f t="shared" si="84"/>
        <v>0</v>
      </c>
      <c r="EG14" s="78">
        <f t="shared" si="85"/>
        <v>0</v>
      </c>
      <c r="EH14" s="79">
        <f t="shared" si="86"/>
        <v>0</v>
      </c>
      <c r="EI14" s="77">
        <f t="shared" si="87"/>
        <v>0</v>
      </c>
      <c r="EJ14" s="79"/>
      <c r="EK14" s="78"/>
      <c r="EL14" s="78">
        <f t="shared" si="88"/>
        <v>0</v>
      </c>
      <c r="EM14" s="78">
        <f t="shared" si="89"/>
        <v>0</v>
      </c>
      <c r="EN14" s="79">
        <f t="shared" si="90"/>
        <v>0</v>
      </c>
      <c r="EO14" s="77">
        <f t="shared" si="91"/>
        <v>0</v>
      </c>
      <c r="EP14" s="79"/>
      <c r="EQ14" s="78"/>
      <c r="ER14" s="78">
        <f t="shared" si="92"/>
        <v>0</v>
      </c>
      <c r="ES14" s="78">
        <f t="shared" si="93"/>
        <v>0</v>
      </c>
      <c r="ET14" s="79">
        <f t="shared" si="94"/>
        <v>0</v>
      </c>
      <c r="EU14" s="77">
        <f t="shared" si="95"/>
        <v>0</v>
      </c>
      <c r="EV14" s="79"/>
      <c r="EW14" s="78"/>
      <c r="EX14" s="78">
        <f t="shared" si="96"/>
        <v>0</v>
      </c>
      <c r="EY14" s="78">
        <f t="shared" si="97"/>
        <v>0</v>
      </c>
      <c r="EZ14" s="79">
        <f t="shared" si="98"/>
        <v>0</v>
      </c>
      <c r="FA14" s="77">
        <f t="shared" si="99"/>
        <v>0</v>
      </c>
      <c r="FB14" s="79"/>
      <c r="FC14" s="78"/>
      <c r="FD14" s="78">
        <f t="shared" si="100"/>
        <v>0</v>
      </c>
      <c r="FE14" s="78">
        <f t="shared" si="101"/>
        <v>0</v>
      </c>
      <c r="FF14" s="79">
        <f t="shared" si="102"/>
        <v>0</v>
      </c>
      <c r="FG14" s="77">
        <f t="shared" si="103"/>
        <v>0</v>
      </c>
      <c r="FH14" s="79"/>
      <c r="FI14" s="78"/>
      <c r="FJ14" s="78">
        <f t="shared" si="104"/>
        <v>0</v>
      </c>
      <c r="FK14" s="78">
        <f t="shared" si="105"/>
        <v>0</v>
      </c>
      <c r="FL14" s="79">
        <f t="shared" si="106"/>
        <v>0</v>
      </c>
      <c r="FM14" s="77">
        <f t="shared" si="107"/>
        <v>0</v>
      </c>
      <c r="FN14" s="79"/>
      <c r="FO14" s="78"/>
      <c r="FP14" s="78">
        <f t="shared" si="108"/>
        <v>0</v>
      </c>
      <c r="FQ14" s="78">
        <f t="shared" si="109"/>
        <v>0</v>
      </c>
      <c r="FR14" s="79">
        <f t="shared" si="110"/>
        <v>0</v>
      </c>
      <c r="FS14" s="77">
        <f t="shared" si="111"/>
        <v>0</v>
      </c>
      <c r="FT14" s="79"/>
      <c r="FU14" s="78"/>
      <c r="FV14" s="78">
        <f t="shared" si="112"/>
        <v>0</v>
      </c>
      <c r="FW14" s="78">
        <f t="shared" si="113"/>
        <v>0</v>
      </c>
      <c r="FX14" s="79">
        <f t="shared" si="114"/>
        <v>0</v>
      </c>
      <c r="FY14" s="77">
        <f t="shared" si="115"/>
        <v>0</v>
      </c>
      <c r="FZ14" s="79"/>
      <c r="GA14" s="78"/>
      <c r="GB14" s="78">
        <f t="shared" si="116"/>
        <v>0</v>
      </c>
      <c r="GC14" s="78">
        <f t="shared" si="117"/>
        <v>0</v>
      </c>
      <c r="GD14" s="79">
        <f t="shared" si="118"/>
        <v>0</v>
      </c>
      <c r="GE14" s="77">
        <f t="shared" si="119"/>
        <v>0</v>
      </c>
      <c r="GF14" s="79"/>
      <c r="GG14" s="78"/>
      <c r="GH14" s="78">
        <f t="shared" si="120"/>
        <v>0</v>
      </c>
      <c r="GI14" s="78">
        <f t="shared" si="121"/>
        <v>0</v>
      </c>
      <c r="GJ14" s="79">
        <f t="shared" si="122"/>
        <v>0</v>
      </c>
      <c r="GK14" s="77">
        <f t="shared" si="123"/>
        <v>0</v>
      </c>
      <c r="GL14" s="79"/>
      <c r="GM14" s="78"/>
      <c r="GN14" s="78">
        <f t="shared" si="124"/>
        <v>0</v>
      </c>
      <c r="GO14" s="78">
        <f t="shared" si="125"/>
        <v>0</v>
      </c>
      <c r="GP14" s="79">
        <f t="shared" si="126"/>
        <v>0</v>
      </c>
      <c r="GQ14" s="77">
        <f t="shared" si="127"/>
        <v>0</v>
      </c>
      <c r="GR14" s="79"/>
      <c r="GS14" s="78"/>
      <c r="GT14" s="78">
        <f t="shared" si="128"/>
        <v>0</v>
      </c>
      <c r="GU14" s="78">
        <f t="shared" si="129"/>
        <v>0</v>
      </c>
      <c r="GV14" s="79">
        <f t="shared" si="130"/>
        <v>0</v>
      </c>
      <c r="GW14" s="77">
        <f t="shared" si="131"/>
        <v>0</v>
      </c>
      <c r="GX14" s="79"/>
      <c r="GY14" s="78"/>
      <c r="GZ14" s="78">
        <f t="shared" si="132"/>
        <v>0</v>
      </c>
      <c r="HA14" s="78">
        <f t="shared" si="133"/>
        <v>0</v>
      </c>
      <c r="HB14" s="79">
        <f t="shared" si="134"/>
        <v>0</v>
      </c>
      <c r="HC14" s="77">
        <f t="shared" si="135"/>
        <v>0</v>
      </c>
      <c r="HD14" s="79"/>
      <c r="HE14" s="79"/>
      <c r="HF14" s="79"/>
      <c r="HG14" s="79"/>
      <c r="HH14" s="79"/>
      <c r="HI14" s="79"/>
    </row>
    <row r="15" spans="1:217" s="52" customFormat="1" ht="12.75">
      <c r="A15" s="51">
        <v>45383</v>
      </c>
      <c r="C15" s="36">
        <v>0</v>
      </c>
      <c r="D15" s="36">
        <v>0</v>
      </c>
      <c r="E15" s="77">
        <f t="shared" si="0"/>
        <v>0</v>
      </c>
      <c r="F15" s="77"/>
      <c r="G15" s="77"/>
      <c r="H15" s="79"/>
      <c r="I15" s="79">
        <f>O15+U15+AA15+AG15+AM15+AS15+AY15+BE15+BK15+BQ15+BW15+CC15+CI15+CO15+CU15+DA15+DG15+DM15+DS15+DY15+EE15+EK15+EQ15+EW15+FC15+FI15+FO15+FU15+GA15+GG15+GM15+GS15+GY15</f>
        <v>0</v>
      </c>
      <c r="J15" s="79">
        <f t="shared" si="1"/>
        <v>0</v>
      </c>
      <c r="K15" s="79">
        <f t="shared" si="2"/>
        <v>0</v>
      </c>
      <c r="L15" s="79">
        <f t="shared" si="3"/>
        <v>0</v>
      </c>
      <c r="M15" s="79">
        <f t="shared" si="3"/>
        <v>0</v>
      </c>
      <c r="N15" s="79"/>
      <c r="O15" s="78">
        <f t="shared" si="136"/>
        <v>0</v>
      </c>
      <c r="P15" s="78">
        <f t="shared" si="4"/>
        <v>0</v>
      </c>
      <c r="Q15" s="79">
        <f>O15+P15</f>
        <v>0</v>
      </c>
      <c r="R15" s="79">
        <f t="shared" si="6"/>
        <v>0</v>
      </c>
      <c r="S15" s="77">
        <f t="shared" si="7"/>
        <v>0</v>
      </c>
      <c r="T15" s="79"/>
      <c r="U15" s="78">
        <f t="shared" si="137"/>
        <v>0</v>
      </c>
      <c r="V15" s="78">
        <f t="shared" si="8"/>
        <v>0</v>
      </c>
      <c r="W15" s="78">
        <f t="shared" si="9"/>
        <v>0</v>
      </c>
      <c r="X15" s="79">
        <f t="shared" si="10"/>
        <v>0</v>
      </c>
      <c r="Y15" s="77">
        <f t="shared" si="11"/>
        <v>0</v>
      </c>
      <c r="Z15" s="79"/>
      <c r="AA15" s="79">
        <f t="shared" si="138"/>
        <v>0</v>
      </c>
      <c r="AB15" s="78">
        <f t="shared" si="12"/>
        <v>0</v>
      </c>
      <c r="AC15" s="78">
        <f t="shared" si="13"/>
        <v>0</v>
      </c>
      <c r="AD15" s="79">
        <f t="shared" si="14"/>
        <v>0</v>
      </c>
      <c r="AE15" s="77">
        <f t="shared" si="15"/>
        <v>0</v>
      </c>
      <c r="AF15" s="79"/>
      <c r="AG15" s="78">
        <f t="shared" si="139"/>
        <v>0</v>
      </c>
      <c r="AH15" s="78">
        <f t="shared" si="16"/>
        <v>0</v>
      </c>
      <c r="AI15" s="78">
        <f t="shared" si="17"/>
        <v>0</v>
      </c>
      <c r="AJ15" s="79">
        <f t="shared" si="18"/>
        <v>0</v>
      </c>
      <c r="AK15" s="77">
        <f t="shared" si="19"/>
        <v>0</v>
      </c>
      <c r="AL15" s="79"/>
      <c r="AM15" s="78">
        <f t="shared" si="140"/>
        <v>0</v>
      </c>
      <c r="AN15" s="78">
        <f t="shared" si="20"/>
        <v>0</v>
      </c>
      <c r="AO15" s="78">
        <f t="shared" si="21"/>
        <v>0</v>
      </c>
      <c r="AP15" s="79">
        <f t="shared" si="22"/>
        <v>0</v>
      </c>
      <c r="AQ15" s="77">
        <f t="shared" si="23"/>
        <v>0</v>
      </c>
      <c r="AR15" s="78"/>
      <c r="AS15" s="78">
        <f t="shared" si="141"/>
        <v>0</v>
      </c>
      <c r="AT15" s="78">
        <f t="shared" si="24"/>
        <v>0</v>
      </c>
      <c r="AU15" s="78">
        <f t="shared" si="25"/>
        <v>0</v>
      </c>
      <c r="AV15" s="79">
        <f t="shared" si="26"/>
        <v>0</v>
      </c>
      <c r="AW15" s="77">
        <f t="shared" si="27"/>
        <v>0</v>
      </c>
      <c r="AX15" s="79"/>
      <c r="AY15" s="78">
        <f t="shared" si="142"/>
        <v>0</v>
      </c>
      <c r="AZ15" s="78">
        <f t="shared" si="28"/>
        <v>0</v>
      </c>
      <c r="BA15" s="78">
        <f t="shared" si="29"/>
        <v>0</v>
      </c>
      <c r="BB15" s="79">
        <f t="shared" si="30"/>
        <v>0</v>
      </c>
      <c r="BC15" s="77">
        <f t="shared" si="31"/>
        <v>0</v>
      </c>
      <c r="BD15" s="79"/>
      <c r="BE15" s="78">
        <f t="shared" si="143"/>
        <v>0</v>
      </c>
      <c r="BF15" s="78">
        <f t="shared" si="32"/>
        <v>0</v>
      </c>
      <c r="BG15" s="78">
        <f t="shared" si="33"/>
        <v>0</v>
      </c>
      <c r="BH15" s="79">
        <f t="shared" si="34"/>
        <v>0</v>
      </c>
      <c r="BI15" s="77">
        <f t="shared" si="35"/>
        <v>0</v>
      </c>
      <c r="BJ15" s="79"/>
      <c r="BK15" s="78">
        <f t="shared" si="144"/>
        <v>0</v>
      </c>
      <c r="BL15" s="78">
        <f t="shared" si="36"/>
        <v>0</v>
      </c>
      <c r="BM15" s="78">
        <f t="shared" si="37"/>
        <v>0</v>
      </c>
      <c r="BN15" s="79">
        <f t="shared" si="38"/>
        <v>0</v>
      </c>
      <c r="BO15" s="77">
        <f t="shared" si="39"/>
        <v>0</v>
      </c>
      <c r="BP15" s="79"/>
      <c r="BQ15" s="78">
        <f t="shared" si="145"/>
        <v>0</v>
      </c>
      <c r="BR15" s="78">
        <f t="shared" si="40"/>
        <v>0</v>
      </c>
      <c r="BS15" s="78">
        <f t="shared" si="41"/>
        <v>0</v>
      </c>
      <c r="BT15" s="79">
        <f t="shared" si="42"/>
        <v>0</v>
      </c>
      <c r="BU15" s="77">
        <f t="shared" si="43"/>
        <v>0</v>
      </c>
      <c r="BV15" s="79"/>
      <c r="BW15" s="78">
        <f t="shared" si="146"/>
        <v>0</v>
      </c>
      <c r="BX15" s="78">
        <f t="shared" si="44"/>
        <v>0</v>
      </c>
      <c r="BY15" s="78">
        <f t="shared" si="45"/>
        <v>0</v>
      </c>
      <c r="BZ15" s="79">
        <f t="shared" si="46"/>
        <v>0</v>
      </c>
      <c r="CA15" s="77">
        <f t="shared" si="47"/>
        <v>0</v>
      </c>
      <c r="CB15" s="78"/>
      <c r="CC15" s="78">
        <f t="shared" si="147"/>
        <v>0</v>
      </c>
      <c r="CD15" s="78">
        <f t="shared" si="48"/>
        <v>0</v>
      </c>
      <c r="CE15" s="78">
        <f t="shared" si="49"/>
        <v>0</v>
      </c>
      <c r="CF15" s="79">
        <f t="shared" si="50"/>
        <v>0</v>
      </c>
      <c r="CG15" s="77">
        <f t="shared" si="51"/>
        <v>0</v>
      </c>
      <c r="CH15" s="79"/>
      <c r="CI15" s="78">
        <f t="shared" si="148"/>
        <v>0</v>
      </c>
      <c r="CJ15" s="78">
        <f t="shared" si="52"/>
        <v>0</v>
      </c>
      <c r="CK15" s="78">
        <f t="shared" si="53"/>
        <v>0</v>
      </c>
      <c r="CL15" s="79">
        <f t="shared" si="54"/>
        <v>0</v>
      </c>
      <c r="CM15" s="77">
        <f t="shared" si="55"/>
        <v>0</v>
      </c>
      <c r="CN15" s="79"/>
      <c r="CO15" s="78">
        <f t="shared" si="149"/>
        <v>0</v>
      </c>
      <c r="CP15" s="78">
        <f t="shared" si="56"/>
        <v>0</v>
      </c>
      <c r="CQ15" s="78">
        <f t="shared" si="57"/>
        <v>0</v>
      </c>
      <c r="CR15" s="79">
        <f t="shared" si="58"/>
        <v>0</v>
      </c>
      <c r="CS15" s="77">
        <f t="shared" si="59"/>
        <v>0</v>
      </c>
      <c r="CT15" s="79"/>
      <c r="CU15" s="78">
        <f t="shared" si="150"/>
        <v>0</v>
      </c>
      <c r="CV15" s="78">
        <f t="shared" si="60"/>
        <v>0</v>
      </c>
      <c r="CW15" s="78">
        <f t="shared" si="61"/>
        <v>0</v>
      </c>
      <c r="CX15" s="79">
        <f t="shared" si="62"/>
        <v>0</v>
      </c>
      <c r="CY15" s="77">
        <f t="shared" si="63"/>
        <v>0</v>
      </c>
      <c r="CZ15" s="79"/>
      <c r="DA15" s="78">
        <f t="shared" si="151"/>
        <v>0</v>
      </c>
      <c r="DB15" s="78">
        <f t="shared" si="64"/>
        <v>0</v>
      </c>
      <c r="DC15" s="78">
        <f t="shared" si="65"/>
        <v>0</v>
      </c>
      <c r="DD15" s="79">
        <f t="shared" si="66"/>
        <v>0</v>
      </c>
      <c r="DE15" s="77">
        <f t="shared" si="67"/>
        <v>0</v>
      </c>
      <c r="DF15" s="79"/>
      <c r="DG15" s="78">
        <f t="shared" si="152"/>
        <v>0</v>
      </c>
      <c r="DH15" s="78">
        <f t="shared" si="68"/>
        <v>0</v>
      </c>
      <c r="DI15" s="78">
        <f t="shared" si="69"/>
        <v>0</v>
      </c>
      <c r="DJ15" s="79">
        <f t="shared" si="70"/>
        <v>0</v>
      </c>
      <c r="DK15" s="77">
        <f t="shared" si="71"/>
        <v>0</v>
      </c>
      <c r="DL15" s="79"/>
      <c r="DM15" s="78">
        <f t="shared" si="153"/>
        <v>0</v>
      </c>
      <c r="DN15" s="78">
        <f t="shared" si="72"/>
        <v>0</v>
      </c>
      <c r="DO15" s="78">
        <f t="shared" si="73"/>
        <v>0</v>
      </c>
      <c r="DP15" s="79">
        <f t="shared" si="74"/>
        <v>0</v>
      </c>
      <c r="DQ15" s="77">
        <f t="shared" si="75"/>
        <v>0</v>
      </c>
      <c r="DR15" s="79"/>
      <c r="DS15" s="78">
        <f t="shared" si="154"/>
        <v>0</v>
      </c>
      <c r="DT15" s="78">
        <f t="shared" si="76"/>
        <v>0</v>
      </c>
      <c r="DU15" s="78">
        <f t="shared" si="77"/>
        <v>0</v>
      </c>
      <c r="DV15" s="79">
        <f t="shared" si="78"/>
        <v>0</v>
      </c>
      <c r="DW15" s="77">
        <f t="shared" si="79"/>
        <v>0</v>
      </c>
      <c r="DX15" s="79"/>
      <c r="DY15" s="78">
        <f t="shared" si="155"/>
        <v>0</v>
      </c>
      <c r="DZ15" s="78">
        <f t="shared" si="80"/>
        <v>0</v>
      </c>
      <c r="EA15" s="78">
        <f t="shared" si="81"/>
        <v>0</v>
      </c>
      <c r="EB15" s="79">
        <f t="shared" si="82"/>
        <v>0</v>
      </c>
      <c r="EC15" s="77">
        <f t="shared" si="83"/>
        <v>0</v>
      </c>
      <c r="ED15" s="79"/>
      <c r="EE15" s="78">
        <f t="shared" si="156"/>
        <v>0</v>
      </c>
      <c r="EF15" s="78">
        <f t="shared" si="84"/>
        <v>0</v>
      </c>
      <c r="EG15" s="78">
        <f t="shared" si="85"/>
        <v>0</v>
      </c>
      <c r="EH15" s="79">
        <f t="shared" si="86"/>
        <v>0</v>
      </c>
      <c r="EI15" s="77">
        <f t="shared" si="87"/>
        <v>0</v>
      </c>
      <c r="EJ15" s="79"/>
      <c r="EK15" s="78">
        <f t="shared" si="157"/>
        <v>0</v>
      </c>
      <c r="EL15" s="78">
        <f t="shared" si="88"/>
        <v>0</v>
      </c>
      <c r="EM15" s="78">
        <f t="shared" si="89"/>
        <v>0</v>
      </c>
      <c r="EN15" s="79">
        <f t="shared" si="90"/>
        <v>0</v>
      </c>
      <c r="EO15" s="77">
        <f t="shared" si="91"/>
        <v>0</v>
      </c>
      <c r="EP15" s="79"/>
      <c r="EQ15" s="78">
        <f t="shared" si="158"/>
        <v>0</v>
      </c>
      <c r="ER15" s="78">
        <f t="shared" si="92"/>
        <v>0</v>
      </c>
      <c r="ES15" s="78">
        <f t="shared" si="93"/>
        <v>0</v>
      </c>
      <c r="ET15" s="79">
        <f t="shared" si="94"/>
        <v>0</v>
      </c>
      <c r="EU15" s="77">
        <f t="shared" si="95"/>
        <v>0</v>
      </c>
      <c r="EV15" s="79"/>
      <c r="EW15" s="78">
        <f t="shared" si="159"/>
        <v>0</v>
      </c>
      <c r="EX15" s="78">
        <f t="shared" si="96"/>
        <v>0</v>
      </c>
      <c r="EY15" s="78">
        <f t="shared" si="97"/>
        <v>0</v>
      </c>
      <c r="EZ15" s="79">
        <f t="shared" si="98"/>
        <v>0</v>
      </c>
      <c r="FA15" s="77">
        <f t="shared" si="99"/>
        <v>0</v>
      </c>
      <c r="FB15" s="79"/>
      <c r="FC15" s="78">
        <f t="shared" si="160"/>
        <v>0</v>
      </c>
      <c r="FD15" s="78">
        <f t="shared" si="100"/>
        <v>0</v>
      </c>
      <c r="FE15" s="78">
        <f t="shared" si="101"/>
        <v>0</v>
      </c>
      <c r="FF15" s="79">
        <f t="shared" si="102"/>
        <v>0</v>
      </c>
      <c r="FG15" s="77">
        <f t="shared" si="103"/>
        <v>0</v>
      </c>
      <c r="FH15" s="79"/>
      <c r="FI15" s="78">
        <f t="shared" si="161"/>
        <v>0</v>
      </c>
      <c r="FJ15" s="78">
        <f t="shared" si="104"/>
        <v>0</v>
      </c>
      <c r="FK15" s="78">
        <f t="shared" si="105"/>
        <v>0</v>
      </c>
      <c r="FL15" s="79">
        <f t="shared" si="106"/>
        <v>0</v>
      </c>
      <c r="FM15" s="77">
        <f t="shared" si="107"/>
        <v>0</v>
      </c>
      <c r="FN15" s="79"/>
      <c r="FO15" s="78">
        <f t="shared" si="162"/>
        <v>0</v>
      </c>
      <c r="FP15" s="78">
        <f t="shared" si="108"/>
        <v>0</v>
      </c>
      <c r="FQ15" s="78">
        <f t="shared" si="109"/>
        <v>0</v>
      </c>
      <c r="FR15" s="79">
        <f t="shared" si="110"/>
        <v>0</v>
      </c>
      <c r="FS15" s="77">
        <f t="shared" si="111"/>
        <v>0</v>
      </c>
      <c r="FT15" s="79"/>
      <c r="FU15" s="78">
        <f t="shared" si="163"/>
        <v>0</v>
      </c>
      <c r="FV15" s="78">
        <f t="shared" si="112"/>
        <v>0</v>
      </c>
      <c r="FW15" s="78">
        <f t="shared" si="113"/>
        <v>0</v>
      </c>
      <c r="FX15" s="79">
        <f t="shared" si="114"/>
        <v>0</v>
      </c>
      <c r="FY15" s="77">
        <f t="shared" si="115"/>
        <v>0</v>
      </c>
      <c r="FZ15" s="79"/>
      <c r="GA15" s="78">
        <f t="shared" si="164"/>
        <v>0</v>
      </c>
      <c r="GB15" s="78">
        <f t="shared" si="116"/>
        <v>0</v>
      </c>
      <c r="GC15" s="78">
        <f t="shared" si="117"/>
        <v>0</v>
      </c>
      <c r="GD15" s="79">
        <f t="shared" si="118"/>
        <v>0</v>
      </c>
      <c r="GE15" s="77">
        <f t="shared" si="119"/>
        <v>0</v>
      </c>
      <c r="GF15" s="79"/>
      <c r="GG15" s="78">
        <f t="shared" si="165"/>
        <v>0</v>
      </c>
      <c r="GH15" s="78">
        <f t="shared" si="120"/>
        <v>0</v>
      </c>
      <c r="GI15" s="78">
        <f t="shared" si="121"/>
        <v>0</v>
      </c>
      <c r="GJ15" s="79">
        <f t="shared" si="122"/>
        <v>0</v>
      </c>
      <c r="GK15" s="77">
        <f t="shared" si="123"/>
        <v>0</v>
      </c>
      <c r="GL15" s="79"/>
      <c r="GM15" s="78">
        <f t="shared" si="166"/>
        <v>0</v>
      </c>
      <c r="GN15" s="78">
        <f t="shared" si="124"/>
        <v>0</v>
      </c>
      <c r="GO15" s="78">
        <f t="shared" si="125"/>
        <v>0</v>
      </c>
      <c r="GP15" s="79">
        <f t="shared" si="126"/>
        <v>0</v>
      </c>
      <c r="GQ15" s="77">
        <f t="shared" si="127"/>
        <v>0</v>
      </c>
      <c r="GR15" s="79"/>
      <c r="GS15" s="78">
        <f t="shared" si="167"/>
        <v>0</v>
      </c>
      <c r="GT15" s="78">
        <f t="shared" si="128"/>
        <v>0</v>
      </c>
      <c r="GU15" s="78">
        <f t="shared" si="129"/>
        <v>0</v>
      </c>
      <c r="GV15" s="79">
        <f t="shared" si="130"/>
        <v>0</v>
      </c>
      <c r="GW15" s="77">
        <f t="shared" si="131"/>
        <v>0</v>
      </c>
      <c r="GX15" s="79"/>
      <c r="GY15" s="78">
        <f t="shared" si="168"/>
        <v>0</v>
      </c>
      <c r="GZ15" s="78">
        <f t="shared" si="132"/>
        <v>0</v>
      </c>
      <c r="HA15" s="78">
        <f t="shared" si="133"/>
        <v>0</v>
      </c>
      <c r="HB15" s="79">
        <f t="shared" si="134"/>
        <v>0</v>
      </c>
      <c r="HC15" s="77">
        <f t="shared" si="135"/>
        <v>0</v>
      </c>
      <c r="HD15" s="79"/>
      <c r="HE15" s="79"/>
      <c r="HF15" s="79"/>
      <c r="HG15" s="79"/>
      <c r="HH15" s="79"/>
      <c r="HI15" s="79"/>
    </row>
    <row r="16" spans="3:217" ht="12.75">
      <c r="C16" s="80"/>
      <c r="D16" s="80"/>
      <c r="E16" s="80"/>
      <c r="F16" s="80"/>
      <c r="G16" s="80"/>
      <c r="H16" s="78"/>
      <c r="I16" s="78"/>
      <c r="J16" s="79"/>
      <c r="K16" s="78"/>
      <c r="L16" s="78"/>
      <c r="M16" s="80"/>
      <c r="N16" s="78"/>
      <c r="O16" s="78"/>
      <c r="P16" s="78"/>
      <c r="Q16" s="78"/>
      <c r="R16" s="78"/>
      <c r="S16" s="80"/>
      <c r="T16" s="78"/>
      <c r="U16" s="78"/>
      <c r="V16" s="78"/>
      <c r="W16" s="78"/>
      <c r="X16" s="78"/>
      <c r="Y16" s="80"/>
      <c r="Z16" s="78"/>
      <c r="AA16" s="79"/>
      <c r="AB16" s="78"/>
      <c r="AC16" s="78"/>
      <c r="AD16" s="78"/>
      <c r="AE16" s="80"/>
      <c r="AF16" s="78"/>
      <c r="AG16" s="78"/>
      <c r="AH16" s="78"/>
      <c r="AI16" s="78"/>
      <c r="AJ16" s="78"/>
      <c r="AK16" s="80"/>
      <c r="AL16" s="78"/>
      <c r="AM16" s="78"/>
      <c r="AN16" s="78"/>
      <c r="AO16" s="78"/>
      <c r="AP16" s="78"/>
      <c r="AQ16" s="80"/>
      <c r="AR16" s="78"/>
      <c r="AS16" s="78"/>
      <c r="AT16" s="78"/>
      <c r="AU16" s="78"/>
      <c r="AV16" s="78"/>
      <c r="AW16" s="80"/>
      <c r="AX16" s="78"/>
      <c r="AY16" s="78"/>
      <c r="AZ16" s="78"/>
      <c r="BA16" s="78"/>
      <c r="BB16" s="78"/>
      <c r="BC16" s="80"/>
      <c r="BD16" s="78"/>
      <c r="BE16" s="78"/>
      <c r="BF16" s="78"/>
      <c r="BG16" s="78"/>
      <c r="BH16" s="78"/>
      <c r="BI16" s="80"/>
      <c r="BJ16" s="78"/>
      <c r="BK16" s="78"/>
      <c r="BL16" s="78"/>
      <c r="BM16" s="78"/>
      <c r="BN16" s="78"/>
      <c r="BO16" s="80"/>
      <c r="BP16" s="78"/>
      <c r="BQ16" s="78"/>
      <c r="BR16" s="78"/>
      <c r="BS16" s="78"/>
      <c r="BT16" s="78"/>
      <c r="BU16" s="80"/>
      <c r="BV16" s="78"/>
      <c r="BW16" s="78"/>
      <c r="BX16" s="78"/>
      <c r="BY16" s="78"/>
      <c r="BZ16" s="78"/>
      <c r="CA16" s="80"/>
      <c r="CB16" s="78"/>
      <c r="CC16" s="78"/>
      <c r="CD16" s="78"/>
      <c r="CE16" s="78"/>
      <c r="CF16" s="78"/>
      <c r="CG16" s="80"/>
      <c r="CH16" s="78"/>
      <c r="CI16" s="78"/>
      <c r="CJ16" s="78"/>
      <c r="CK16" s="78"/>
      <c r="CL16" s="78"/>
      <c r="CM16" s="80"/>
      <c r="CN16" s="78"/>
      <c r="CO16" s="78"/>
      <c r="CP16" s="78"/>
      <c r="CQ16" s="78"/>
      <c r="CR16" s="78"/>
      <c r="CS16" s="80"/>
      <c r="CT16" s="78"/>
      <c r="CU16" s="78"/>
      <c r="CV16" s="78"/>
      <c r="CW16" s="78"/>
      <c r="CX16" s="78"/>
      <c r="CY16" s="80"/>
      <c r="CZ16" s="78"/>
      <c r="DA16" s="78"/>
      <c r="DB16" s="78"/>
      <c r="DC16" s="78"/>
      <c r="DD16" s="78"/>
      <c r="DE16" s="80"/>
      <c r="DF16" s="78"/>
      <c r="DG16" s="78"/>
      <c r="DH16" s="78"/>
      <c r="DI16" s="78"/>
      <c r="DJ16" s="78"/>
      <c r="DK16" s="80"/>
      <c r="DL16" s="78"/>
      <c r="DM16" s="78"/>
      <c r="DN16" s="78"/>
      <c r="DO16" s="78"/>
      <c r="DP16" s="78"/>
      <c r="DQ16" s="80"/>
      <c r="DR16" s="78"/>
      <c r="DS16" s="78"/>
      <c r="DT16" s="78"/>
      <c r="DU16" s="78"/>
      <c r="DV16" s="78"/>
      <c r="DW16" s="80"/>
      <c r="DX16" s="78"/>
      <c r="DY16" s="78"/>
      <c r="DZ16" s="78"/>
      <c r="EA16" s="78"/>
      <c r="EB16" s="78"/>
      <c r="EC16" s="80"/>
      <c r="ED16" s="78"/>
      <c r="EE16" s="78"/>
      <c r="EF16" s="78"/>
      <c r="EG16" s="78"/>
      <c r="EH16" s="78"/>
      <c r="EI16" s="80"/>
      <c r="EJ16" s="78"/>
      <c r="EK16" s="78"/>
      <c r="EL16" s="78"/>
      <c r="EM16" s="78"/>
      <c r="EN16" s="78"/>
      <c r="EO16" s="80"/>
      <c r="EP16" s="78"/>
      <c r="EQ16" s="78"/>
      <c r="ER16" s="78"/>
      <c r="ES16" s="78"/>
      <c r="ET16" s="78"/>
      <c r="EU16" s="80"/>
      <c r="EV16" s="78"/>
      <c r="EW16" s="78"/>
      <c r="EX16" s="78"/>
      <c r="EY16" s="78"/>
      <c r="EZ16" s="78"/>
      <c r="FA16" s="80"/>
      <c r="FB16" s="78"/>
      <c r="FC16" s="78"/>
      <c r="FD16" s="78"/>
      <c r="FE16" s="78"/>
      <c r="FF16" s="78"/>
      <c r="FG16" s="80"/>
      <c r="FH16" s="78"/>
      <c r="FI16" s="78"/>
      <c r="FJ16" s="78"/>
      <c r="FK16" s="78"/>
      <c r="FL16" s="78"/>
      <c r="FM16" s="80"/>
      <c r="FN16" s="78"/>
      <c r="FO16" s="78"/>
      <c r="FP16" s="78"/>
      <c r="FQ16" s="78"/>
      <c r="FR16" s="78"/>
      <c r="FS16" s="80"/>
      <c r="FT16" s="78"/>
      <c r="FU16" s="78"/>
      <c r="FV16" s="78"/>
      <c r="FW16" s="78"/>
      <c r="FX16" s="78"/>
      <c r="FY16" s="80"/>
      <c r="FZ16" s="78"/>
      <c r="GA16" s="78"/>
      <c r="GB16" s="78"/>
      <c r="GC16" s="78"/>
      <c r="GD16" s="78"/>
      <c r="GE16" s="80"/>
      <c r="GF16" s="78"/>
      <c r="GG16" s="78"/>
      <c r="GH16" s="78"/>
      <c r="GI16" s="78"/>
      <c r="GJ16" s="78"/>
      <c r="GK16" s="80"/>
      <c r="GL16" s="78"/>
      <c r="GM16" s="78"/>
      <c r="GN16" s="78"/>
      <c r="GO16" s="78"/>
      <c r="GP16" s="78"/>
      <c r="GQ16" s="80"/>
      <c r="GR16" s="78"/>
      <c r="GS16" s="78"/>
      <c r="GT16" s="78"/>
      <c r="GU16" s="78"/>
      <c r="GV16" s="78"/>
      <c r="GW16" s="80"/>
      <c r="GX16" s="78"/>
      <c r="GY16" s="78"/>
      <c r="GZ16" s="78"/>
      <c r="HA16" s="78"/>
      <c r="HB16" s="78"/>
      <c r="HC16" s="80"/>
      <c r="HD16" s="78"/>
      <c r="HE16" s="78"/>
      <c r="HF16" s="78"/>
      <c r="HG16" s="78"/>
      <c r="HH16" s="78"/>
      <c r="HI16" s="78"/>
    </row>
    <row r="17" spans="1:217" ht="13.5" thickBot="1">
      <c r="A17" s="31" t="s">
        <v>4</v>
      </c>
      <c r="C17" s="81">
        <f>SUM(C8:C16)</f>
        <v>5000</v>
      </c>
      <c r="D17" s="81">
        <f>SUM(D8:D16)</f>
        <v>878676</v>
      </c>
      <c r="E17" s="81">
        <f>SUM(E8:E16)</f>
        <v>883676</v>
      </c>
      <c r="F17" s="81">
        <f>SUM(F8:F16)</f>
        <v>187</v>
      </c>
      <c r="G17" s="81">
        <f>SUM(G8:G16)</f>
        <v>9</v>
      </c>
      <c r="H17" s="78"/>
      <c r="I17" s="81">
        <f>SUM(I8:I16)</f>
        <v>2714.1295</v>
      </c>
      <c r="J17" s="81">
        <f>SUM(J8:J16)</f>
        <v>476968.0905084001</v>
      </c>
      <c r="K17" s="81">
        <f>SUM(K8:K16)</f>
        <v>479682.22000840015</v>
      </c>
      <c r="L17" s="81">
        <f>SUM(L8:L16)</f>
        <v>101.5084433</v>
      </c>
      <c r="M17" s="81">
        <f>SUM(M8:M16)</f>
        <v>4.885433100000001</v>
      </c>
      <c r="N17" s="78"/>
      <c r="O17" s="81">
        <f>SUM(O8:O16)</f>
        <v>330.726</v>
      </c>
      <c r="P17" s="81">
        <f>SUM(P8:P16)</f>
        <v>58120.199755199996</v>
      </c>
      <c r="Q17" s="81">
        <f>SUM(Q8:Q16)</f>
        <v>58450.92575519999</v>
      </c>
      <c r="R17" s="81">
        <f>SUM(R8:R16)</f>
        <v>12.3691524</v>
      </c>
      <c r="S17" s="81">
        <f>SUM(S8:S16)</f>
        <v>0.5953068</v>
      </c>
      <c r="T17" s="78"/>
      <c r="U17" s="81">
        <f>SUM(U8:U16)</f>
        <v>5.648000000000001</v>
      </c>
      <c r="V17" s="81">
        <f>SUM(V8:V16)</f>
        <v>992.5524096000001</v>
      </c>
      <c r="W17" s="81">
        <f>SUM(W8:W16)</f>
        <v>998.2004096000002</v>
      </c>
      <c r="X17" s="81">
        <f>SUM(X8:X16)</f>
        <v>0.21123519999999998</v>
      </c>
      <c r="Y17" s="81">
        <f>SUM(Y8:Y16)</f>
        <v>0.010166399999999999</v>
      </c>
      <c r="Z17" s="78"/>
      <c r="AA17" s="81">
        <f>SUM(AA8:AA16)</f>
        <v>25.497</v>
      </c>
      <c r="AB17" s="81">
        <f>SUM(AB8:AB16)</f>
        <v>4480.720394399999</v>
      </c>
      <c r="AC17" s="81">
        <f>SUM(AC8:AC16)</f>
        <v>4506.217394399999</v>
      </c>
      <c r="AD17" s="81">
        <f>SUM(AD8:AD16)</f>
        <v>0.9535878</v>
      </c>
      <c r="AE17" s="81">
        <f>SUM(AE8:AE16)</f>
        <v>0.045894599999999994</v>
      </c>
      <c r="AF17" s="78"/>
      <c r="AG17" s="81">
        <f>SUM(AG8:AG16)</f>
        <v>443.3985</v>
      </c>
      <c r="AH17" s="81">
        <f>SUM(AH8:AH16)</f>
        <v>77920.7240772</v>
      </c>
      <c r="AI17" s="81">
        <f>SUM(AI8:AI16)</f>
        <v>78364.1225772</v>
      </c>
      <c r="AJ17" s="81">
        <f>SUM(AJ8:AJ16)</f>
        <v>16.5831039</v>
      </c>
      <c r="AK17" s="81">
        <f>SUM(AK8:AK16)</f>
        <v>0.7981173</v>
      </c>
      <c r="AL17" s="78"/>
      <c r="AM17" s="81">
        <f>SUM(AM8:AM16)</f>
        <v>5.371</v>
      </c>
      <c r="AN17" s="81">
        <f>SUM(AN8:AN16)</f>
        <v>943.8737592000001</v>
      </c>
      <c r="AO17" s="81">
        <f>SUM(AO8:AO16)</f>
        <v>949.2447592000001</v>
      </c>
      <c r="AP17" s="81">
        <f>SUM(AP8:AP16)</f>
        <v>0.20087539999999998</v>
      </c>
      <c r="AQ17" s="81">
        <f>SUM(AQ8:AQ16)</f>
        <v>0.0096678</v>
      </c>
      <c r="AR17" s="78"/>
      <c r="AS17" s="81">
        <f>SUM(AS8:AS16)</f>
        <v>4.5295000000000005</v>
      </c>
      <c r="AT17" s="81">
        <f>SUM(AT8:AT16)</f>
        <v>795.9925884</v>
      </c>
      <c r="AU17" s="81">
        <f>SUM(AU8:AU16)</f>
        <v>800.5220884</v>
      </c>
      <c r="AV17" s="81">
        <f>SUM(AV8:AV16)</f>
        <v>0.16940329999999998</v>
      </c>
      <c r="AW17" s="81">
        <f>SUM(AW8:AW16)</f>
        <v>0.0081531</v>
      </c>
      <c r="AX17" s="78"/>
      <c r="AY17" s="81">
        <f>SUM(AY8:AY16)</f>
        <v>185.834</v>
      </c>
      <c r="AZ17" s="81">
        <f>SUM(AZ8:AZ16)</f>
        <v>32657.5751568</v>
      </c>
      <c r="BA17" s="81">
        <f>SUM(BA8:BA16)</f>
        <v>32843.4091568</v>
      </c>
      <c r="BB17" s="81">
        <f>SUM(BB8:BB16)</f>
        <v>6.9501916</v>
      </c>
      <c r="BC17" s="81">
        <f>SUM(BC8:BC16)</f>
        <v>0.3345012</v>
      </c>
      <c r="BD17" s="78"/>
      <c r="BE17" s="81">
        <f>SUM(BE8:BE16)</f>
        <v>381.3115</v>
      </c>
      <c r="BF17" s="81">
        <f>SUM(BF8:BF16)</f>
        <v>67009.8527148</v>
      </c>
      <c r="BG17" s="81">
        <f>SUM(BG8:BG16)</f>
        <v>67391.1642148</v>
      </c>
      <c r="BH17" s="81">
        <f>SUM(BH8:BH16)</f>
        <v>14.261050100000002</v>
      </c>
      <c r="BI17" s="81">
        <f>SUM(BI8:BI16)</f>
        <v>0.6863607</v>
      </c>
      <c r="BJ17" s="78"/>
      <c r="BK17" s="81">
        <f>SUM(BK8:BK16)</f>
        <v>4.402</v>
      </c>
      <c r="BL17" s="81">
        <f>SUM(BL8:BL16)</f>
        <v>773.5863503999999</v>
      </c>
      <c r="BM17" s="81">
        <f>SUM(BM8:BM16)</f>
        <v>777.9883504</v>
      </c>
      <c r="BN17" s="81">
        <f>SUM(BN8:BN16)</f>
        <v>0.1646348</v>
      </c>
      <c r="BO17" s="81">
        <f>SUM(BO8:BO16)</f>
        <v>0.007923600000000001</v>
      </c>
      <c r="BP17" s="78"/>
      <c r="BQ17" s="81">
        <f>SUM(BQ8:BQ16)</f>
        <v>2.957</v>
      </c>
      <c r="BR17" s="81">
        <f>SUM(BR8:BR16)</f>
        <v>519.6489864</v>
      </c>
      <c r="BS17" s="81">
        <f>SUM(BS8:BS16)</f>
        <v>522.6059864</v>
      </c>
      <c r="BT17" s="81">
        <f>SUM(BT8:BT16)</f>
        <v>0.11059179999999999</v>
      </c>
      <c r="BU17" s="81">
        <f>SUM(BU8:BU16)</f>
        <v>0.005322599999999999</v>
      </c>
      <c r="BV17" s="78"/>
      <c r="BW17" s="81">
        <f>SUM(BW8:BW16)</f>
        <v>-0.44049999999999995</v>
      </c>
      <c r="BX17" s="81">
        <f>SUM(BX8:BX16)</f>
        <v>-77.4113556</v>
      </c>
      <c r="BY17" s="81">
        <f>SUM(BY8:BY16)</f>
        <v>-77.8518556</v>
      </c>
      <c r="BZ17" s="81">
        <f>SUM(BZ8:BZ16)</f>
        <v>-0.016474700000000002</v>
      </c>
      <c r="CA17" s="81">
        <f>SUM(CA8:CA16)</f>
        <v>-0.0007929</v>
      </c>
      <c r="CB17" s="80"/>
      <c r="CC17" s="81">
        <f>SUM(CC8:CC16)</f>
        <v>-0.28700000000000003</v>
      </c>
      <c r="CD17" s="81">
        <f>SUM(CD8:CD16)</f>
        <v>-50.43600240000001</v>
      </c>
      <c r="CE17" s="81">
        <f>SUM(CE8:CE16)</f>
        <v>-50.723002400000006</v>
      </c>
      <c r="CF17" s="81">
        <f>SUM(CF8:CF16)</f>
        <v>-0.010733799999999998</v>
      </c>
      <c r="CG17" s="81">
        <f>SUM(CG8:CG16)</f>
        <v>-0.0005166</v>
      </c>
      <c r="CH17" s="78"/>
      <c r="CI17" s="81">
        <f>SUM(CI8:CI16)</f>
        <v>10.673</v>
      </c>
      <c r="CJ17" s="81">
        <f>SUM(CJ8:CJ16)</f>
        <v>1875.6217896000003</v>
      </c>
      <c r="CK17" s="81">
        <f>SUM(CK8:CK16)</f>
        <v>1886.2947896000003</v>
      </c>
      <c r="CL17" s="81">
        <f>SUM(CL8:CL16)</f>
        <v>0.39917020000000003</v>
      </c>
      <c r="CM17" s="81">
        <f>SUM(CM8:CM16)</f>
        <v>0.0192114</v>
      </c>
      <c r="CN17" s="78"/>
      <c r="CO17" s="81">
        <f>SUM(CO8:CO16)</f>
        <v>65.635</v>
      </c>
      <c r="CP17" s="81">
        <f>SUM(CP8:CP16)</f>
        <v>11534.379852</v>
      </c>
      <c r="CQ17" s="81">
        <f>SUM(CQ8:CQ16)</f>
        <v>11600.014852</v>
      </c>
      <c r="CR17" s="81">
        <f>SUM(CR8:CR16)</f>
        <v>2.4547489999999996</v>
      </c>
      <c r="CS17" s="81">
        <f>SUM(CS8:CS16)</f>
        <v>0.118143</v>
      </c>
      <c r="CT17" s="78"/>
      <c r="CU17" s="81">
        <f>SUM(CU8:CU16)</f>
        <v>440.92549999999994</v>
      </c>
      <c r="CV17" s="81">
        <f>SUM(CV8:CV16)</f>
        <v>77486.1309276</v>
      </c>
      <c r="CW17" s="81">
        <f>SUM(CW8:CW16)</f>
        <v>77927.0564276</v>
      </c>
      <c r="CX17" s="81">
        <f>SUM(CX8:CX16)</f>
        <v>16.4906137</v>
      </c>
      <c r="CY17" s="81">
        <f>SUM(CY8:CY16)</f>
        <v>0.7936659</v>
      </c>
      <c r="CZ17" s="78"/>
      <c r="DA17" s="81">
        <f>SUM(DA8:DA16)</f>
        <v>63.61599999999999</v>
      </c>
      <c r="DB17" s="81">
        <f>SUM(DB8:DB16)</f>
        <v>11179.570483199997</v>
      </c>
      <c r="DC17" s="81">
        <f>SUM(DC8:DC16)</f>
        <v>11243.186483199997</v>
      </c>
      <c r="DD17" s="81">
        <f>SUM(DD8:DD16)</f>
        <v>2.3792384</v>
      </c>
      <c r="DE17" s="81">
        <f>SUM(DE8:DE16)</f>
        <v>0.11450880000000001</v>
      </c>
      <c r="DF17" s="78"/>
      <c r="DG17" s="81">
        <f>SUM(DG8:DG16)</f>
        <v>129.986</v>
      </c>
      <c r="DH17" s="81">
        <f>SUM(DH8:DH16)</f>
        <v>22843.115707200002</v>
      </c>
      <c r="DI17" s="81">
        <f>SUM(DI8:DI16)</f>
        <v>22973.101707200003</v>
      </c>
      <c r="DJ17" s="81">
        <f>SUM(DJ8:DJ16)</f>
        <v>4.8614764</v>
      </c>
      <c r="DK17" s="81">
        <f>SUM(DK8:DK16)</f>
        <v>0.23397480000000004</v>
      </c>
      <c r="DL17" s="78"/>
      <c r="DM17" s="81">
        <f>SUM(DM8:DM16)</f>
        <v>21.081</v>
      </c>
      <c r="DN17" s="81">
        <f>SUM(DN8:DN16)</f>
        <v>3704.6737512</v>
      </c>
      <c r="DO17" s="81">
        <f>SUM(DO8:DO16)</f>
        <v>3725.7547512</v>
      </c>
      <c r="DP17" s="81">
        <f>SUM(DP8:DP16)</f>
        <v>0.7884294</v>
      </c>
      <c r="DQ17" s="81">
        <f>SUM(DQ8:DQ16)</f>
        <v>0.0379458</v>
      </c>
      <c r="DR17" s="78"/>
      <c r="DS17" s="81">
        <f>SUM(DS8:DS16)</f>
        <v>108.141</v>
      </c>
      <c r="DT17" s="81">
        <f>SUM(DT8:DT16)</f>
        <v>19004.1802632</v>
      </c>
      <c r="DU17" s="81">
        <f>SUM(DU8:DU16)</f>
        <v>19112.3212632</v>
      </c>
      <c r="DV17" s="81">
        <f>SUM(DV8:DV16)</f>
        <v>4.044473399999999</v>
      </c>
      <c r="DW17" s="81">
        <f>SUM(DW8:DW16)</f>
        <v>0.1946538</v>
      </c>
      <c r="DX17" s="78"/>
      <c r="DY17" s="81">
        <f>SUM(DY8:DY16)</f>
        <v>0.9665</v>
      </c>
      <c r="DZ17" s="81">
        <f>SUM(DZ8:DZ16)</f>
        <v>169.8480708</v>
      </c>
      <c r="EA17" s="81">
        <f>SUM(EA8:EA16)</f>
        <v>170.81457079999998</v>
      </c>
      <c r="EB17" s="81">
        <f>SUM(EB8:EB16)</f>
        <v>0.0361471</v>
      </c>
      <c r="EC17" s="81">
        <f>SUM(EC8:EC16)</f>
        <v>0.0017397</v>
      </c>
      <c r="ED17" s="78"/>
      <c r="EE17" s="81">
        <f>SUM(EE8:EE16)</f>
        <v>1.272</v>
      </c>
      <c r="EF17" s="81">
        <f>SUM(EF8:EF16)</f>
        <v>223.5351744</v>
      </c>
      <c r="EG17" s="81">
        <f>SUM(EG8:EG16)</f>
        <v>224.8071744</v>
      </c>
      <c r="EH17" s="81">
        <f>SUM(EH8:EH16)</f>
        <v>0.0475728</v>
      </c>
      <c r="EI17" s="81">
        <f>SUM(EI8:EI16)</f>
        <v>0.0022896</v>
      </c>
      <c r="EJ17" s="78"/>
      <c r="EK17" s="81">
        <f>SUM(EK8:EK16)</f>
        <v>64.0935</v>
      </c>
      <c r="EL17" s="81">
        <f>SUM(EL8:EL16)</f>
        <v>11263.484041200001</v>
      </c>
      <c r="EM17" s="81">
        <f>SUM(EM8:EM16)</f>
        <v>11327.5775412</v>
      </c>
      <c r="EN17" s="81">
        <f>SUM(EN8:EN16)</f>
        <v>2.3970969</v>
      </c>
      <c r="EO17" s="81">
        <f>SUM(EO8:EO16)</f>
        <v>0.11536830000000001</v>
      </c>
      <c r="EP17" s="78"/>
      <c r="EQ17" s="81">
        <f>SUM(EQ8:EQ16)</f>
        <v>1.2200000000000002</v>
      </c>
      <c r="ER17" s="81">
        <f>SUM(ER8:ER16)</f>
        <v>214.396944</v>
      </c>
      <c r="ES17" s="81">
        <f>SUM(ES8:ES16)</f>
        <v>215.616944</v>
      </c>
      <c r="ET17" s="81">
        <f>SUM(ET8:ET16)</f>
        <v>0.045628</v>
      </c>
      <c r="EU17" s="81">
        <f>SUM(EU8:EU16)</f>
        <v>0.002196</v>
      </c>
      <c r="EV17" s="78"/>
      <c r="EW17" s="81">
        <f>SUM(EW8:EW16)</f>
        <v>18.2295</v>
      </c>
      <c r="EX17" s="81">
        <f>SUM(EX8:EX16)</f>
        <v>3203.5648284</v>
      </c>
      <c r="EY17" s="81">
        <f>SUM(EY8:EY16)</f>
        <v>3221.7943284</v>
      </c>
      <c r="EZ17" s="81">
        <f>SUM(EZ8:EZ16)</f>
        <v>0.6817833</v>
      </c>
      <c r="FA17" s="81">
        <f>SUM(FA8:FA16)</f>
        <v>0.0328131</v>
      </c>
      <c r="FB17" s="78"/>
      <c r="FC17" s="81">
        <f>SUM(FC8:FC16)</f>
        <v>12.663499999999999</v>
      </c>
      <c r="FD17" s="81">
        <f>SUM(FD8:FD16)</f>
        <v>2225.4227052</v>
      </c>
      <c r="FE17" s="81">
        <f>SUM(FE8:FE16)</f>
        <v>2238.0862052</v>
      </c>
      <c r="FF17" s="81">
        <f>SUM(FF8:FF16)</f>
        <v>0.4736149</v>
      </c>
      <c r="FG17" s="81">
        <f>SUM(FG8:FG16)</f>
        <v>0.022794300000000003</v>
      </c>
      <c r="FH17" s="78"/>
      <c r="FI17" s="81">
        <f>SUM(FI8:FI16)</f>
        <v>4.9435</v>
      </c>
      <c r="FJ17" s="81">
        <f>SUM(FJ8:FJ16)</f>
        <v>868.7469612</v>
      </c>
      <c r="FK17" s="81">
        <f>SUM(FK8:FK16)</f>
        <v>873.6904612</v>
      </c>
      <c r="FL17" s="81">
        <f>SUM(FL8:FL16)</f>
        <v>0.18488689999999997</v>
      </c>
      <c r="FM17" s="81">
        <f>SUM(FM8:FM16)</f>
        <v>0.0088983</v>
      </c>
      <c r="FN17" s="78"/>
      <c r="FO17" s="81">
        <f>SUM(FO8:FO16)</f>
        <v>55.5555</v>
      </c>
      <c r="FP17" s="81">
        <f>SUM(FP8:FP16)</f>
        <v>9763.0569036</v>
      </c>
      <c r="FQ17" s="81">
        <f>SUM(FQ8:FQ16)</f>
        <v>9818.6124036</v>
      </c>
      <c r="FR17" s="81">
        <f>SUM(FR8:FR16)</f>
        <v>2.0777757</v>
      </c>
      <c r="FS17" s="81">
        <f>SUM(FS8:FS16)</f>
        <v>0.0999999</v>
      </c>
      <c r="FT17" s="78"/>
      <c r="FU17" s="81">
        <f>SUM(FU8:FU16)</f>
        <v>125.211</v>
      </c>
      <c r="FV17" s="81">
        <f>SUM(FV8:FV16)</f>
        <v>22003.9801272</v>
      </c>
      <c r="FW17" s="81">
        <f>SUM(FW8:FW16)</f>
        <v>22129.1911272</v>
      </c>
      <c r="FX17" s="81">
        <f>SUM(FX8:FX16)</f>
        <v>4.682891400000001</v>
      </c>
      <c r="FY17" s="81">
        <f>SUM(FY8:FY16)</f>
        <v>0.22537980000000002</v>
      </c>
      <c r="FZ17" s="78"/>
      <c r="GA17" s="81">
        <f>SUM(GA8:GA16)</f>
        <v>15.978500000000002</v>
      </c>
      <c r="GB17" s="81">
        <f>SUM(GB8:GB16)</f>
        <v>2807.9848932</v>
      </c>
      <c r="GC17" s="81">
        <f>SUM(GC8:GC16)</f>
        <v>2823.9633931999997</v>
      </c>
      <c r="GD17" s="81">
        <f>SUM(GD8:GD16)</f>
        <v>0.5975959</v>
      </c>
      <c r="GE17" s="81">
        <f>SUM(GE8:GE16)</f>
        <v>0.0287613</v>
      </c>
      <c r="GF17" s="78"/>
      <c r="GG17" s="81">
        <f>SUM(GG8:GG16)</f>
        <v>25.374000000000002</v>
      </c>
      <c r="GH17" s="81">
        <f>SUM(GH8:GH16)</f>
        <v>4459.104964800001</v>
      </c>
      <c r="GI17" s="81">
        <f>SUM(GI8:GI16)</f>
        <v>4484.4789648000005</v>
      </c>
      <c r="GJ17" s="81">
        <f>SUM(GJ8:GJ16)</f>
        <v>0.9489875999999999</v>
      </c>
      <c r="GK17" s="81">
        <f>SUM(GK8:GK16)</f>
        <v>0.0456732</v>
      </c>
      <c r="GL17" s="78"/>
      <c r="GM17" s="81">
        <f>SUM(GM8:GM16)</f>
        <v>117.59450000000001</v>
      </c>
      <c r="GN17" s="81">
        <f>SUM(GN8:GN16)</f>
        <v>20665.4929764</v>
      </c>
      <c r="GO17" s="81">
        <f>SUM(GO8:GO16)</f>
        <v>20783.0874764</v>
      </c>
      <c r="GP17" s="81">
        <f>SUM(GP8:GP16)</f>
        <v>4.3980343</v>
      </c>
      <c r="GQ17" s="81">
        <f>SUM(GQ8:GQ16)</f>
        <v>0.21167009999999997</v>
      </c>
      <c r="GR17" s="78"/>
      <c r="GS17" s="81">
        <f>SUM(GS8:GS16)</f>
        <v>6.2410000000000005</v>
      </c>
      <c r="GT17" s="81">
        <f>SUM(GT8:GT16)</f>
        <v>1096.7633832</v>
      </c>
      <c r="GU17" s="81">
        <f>SUM(GU8:GU16)</f>
        <v>1103.0043832</v>
      </c>
      <c r="GV17" s="81">
        <f>SUM(GV8:GV16)</f>
        <v>0.23341340000000002</v>
      </c>
      <c r="GW17" s="81">
        <f>SUM(GW8:GW16)</f>
        <v>0.0112338</v>
      </c>
      <c r="GX17" s="78"/>
      <c r="GY17" s="81">
        <f>SUM(GY8:GY16)</f>
        <v>35.782000000000004</v>
      </c>
      <c r="GZ17" s="81">
        <f>SUM(GZ8:GZ16)</f>
        <v>6288.1569264</v>
      </c>
      <c r="HA17" s="81">
        <f>SUM(HA8:HA16)</f>
        <v>6323.9389264</v>
      </c>
      <c r="HB17" s="81">
        <f>SUM(HB8:HB16)</f>
        <v>1.3382468</v>
      </c>
      <c r="HC17" s="81">
        <f>SUM(HC8:HC16)</f>
        <v>0.06440760000000001</v>
      </c>
      <c r="HD17" s="78"/>
      <c r="HE17" s="78"/>
      <c r="HF17" s="78"/>
      <c r="HG17" s="78"/>
      <c r="HH17" s="78"/>
      <c r="HI17" s="78"/>
    </row>
    <row r="18" ht="13.5" thickTop="1"/>
    <row r="31" spans="1:212" ht="12.75">
      <c r="A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</row>
    <row r="32" spans="1:212" ht="12.75">
      <c r="A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</sheetData>
  <sheetProtection/>
  <printOptions/>
  <pageMargins left="0.75" right="0.75" top="1" bottom="1" header="0.5" footer="0.5"/>
  <pageSetup horizontalDpi="600" verticalDpi="600" orientation="landscape" scale="72" r:id="rId1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M57"/>
  <sheetViews>
    <sheetView zoomScalePageLayoutView="0" workbookViewId="0" topLeftCell="A1">
      <selection activeCell="G21" sqref="G21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3" customWidth="1"/>
    <col min="7" max="7" width="16.28125" style="33" customWidth="1"/>
    <col min="8" max="8" width="3.7109375" style="33" customWidth="1"/>
    <col min="9" max="12" width="13.7109375" style="33" customWidth="1"/>
    <col min="13" max="13" width="16.00390625" style="33" customWidth="1"/>
    <col min="14" max="14" width="3.7109375" style="33" customWidth="1"/>
    <col min="15" max="18" width="13.7109375" style="0" customWidth="1"/>
    <col min="19" max="19" width="15.7109375" style="0" customWidth="1"/>
    <col min="20" max="20" width="3.7109375" style="33" customWidth="1"/>
    <col min="21" max="24" width="13.7109375" style="0" customWidth="1"/>
    <col min="25" max="25" width="15.00390625" style="0" customWidth="1"/>
    <col min="26" max="26" width="3.7109375" style="0" customWidth="1"/>
    <col min="27" max="31" width="13.7109375" style="0" customWidth="1"/>
    <col min="32" max="32" width="3.7109375" style="0" customWidth="1"/>
    <col min="33" max="37" width="13.7109375" style="0" customWidth="1"/>
    <col min="38" max="38" width="3.7109375" style="0" customWidth="1"/>
    <col min="39" max="43" width="13.7109375" style="0" customWidth="1"/>
    <col min="44" max="44" width="3.7109375" style="20" customWidth="1"/>
    <col min="45" max="49" width="13.7109375" style="20" customWidth="1"/>
    <col min="50" max="50" width="3.7109375" style="20" customWidth="1"/>
    <col min="51" max="55" width="13.7109375" style="20" customWidth="1"/>
    <col min="56" max="56" width="3.7109375" style="20" customWidth="1"/>
    <col min="57" max="61" width="13.7109375" style="20" customWidth="1"/>
    <col min="62" max="62" width="3.7109375" style="20" customWidth="1"/>
    <col min="63" max="67" width="13.7109375" style="20" customWidth="1"/>
    <col min="68" max="68" width="3.7109375" style="20" customWidth="1"/>
    <col min="69" max="73" width="13.7109375" style="20" customWidth="1"/>
    <col min="74" max="74" width="3.7109375" style="20" customWidth="1"/>
    <col min="75" max="79" width="13.7109375" style="20" customWidth="1"/>
    <col min="80" max="80" width="3.7109375" style="20" customWidth="1"/>
    <col min="81" max="85" width="13.7109375" style="20" customWidth="1"/>
    <col min="86" max="86" width="3.7109375" style="20" customWidth="1"/>
    <col min="87" max="91" width="13.7109375" style="20" customWidth="1"/>
    <col min="92" max="92" width="3.7109375" style="20" customWidth="1"/>
    <col min="93" max="97" width="13.7109375" style="20" customWidth="1"/>
    <col min="98" max="98" width="3.7109375" style="20" customWidth="1"/>
    <col min="99" max="103" width="13.7109375" style="20" customWidth="1"/>
    <col min="104" max="104" width="3.7109375" style="20" customWidth="1"/>
    <col min="105" max="109" width="13.7109375" style="20" customWidth="1"/>
    <col min="110" max="110" width="3.7109375" style="20" customWidth="1"/>
    <col min="111" max="115" width="13.7109375" style="20" customWidth="1"/>
    <col min="116" max="116" width="3.7109375" style="20" customWidth="1"/>
    <col min="117" max="121" width="13.7109375" style="91" customWidth="1"/>
    <col min="122" max="122" width="3.7109375" style="20" customWidth="1"/>
    <col min="123" max="127" width="13.7109375" style="20" customWidth="1"/>
    <col min="128" max="128" width="3.7109375" style="20" customWidth="1"/>
    <col min="129" max="133" width="13.7109375" style="20" customWidth="1"/>
    <col min="134" max="134" width="3.7109375" style="20" customWidth="1"/>
    <col min="135" max="139" width="13.7109375" style="20" customWidth="1"/>
    <col min="140" max="140" width="3.7109375" style="20" customWidth="1"/>
    <col min="141" max="145" width="13.7109375" style="20" customWidth="1"/>
    <col min="146" max="146" width="3.7109375" style="20" customWidth="1"/>
    <col min="147" max="151" width="13.7109375" style="20" customWidth="1"/>
    <col min="152" max="152" width="3.7109375" style="20" customWidth="1"/>
    <col min="153" max="157" width="13.7109375" style="20" customWidth="1"/>
    <col min="158" max="158" width="3.7109375" style="20" customWidth="1"/>
    <col min="159" max="163" width="13.7109375" style="20" customWidth="1"/>
    <col min="164" max="164" width="3.7109375" style="20" customWidth="1"/>
    <col min="165" max="168" width="13.7109375" style="20" customWidth="1"/>
  </cols>
  <sheetData>
    <row r="1" spans="1:168" ht="12.75">
      <c r="A1" s="44"/>
      <c r="B1" s="30"/>
      <c r="C1" s="43"/>
      <c r="D1" s="45"/>
      <c r="E1" s="45" t="s">
        <v>171</v>
      </c>
      <c r="G1" s="45"/>
      <c r="H1" s="45"/>
      <c r="I1" s="36"/>
      <c r="K1" s="45"/>
      <c r="O1" s="45" t="s">
        <v>171</v>
      </c>
      <c r="P1" s="33"/>
      <c r="Q1" s="33"/>
      <c r="R1" s="33"/>
      <c r="S1" s="33"/>
      <c r="U1" s="33"/>
      <c r="V1" s="33"/>
      <c r="W1" s="45"/>
      <c r="X1" s="33"/>
      <c r="Y1" s="33"/>
      <c r="Z1" s="33"/>
      <c r="AA1" s="45" t="s">
        <v>171</v>
      </c>
      <c r="AB1" s="33"/>
      <c r="AC1" s="33"/>
      <c r="AD1" s="33"/>
      <c r="AH1" s="33"/>
      <c r="AI1" s="45"/>
      <c r="AM1" s="45" t="s">
        <v>171</v>
      </c>
      <c r="AR1"/>
      <c r="AS1"/>
      <c r="AT1"/>
      <c r="AU1" s="45"/>
      <c r="AV1"/>
      <c r="AW1"/>
      <c r="AY1" s="45" t="s">
        <v>171</v>
      </c>
      <c r="BG1" s="45"/>
      <c r="BK1" s="45" t="s">
        <v>171</v>
      </c>
      <c r="BS1" s="45"/>
      <c r="BW1" s="45" t="s">
        <v>171</v>
      </c>
      <c r="CE1" s="45"/>
      <c r="CI1" s="45" t="s">
        <v>171</v>
      </c>
      <c r="CQ1" s="45"/>
      <c r="CU1" s="45" t="s">
        <v>171</v>
      </c>
      <c r="DC1" s="45"/>
      <c r="DG1" s="45" t="s">
        <v>171</v>
      </c>
      <c r="DM1" s="20"/>
      <c r="DN1" s="20"/>
      <c r="DO1" s="45"/>
      <c r="DP1" s="20"/>
      <c r="DQ1" s="20"/>
      <c r="DS1" s="45" t="s">
        <v>171</v>
      </c>
      <c r="EA1" s="45"/>
      <c r="ED1" s="45" t="s">
        <v>171</v>
      </c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</row>
    <row r="2" spans="1:168" ht="12.75">
      <c r="A2" s="44"/>
      <c r="B2" s="30"/>
      <c r="C2" s="43"/>
      <c r="D2" s="45"/>
      <c r="E2" s="99" t="s">
        <v>183</v>
      </c>
      <c r="G2" s="45"/>
      <c r="H2" s="45"/>
      <c r="I2" s="36"/>
      <c r="K2" s="45"/>
      <c r="O2" s="43" t="str">
        <f>E2</f>
        <v>Distribution of Debt Services after 2021A Bond Issue</v>
      </c>
      <c r="P2" s="33"/>
      <c r="Q2" s="33"/>
      <c r="R2" s="33"/>
      <c r="S2" s="33"/>
      <c r="U2" s="33"/>
      <c r="V2" s="33"/>
      <c r="W2" s="45"/>
      <c r="X2" s="33"/>
      <c r="Y2" s="33"/>
      <c r="Z2" s="33"/>
      <c r="AA2" s="43" t="str">
        <f>O2</f>
        <v>Distribution of Debt Services after 2021A Bond Issue</v>
      </c>
      <c r="AB2" s="33"/>
      <c r="AC2" s="33"/>
      <c r="AD2" s="33"/>
      <c r="AH2" s="33"/>
      <c r="AI2" s="45"/>
      <c r="AM2" s="43" t="str">
        <f>AA2</f>
        <v>Distribution of Debt Services after 2021A Bond Issue</v>
      </c>
      <c r="AR2"/>
      <c r="AS2"/>
      <c r="AT2"/>
      <c r="AU2" s="45"/>
      <c r="AV2"/>
      <c r="AW2"/>
      <c r="AY2" s="43" t="str">
        <f>AM2</f>
        <v>Distribution of Debt Services after 2021A Bond Issue</v>
      </c>
      <c r="BG2" s="45"/>
      <c r="BK2" s="43" t="str">
        <f>AY2</f>
        <v>Distribution of Debt Services after 2021A Bond Issue</v>
      </c>
      <c r="BS2" s="45"/>
      <c r="BW2" s="43" t="str">
        <f>BK2</f>
        <v>Distribution of Debt Services after 2021A Bond Issue</v>
      </c>
      <c r="CE2" s="45"/>
      <c r="CI2" s="43" t="str">
        <f>BW2</f>
        <v>Distribution of Debt Services after 2021A Bond Issue</v>
      </c>
      <c r="CQ2" s="45"/>
      <c r="CU2" s="43" t="str">
        <f>CI2</f>
        <v>Distribution of Debt Services after 2021A Bond Issue</v>
      </c>
      <c r="DC2" s="45"/>
      <c r="DG2" s="43" t="str">
        <f>CU2</f>
        <v>Distribution of Debt Services after 2021A Bond Issue</v>
      </c>
      <c r="DM2" s="20"/>
      <c r="DN2" s="20"/>
      <c r="DO2" s="45"/>
      <c r="DP2" s="20"/>
      <c r="DQ2" s="20"/>
      <c r="DS2" s="43" t="str">
        <f>DG2</f>
        <v>Distribution of Debt Services after 2021A Bond Issue</v>
      </c>
      <c r="EA2" s="45"/>
      <c r="ED2" s="43" t="str">
        <f>DS2</f>
        <v>Distribution of Debt Services after 2021A Bond Issue</v>
      </c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</row>
    <row r="3" spans="1:168" ht="12.75">
      <c r="A3" s="44"/>
      <c r="B3" s="30"/>
      <c r="C3" s="43"/>
      <c r="D3" s="43"/>
      <c r="E3" s="45" t="s">
        <v>172</v>
      </c>
      <c r="G3" s="43"/>
      <c r="H3" s="43"/>
      <c r="I3" s="36"/>
      <c r="K3" s="45"/>
      <c r="O3" s="45" t="s">
        <v>172</v>
      </c>
      <c r="P3" s="33"/>
      <c r="Q3" s="33"/>
      <c r="R3" s="33"/>
      <c r="S3" s="33"/>
      <c r="U3" s="33"/>
      <c r="V3" s="33"/>
      <c r="W3" s="45"/>
      <c r="X3" s="33"/>
      <c r="Y3" s="33"/>
      <c r="Z3" s="33"/>
      <c r="AA3" s="45" t="s">
        <v>172</v>
      </c>
      <c r="AB3" s="33"/>
      <c r="AC3" s="33"/>
      <c r="AD3" s="33"/>
      <c r="AF3" s="12"/>
      <c r="AH3" s="33"/>
      <c r="AI3" s="45"/>
      <c r="AM3" s="45" t="s">
        <v>172</v>
      </c>
      <c r="AR3"/>
      <c r="AS3"/>
      <c r="AT3"/>
      <c r="AU3" s="45"/>
      <c r="AV3"/>
      <c r="AW3"/>
      <c r="AY3" s="45" t="s">
        <v>172</v>
      </c>
      <c r="BG3" s="45"/>
      <c r="BK3" s="45" t="s">
        <v>172</v>
      </c>
      <c r="BS3" s="45"/>
      <c r="BW3" s="45" t="s">
        <v>172</v>
      </c>
      <c r="CE3" s="45"/>
      <c r="CI3" s="45" t="s">
        <v>172</v>
      </c>
      <c r="CQ3" s="45"/>
      <c r="CU3" s="45" t="s">
        <v>172</v>
      </c>
      <c r="DC3" s="45"/>
      <c r="DG3" s="45" t="s">
        <v>172</v>
      </c>
      <c r="DM3" s="20"/>
      <c r="DN3" s="20"/>
      <c r="DO3" s="45"/>
      <c r="DP3" s="20"/>
      <c r="DQ3" s="20"/>
      <c r="DS3" s="45" t="s">
        <v>172</v>
      </c>
      <c r="EA3" s="45"/>
      <c r="ED3" s="45" t="s">
        <v>172</v>
      </c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</row>
    <row r="4" spans="1:165" ht="12.75">
      <c r="A4" s="44"/>
      <c r="B4" s="30"/>
      <c r="FI4" s="21"/>
    </row>
    <row r="5" spans="1:169" ht="12.75">
      <c r="A5" s="22" t="s">
        <v>9</v>
      </c>
      <c r="C5" s="100" t="s">
        <v>182</v>
      </c>
      <c r="D5" s="71"/>
      <c r="E5" s="72"/>
      <c r="F5" s="41"/>
      <c r="G5" s="41"/>
      <c r="I5" s="37" t="s">
        <v>85</v>
      </c>
      <c r="J5" s="38"/>
      <c r="K5" s="39"/>
      <c r="L5" s="41"/>
      <c r="M5" s="41"/>
      <c r="O5" s="37" t="s">
        <v>116</v>
      </c>
      <c r="P5" s="38"/>
      <c r="Q5" s="39"/>
      <c r="R5" s="41"/>
      <c r="S5" s="41"/>
      <c r="U5" s="23" t="s">
        <v>117</v>
      </c>
      <c r="V5" s="24"/>
      <c r="W5" s="25"/>
      <c r="X5" s="41"/>
      <c r="Y5" s="41"/>
      <c r="AA5" s="23" t="s">
        <v>166</v>
      </c>
      <c r="AB5" s="24"/>
      <c r="AC5" s="25"/>
      <c r="AD5" s="41"/>
      <c r="AE5" s="41"/>
      <c r="AG5" s="23" t="s">
        <v>118</v>
      </c>
      <c r="AH5" s="24"/>
      <c r="AI5" s="25"/>
      <c r="AJ5" s="41"/>
      <c r="AK5" s="41"/>
      <c r="AM5" s="23" t="s">
        <v>119</v>
      </c>
      <c r="AN5" s="24"/>
      <c r="AO5" s="25"/>
      <c r="AP5" s="41"/>
      <c r="AQ5" s="41"/>
      <c r="AS5" s="23" t="s">
        <v>120</v>
      </c>
      <c r="AT5" s="24"/>
      <c r="AU5" s="25"/>
      <c r="AV5" s="41"/>
      <c r="AW5" s="41"/>
      <c r="AY5" s="23" t="s">
        <v>121</v>
      </c>
      <c r="AZ5" s="24"/>
      <c r="BA5" s="25"/>
      <c r="BB5" s="41"/>
      <c r="BC5" s="41"/>
      <c r="BE5" s="23" t="s">
        <v>122</v>
      </c>
      <c r="BF5" s="24"/>
      <c r="BG5" s="25"/>
      <c r="BH5" s="41"/>
      <c r="BI5" s="41"/>
      <c r="BK5" s="23" t="s">
        <v>123</v>
      </c>
      <c r="BL5" s="24"/>
      <c r="BM5" s="25"/>
      <c r="BN5" s="41"/>
      <c r="BO5" s="41"/>
      <c r="BQ5" s="23" t="s">
        <v>124</v>
      </c>
      <c r="BR5" s="24"/>
      <c r="BS5" s="25"/>
      <c r="BT5" s="41"/>
      <c r="BU5" s="41"/>
      <c r="BW5" s="23" t="s">
        <v>125</v>
      </c>
      <c r="BX5" s="24"/>
      <c r="BY5" s="25"/>
      <c r="BZ5" s="41"/>
      <c r="CA5" s="41"/>
      <c r="CC5" s="23" t="s">
        <v>126</v>
      </c>
      <c r="CD5" s="24"/>
      <c r="CE5" s="25"/>
      <c r="CF5" s="41"/>
      <c r="CG5" s="41"/>
      <c r="CI5" s="23" t="s">
        <v>127</v>
      </c>
      <c r="CJ5" s="24"/>
      <c r="CK5" s="25"/>
      <c r="CL5" s="41"/>
      <c r="CM5" s="41"/>
      <c r="CO5" s="23" t="s">
        <v>128</v>
      </c>
      <c r="CP5" s="24"/>
      <c r="CQ5" s="25"/>
      <c r="CR5" s="41"/>
      <c r="CS5" s="41"/>
      <c r="CU5" s="23" t="s">
        <v>129</v>
      </c>
      <c r="CV5" s="24"/>
      <c r="CW5" s="25"/>
      <c r="CX5" s="41"/>
      <c r="CY5" s="41"/>
      <c r="DA5" s="23" t="s">
        <v>130</v>
      </c>
      <c r="DB5" s="24"/>
      <c r="DC5" s="25"/>
      <c r="DD5" s="41"/>
      <c r="DE5" s="41"/>
      <c r="DG5" s="23" t="s">
        <v>131</v>
      </c>
      <c r="DH5" s="24"/>
      <c r="DI5" s="25"/>
      <c r="DJ5" s="41"/>
      <c r="DK5" s="41"/>
      <c r="DM5" s="82" t="s">
        <v>174</v>
      </c>
      <c r="DN5" s="83"/>
      <c r="DO5" s="84"/>
      <c r="DP5" s="85"/>
      <c r="DQ5" s="41"/>
      <c r="DS5" s="56" t="s">
        <v>144</v>
      </c>
      <c r="DT5" s="24"/>
      <c r="DU5" s="25"/>
      <c r="DV5" s="41"/>
      <c r="DW5" s="41"/>
      <c r="DY5" s="56" t="s">
        <v>132</v>
      </c>
      <c r="DZ5" s="24"/>
      <c r="EA5" s="25"/>
      <c r="EB5" s="41"/>
      <c r="EC5" s="41"/>
      <c r="EE5" s="56" t="s">
        <v>133</v>
      </c>
      <c r="EF5" s="24"/>
      <c r="EG5" s="25"/>
      <c r="EH5" s="41"/>
      <c r="EI5" s="41"/>
      <c r="EK5" s="56" t="s">
        <v>134</v>
      </c>
      <c r="EL5" s="24"/>
      <c r="EM5" s="25"/>
      <c r="EN5" s="41"/>
      <c r="EO5" s="41"/>
      <c r="EQ5" s="56" t="s">
        <v>135</v>
      </c>
      <c r="ER5" s="24"/>
      <c r="ES5" s="25"/>
      <c r="ET5" s="41"/>
      <c r="EU5" s="41"/>
      <c r="EW5" s="56" t="s">
        <v>136</v>
      </c>
      <c r="EX5" s="24"/>
      <c r="EY5" s="25"/>
      <c r="EZ5" s="41"/>
      <c r="FA5" s="41"/>
      <c r="FC5" s="56" t="s">
        <v>137</v>
      </c>
      <c r="FD5" s="24"/>
      <c r="FE5" s="25"/>
      <c r="FF5" s="41"/>
      <c r="FG5" s="41"/>
      <c r="FI5" s="56" t="s">
        <v>14</v>
      </c>
      <c r="FJ5" s="24"/>
      <c r="FK5" s="25"/>
      <c r="FL5" s="41"/>
      <c r="FM5" s="41"/>
    </row>
    <row r="6" spans="1:169" s="12" customFormat="1" ht="12.75">
      <c r="A6" s="46" t="s">
        <v>10</v>
      </c>
      <c r="C6" s="101" t="s">
        <v>184</v>
      </c>
      <c r="D6" s="74"/>
      <c r="E6" s="75"/>
      <c r="F6" s="41" t="s">
        <v>168</v>
      </c>
      <c r="G6" s="41" t="s">
        <v>173</v>
      </c>
      <c r="H6" s="33"/>
      <c r="I6" s="40"/>
      <c r="J6" s="67">
        <v>0.5428259</v>
      </c>
      <c r="K6" s="39"/>
      <c r="L6" s="41" t="s">
        <v>168</v>
      </c>
      <c r="M6" s="41" t="s">
        <v>173</v>
      </c>
      <c r="N6" s="33"/>
      <c r="O6" s="40"/>
      <c r="P6" s="53">
        <f>V6+AB6+AH6+AN6+AT6+AZ6+BF6+BL6+BR6+BX6+CD6+CJ6+CP6+CV6+DB6+DH6+DN6+DT6+DZ6+EF6+EL6+ER6+EX6+FD6</f>
        <v>0.4571741000000001</v>
      </c>
      <c r="Q6" s="39"/>
      <c r="R6" s="41" t="s">
        <v>168</v>
      </c>
      <c r="S6" s="41" t="s">
        <v>173</v>
      </c>
      <c r="T6" s="33"/>
      <c r="U6" s="47"/>
      <c r="V6" s="32">
        <v>0.081724</v>
      </c>
      <c r="W6" s="48"/>
      <c r="X6" s="41" t="s">
        <v>168</v>
      </c>
      <c r="Y6" s="41" t="s">
        <v>173</v>
      </c>
      <c r="AA6" s="47"/>
      <c r="AB6" s="32">
        <v>0.0595646</v>
      </c>
      <c r="AC6" s="48"/>
      <c r="AD6" s="41" t="s">
        <v>168</v>
      </c>
      <c r="AE6" s="41" t="s">
        <v>173</v>
      </c>
      <c r="AG6" s="47"/>
      <c r="AH6" s="32">
        <v>0.0315804</v>
      </c>
      <c r="AI6" s="48"/>
      <c r="AJ6" s="41" t="s">
        <v>168</v>
      </c>
      <c r="AK6" s="41" t="s">
        <v>173</v>
      </c>
      <c r="AM6" s="47"/>
      <c r="AN6" s="32">
        <v>0.022968</v>
      </c>
      <c r="AO6" s="48"/>
      <c r="AP6" s="41" t="s">
        <v>168</v>
      </c>
      <c r="AQ6" s="41" t="s">
        <v>173</v>
      </c>
      <c r="AS6" s="47"/>
      <c r="AT6" s="32">
        <v>0.0026309</v>
      </c>
      <c r="AU6" s="48"/>
      <c r="AV6" s="41" t="s">
        <v>168</v>
      </c>
      <c r="AW6" s="41" t="s">
        <v>173</v>
      </c>
      <c r="AY6" s="47"/>
      <c r="AZ6" s="32">
        <v>0.0416229</v>
      </c>
      <c r="BA6" s="48"/>
      <c r="BB6" s="41" t="s">
        <v>168</v>
      </c>
      <c r="BC6" s="41" t="s">
        <v>173</v>
      </c>
      <c r="BE6" s="47"/>
      <c r="BF6" s="32">
        <v>0.0045121</v>
      </c>
      <c r="BG6" s="48"/>
      <c r="BH6" s="41" t="s">
        <v>168</v>
      </c>
      <c r="BI6" s="41" t="s">
        <v>173</v>
      </c>
      <c r="BK6" s="47"/>
      <c r="BL6" s="32">
        <v>0.0141147</v>
      </c>
      <c r="BM6" s="48"/>
      <c r="BN6" s="41" t="s">
        <v>168</v>
      </c>
      <c r="BO6" s="41" t="s">
        <v>173</v>
      </c>
      <c r="BQ6" s="47"/>
      <c r="BR6" s="32">
        <v>0.0071579</v>
      </c>
      <c r="BS6" s="48"/>
      <c r="BT6" s="41" t="s">
        <v>168</v>
      </c>
      <c r="BU6" s="41" t="s">
        <v>173</v>
      </c>
      <c r="BW6" s="47"/>
      <c r="BX6" s="32">
        <v>0.0013901</v>
      </c>
      <c r="BY6" s="48"/>
      <c r="BZ6" s="41" t="s">
        <v>168</v>
      </c>
      <c r="CA6" s="41" t="s">
        <v>173</v>
      </c>
      <c r="CC6" s="47"/>
      <c r="CD6" s="32">
        <v>0.0055234</v>
      </c>
      <c r="CE6" s="48"/>
      <c r="CF6" s="41" t="s">
        <v>168</v>
      </c>
      <c r="CG6" s="41" t="s">
        <v>173</v>
      </c>
      <c r="CI6" s="47"/>
      <c r="CJ6" s="32">
        <v>0.0134713</v>
      </c>
      <c r="CK6" s="48"/>
      <c r="CL6" s="41" t="s">
        <v>168</v>
      </c>
      <c r="CM6" s="41" t="s">
        <v>173</v>
      </c>
      <c r="CO6" s="47"/>
      <c r="CP6" s="32">
        <v>0.0301524</v>
      </c>
      <c r="CQ6" s="48"/>
      <c r="CR6" s="41" t="s">
        <v>168</v>
      </c>
      <c r="CS6" s="41" t="s">
        <v>173</v>
      </c>
      <c r="CU6" s="47"/>
      <c r="CV6" s="32">
        <v>0.0045619</v>
      </c>
      <c r="CW6" s="48"/>
      <c r="CX6" s="41" t="s">
        <v>168</v>
      </c>
      <c r="CY6" s="41" t="s">
        <v>173</v>
      </c>
      <c r="DA6" s="47"/>
      <c r="DB6" s="32">
        <v>0.0131079</v>
      </c>
      <c r="DC6" s="48"/>
      <c r="DD6" s="41" t="s">
        <v>168</v>
      </c>
      <c r="DE6" s="41" t="s">
        <v>173</v>
      </c>
      <c r="DG6" s="47"/>
      <c r="DH6" s="32">
        <v>0.0005051</v>
      </c>
      <c r="DI6" s="48"/>
      <c r="DJ6" s="41" t="s">
        <v>168</v>
      </c>
      <c r="DK6" s="41" t="s">
        <v>173</v>
      </c>
      <c r="DM6" s="86"/>
      <c r="DN6" s="87">
        <v>0.0276518</v>
      </c>
      <c r="DO6" s="88"/>
      <c r="DP6" s="85" t="s">
        <v>168</v>
      </c>
      <c r="DQ6" s="41" t="s">
        <v>173</v>
      </c>
      <c r="DS6" s="47"/>
      <c r="DT6" s="32">
        <v>0.0043534</v>
      </c>
      <c r="DU6" s="48"/>
      <c r="DV6" s="41" t="s">
        <v>168</v>
      </c>
      <c r="DW6" s="41" t="s">
        <v>173</v>
      </c>
      <c r="DY6" s="47"/>
      <c r="DZ6" s="32">
        <v>0.0224029</v>
      </c>
      <c r="EA6" s="48"/>
      <c r="EB6" s="41" t="s">
        <v>168</v>
      </c>
      <c r="EC6" s="41" t="s">
        <v>173</v>
      </c>
      <c r="EE6" s="47"/>
      <c r="EF6" s="32">
        <v>0.0063958</v>
      </c>
      <c r="EG6" s="48"/>
      <c r="EH6" s="41" t="s">
        <v>168</v>
      </c>
      <c r="EI6" s="41" t="s">
        <v>173</v>
      </c>
      <c r="EK6" s="47"/>
      <c r="EL6" s="32">
        <v>6.42E-05</v>
      </c>
      <c r="EM6" s="48"/>
      <c r="EN6" s="41" t="s">
        <v>168</v>
      </c>
      <c r="EO6" s="41" t="s">
        <v>173</v>
      </c>
      <c r="EQ6" s="47"/>
      <c r="ER6" s="32">
        <v>0.0001192</v>
      </c>
      <c r="ES6" s="48"/>
      <c r="ET6" s="41" t="s">
        <v>168</v>
      </c>
      <c r="EU6" s="41" t="s">
        <v>173</v>
      </c>
      <c r="EW6" s="47"/>
      <c r="EX6" s="32">
        <v>0.0215476</v>
      </c>
      <c r="EY6" s="48"/>
      <c r="EZ6" s="41" t="s">
        <v>168</v>
      </c>
      <c r="FA6" s="41" t="s">
        <v>173</v>
      </c>
      <c r="FC6" s="47"/>
      <c r="FD6" s="32">
        <v>0.0400516</v>
      </c>
      <c r="FE6" s="48"/>
      <c r="FF6" s="41" t="s">
        <v>168</v>
      </c>
      <c r="FG6" s="41" t="s">
        <v>173</v>
      </c>
      <c r="FI6" s="47"/>
      <c r="FJ6" s="32"/>
      <c r="FK6" s="48"/>
      <c r="FL6" s="41" t="s">
        <v>168</v>
      </c>
      <c r="FM6" s="41" t="s">
        <v>173</v>
      </c>
    </row>
    <row r="7" spans="1:169" ht="12.75">
      <c r="A7" s="26"/>
      <c r="C7" s="41" t="s">
        <v>11</v>
      </c>
      <c r="D7" s="41" t="s">
        <v>12</v>
      </c>
      <c r="E7" s="41" t="s">
        <v>4</v>
      </c>
      <c r="F7" s="41" t="s">
        <v>169</v>
      </c>
      <c r="G7" s="103" t="s">
        <v>170</v>
      </c>
      <c r="I7" s="41" t="s">
        <v>11</v>
      </c>
      <c r="J7" s="41" t="s">
        <v>12</v>
      </c>
      <c r="K7" s="41" t="s">
        <v>4</v>
      </c>
      <c r="L7" s="41" t="s">
        <v>169</v>
      </c>
      <c r="M7" s="103" t="s">
        <v>170</v>
      </c>
      <c r="O7" s="41" t="s">
        <v>11</v>
      </c>
      <c r="P7" s="41" t="s">
        <v>12</v>
      </c>
      <c r="Q7" s="41" t="s">
        <v>4</v>
      </c>
      <c r="R7" s="41" t="s">
        <v>169</v>
      </c>
      <c r="S7" s="103" t="s">
        <v>170</v>
      </c>
      <c r="U7" s="27" t="s">
        <v>11</v>
      </c>
      <c r="V7" s="27" t="s">
        <v>12</v>
      </c>
      <c r="W7" s="27" t="s">
        <v>4</v>
      </c>
      <c r="X7" s="41" t="s">
        <v>169</v>
      </c>
      <c r="Y7" s="103" t="s">
        <v>170</v>
      </c>
      <c r="AA7" s="27" t="s">
        <v>11</v>
      </c>
      <c r="AB7" s="27" t="s">
        <v>12</v>
      </c>
      <c r="AC7" s="27" t="s">
        <v>4</v>
      </c>
      <c r="AD7" s="41" t="s">
        <v>169</v>
      </c>
      <c r="AE7" s="103" t="s">
        <v>170</v>
      </c>
      <c r="AG7" s="27" t="s">
        <v>11</v>
      </c>
      <c r="AH7" s="27" t="s">
        <v>12</v>
      </c>
      <c r="AI7" s="27" t="s">
        <v>4</v>
      </c>
      <c r="AJ7" s="41" t="s">
        <v>169</v>
      </c>
      <c r="AK7" s="103" t="s">
        <v>170</v>
      </c>
      <c r="AM7" s="27" t="s">
        <v>11</v>
      </c>
      <c r="AN7" s="27" t="s">
        <v>12</v>
      </c>
      <c r="AO7" s="27" t="s">
        <v>4</v>
      </c>
      <c r="AP7" s="41" t="s">
        <v>169</v>
      </c>
      <c r="AQ7" s="103" t="s">
        <v>170</v>
      </c>
      <c r="AS7" s="27" t="s">
        <v>11</v>
      </c>
      <c r="AT7" s="27" t="s">
        <v>12</v>
      </c>
      <c r="AU7" s="27" t="s">
        <v>4</v>
      </c>
      <c r="AV7" s="41" t="s">
        <v>169</v>
      </c>
      <c r="AW7" s="103" t="s">
        <v>170</v>
      </c>
      <c r="AY7" s="27" t="s">
        <v>11</v>
      </c>
      <c r="AZ7" s="27" t="s">
        <v>12</v>
      </c>
      <c r="BA7" s="27" t="s">
        <v>4</v>
      </c>
      <c r="BB7" s="41" t="s">
        <v>169</v>
      </c>
      <c r="BC7" s="103" t="s">
        <v>170</v>
      </c>
      <c r="BE7" s="27" t="s">
        <v>11</v>
      </c>
      <c r="BF7" s="27" t="s">
        <v>12</v>
      </c>
      <c r="BG7" s="27" t="s">
        <v>4</v>
      </c>
      <c r="BH7" s="41" t="s">
        <v>169</v>
      </c>
      <c r="BI7" s="103" t="s">
        <v>170</v>
      </c>
      <c r="BK7" s="27" t="s">
        <v>11</v>
      </c>
      <c r="BL7" s="27" t="s">
        <v>12</v>
      </c>
      <c r="BM7" s="27" t="s">
        <v>4</v>
      </c>
      <c r="BN7" s="41" t="s">
        <v>169</v>
      </c>
      <c r="BO7" s="103" t="s">
        <v>170</v>
      </c>
      <c r="BQ7" s="27" t="s">
        <v>11</v>
      </c>
      <c r="BR7" s="27" t="s">
        <v>12</v>
      </c>
      <c r="BS7" s="27" t="s">
        <v>4</v>
      </c>
      <c r="BT7" s="41" t="s">
        <v>169</v>
      </c>
      <c r="BU7" s="103" t="s">
        <v>170</v>
      </c>
      <c r="BW7" s="27" t="s">
        <v>11</v>
      </c>
      <c r="BX7" s="27" t="s">
        <v>12</v>
      </c>
      <c r="BY7" s="27" t="s">
        <v>4</v>
      </c>
      <c r="BZ7" s="41" t="s">
        <v>169</v>
      </c>
      <c r="CA7" s="103" t="s">
        <v>170</v>
      </c>
      <c r="CC7" s="27" t="s">
        <v>11</v>
      </c>
      <c r="CD7" s="27" t="s">
        <v>12</v>
      </c>
      <c r="CE7" s="27" t="s">
        <v>4</v>
      </c>
      <c r="CF7" s="41" t="s">
        <v>169</v>
      </c>
      <c r="CG7" s="103" t="s">
        <v>170</v>
      </c>
      <c r="CI7" s="27" t="s">
        <v>11</v>
      </c>
      <c r="CJ7" s="27" t="s">
        <v>12</v>
      </c>
      <c r="CK7" s="27" t="s">
        <v>4</v>
      </c>
      <c r="CL7" s="41" t="s">
        <v>169</v>
      </c>
      <c r="CM7" s="103" t="s">
        <v>170</v>
      </c>
      <c r="CO7" s="27" t="s">
        <v>11</v>
      </c>
      <c r="CP7" s="27" t="s">
        <v>12</v>
      </c>
      <c r="CQ7" s="27" t="s">
        <v>4</v>
      </c>
      <c r="CR7" s="41" t="s">
        <v>169</v>
      </c>
      <c r="CS7" s="103" t="s">
        <v>170</v>
      </c>
      <c r="CU7" s="27" t="s">
        <v>11</v>
      </c>
      <c r="CV7" s="27" t="s">
        <v>12</v>
      </c>
      <c r="CW7" s="27" t="s">
        <v>4</v>
      </c>
      <c r="CX7" s="41" t="s">
        <v>169</v>
      </c>
      <c r="CY7" s="103" t="s">
        <v>170</v>
      </c>
      <c r="DA7" s="27" t="s">
        <v>11</v>
      </c>
      <c r="DB7" s="27" t="s">
        <v>12</v>
      </c>
      <c r="DC7" s="27" t="s">
        <v>4</v>
      </c>
      <c r="DD7" s="41" t="s">
        <v>169</v>
      </c>
      <c r="DE7" s="103" t="s">
        <v>170</v>
      </c>
      <c r="DG7" s="27" t="s">
        <v>11</v>
      </c>
      <c r="DH7" s="27" t="s">
        <v>12</v>
      </c>
      <c r="DI7" s="27" t="s">
        <v>4</v>
      </c>
      <c r="DJ7" s="41" t="s">
        <v>169</v>
      </c>
      <c r="DK7" s="103" t="s">
        <v>170</v>
      </c>
      <c r="DM7" s="89" t="s">
        <v>11</v>
      </c>
      <c r="DN7" s="89" t="s">
        <v>12</v>
      </c>
      <c r="DO7" s="89" t="s">
        <v>4</v>
      </c>
      <c r="DP7" s="85" t="s">
        <v>169</v>
      </c>
      <c r="DQ7" s="103" t="s">
        <v>170</v>
      </c>
      <c r="DS7" s="27" t="s">
        <v>11</v>
      </c>
      <c r="DT7" s="27" t="s">
        <v>12</v>
      </c>
      <c r="DU7" s="27" t="s">
        <v>4</v>
      </c>
      <c r="DV7" s="41" t="s">
        <v>169</v>
      </c>
      <c r="DW7" s="103" t="s">
        <v>170</v>
      </c>
      <c r="DY7" s="27" t="s">
        <v>11</v>
      </c>
      <c r="DZ7" s="27" t="s">
        <v>12</v>
      </c>
      <c r="EA7" s="27" t="s">
        <v>4</v>
      </c>
      <c r="EB7" s="41" t="s">
        <v>169</v>
      </c>
      <c r="EC7" s="103" t="s">
        <v>170</v>
      </c>
      <c r="EE7" s="27" t="s">
        <v>11</v>
      </c>
      <c r="EF7" s="27" t="s">
        <v>12</v>
      </c>
      <c r="EG7" s="27" t="s">
        <v>4</v>
      </c>
      <c r="EH7" s="41" t="s">
        <v>169</v>
      </c>
      <c r="EI7" s="103" t="s">
        <v>170</v>
      </c>
      <c r="EK7" s="27" t="s">
        <v>11</v>
      </c>
      <c r="EL7" s="27" t="s">
        <v>12</v>
      </c>
      <c r="EM7" s="27" t="s">
        <v>4</v>
      </c>
      <c r="EN7" s="41" t="s">
        <v>169</v>
      </c>
      <c r="EO7" s="103" t="s">
        <v>170</v>
      </c>
      <c r="EQ7" s="27" t="s">
        <v>11</v>
      </c>
      <c r="ER7" s="27" t="s">
        <v>12</v>
      </c>
      <c r="ES7" s="27" t="s">
        <v>4</v>
      </c>
      <c r="ET7" s="41" t="s">
        <v>169</v>
      </c>
      <c r="EU7" s="103" t="s">
        <v>170</v>
      </c>
      <c r="EW7" s="27" t="s">
        <v>11</v>
      </c>
      <c r="EX7" s="27" t="s">
        <v>12</v>
      </c>
      <c r="EY7" s="27" t="s">
        <v>4</v>
      </c>
      <c r="EZ7" s="41" t="s">
        <v>169</v>
      </c>
      <c r="FA7" s="103" t="s">
        <v>170</v>
      </c>
      <c r="FC7" s="27" t="s">
        <v>11</v>
      </c>
      <c r="FD7" s="27" t="s">
        <v>12</v>
      </c>
      <c r="FE7" s="27" t="s">
        <v>4</v>
      </c>
      <c r="FF7" s="41" t="s">
        <v>169</v>
      </c>
      <c r="FG7" s="103" t="s">
        <v>170</v>
      </c>
      <c r="FI7" s="27" t="s">
        <v>11</v>
      </c>
      <c r="FJ7" s="27" t="s">
        <v>12</v>
      </c>
      <c r="FK7" s="27" t="s">
        <v>4</v>
      </c>
      <c r="FL7" s="41" t="s">
        <v>169</v>
      </c>
      <c r="FM7" s="103" t="s">
        <v>170</v>
      </c>
    </row>
    <row r="8" spans="1:169" s="52" customFormat="1" ht="12.75">
      <c r="A8" s="51">
        <v>44105</v>
      </c>
      <c r="C8" s="42"/>
      <c r="D8" s="42"/>
      <c r="E8" s="77"/>
      <c r="F8" s="77"/>
      <c r="G8" s="77"/>
      <c r="H8" s="79"/>
      <c r="I8" s="79">
        <f>'2021A Academic'!I8</f>
        <v>0</v>
      </c>
      <c r="J8" s="79">
        <f>'2021A Academic'!J8</f>
        <v>0</v>
      </c>
      <c r="K8" s="79">
        <f>I8+J8</f>
        <v>0</v>
      </c>
      <c r="L8" s="79">
        <f>'2021A Academic'!L8</f>
        <v>0</v>
      </c>
      <c r="M8" s="79">
        <f>'2021A Academic'!M8</f>
        <v>0</v>
      </c>
      <c r="N8" s="79"/>
      <c r="O8" s="78">
        <f aca="true" t="shared" si="0" ref="O8:P15">U8+AA8+AG8+AM8+AS8+AY8+BE8+BK8+BQ8+BW8+CC8+CI8+CO8+CU8+DA8+DG8+DM8+DS8+DY8+EE8+EK8+EQ8+EW8+FC8</f>
        <v>0</v>
      </c>
      <c r="P8" s="80">
        <f t="shared" si="0"/>
        <v>0</v>
      </c>
      <c r="Q8" s="78">
        <f aca="true" t="shared" si="1" ref="Q8:Q15">O8+P8</f>
        <v>0</v>
      </c>
      <c r="R8" s="78">
        <f aca="true" t="shared" si="2" ref="R8:S15">X8+AD8+AJ8+AP8+AV8+BB8+BH8+BN8+BT8+BZ8+CF8+CL8+CR8+CX8+DD8+DJ8+DP8+DV8+EB8+EH8+EN8+ET8+EZ8+FF8+FL8</f>
        <v>0</v>
      </c>
      <c r="S8" s="78">
        <f t="shared" si="2"/>
        <v>0</v>
      </c>
      <c r="T8" s="79"/>
      <c r="U8" s="78"/>
      <c r="V8" s="77">
        <f aca="true" t="shared" si="3" ref="V8:V15">D8*8.1724/100</f>
        <v>0</v>
      </c>
      <c r="W8" s="78">
        <f aca="true" t="shared" si="4" ref="W8:W15">U8+V8</f>
        <v>0</v>
      </c>
      <c r="X8" s="78">
        <f aca="true" t="shared" si="5" ref="X8:X15">V$6*$F8</f>
        <v>0</v>
      </c>
      <c r="Y8" s="77">
        <f aca="true" t="shared" si="6" ref="Y8:Y15">V$6*$G8</f>
        <v>0</v>
      </c>
      <c r="Z8" s="79"/>
      <c r="AA8" s="78"/>
      <c r="AB8" s="78">
        <f aca="true" t="shared" si="7" ref="AB8:AB15">D8*5.95646/100</f>
        <v>0</v>
      </c>
      <c r="AC8" s="78">
        <f aca="true" t="shared" si="8" ref="AC8:AC15">AA8+AB8</f>
        <v>0</v>
      </c>
      <c r="AD8" s="78">
        <f aca="true" t="shared" si="9" ref="AD8:AD15">AB$6*$F8</f>
        <v>0</v>
      </c>
      <c r="AE8" s="77">
        <f aca="true" t="shared" si="10" ref="AE8:AE15">AB$6*$G8</f>
        <v>0</v>
      </c>
      <c r="AF8" s="79"/>
      <c r="AG8" s="78"/>
      <c r="AH8" s="78">
        <f aca="true" t="shared" si="11" ref="AH8:AH15">D8*3.15804/100</f>
        <v>0</v>
      </c>
      <c r="AI8" s="78">
        <f aca="true" t="shared" si="12" ref="AI8:AI15">AG8+AH8</f>
        <v>0</v>
      </c>
      <c r="AJ8" s="78">
        <f aca="true" t="shared" si="13" ref="AJ8:AJ15">AH$6*$F8</f>
        <v>0</v>
      </c>
      <c r="AK8" s="77">
        <f aca="true" t="shared" si="14" ref="AK8:AK15">AH$6*$G8</f>
        <v>0</v>
      </c>
      <c r="AL8" s="79"/>
      <c r="AM8" s="78"/>
      <c r="AN8" s="78">
        <f aca="true" t="shared" si="15" ref="AN8:AN15">D8*2.2968/100</f>
        <v>0</v>
      </c>
      <c r="AO8" s="78">
        <f aca="true" t="shared" si="16" ref="AO8:AO15">AM8+AN8</f>
        <v>0</v>
      </c>
      <c r="AP8" s="78">
        <f aca="true" t="shared" si="17" ref="AP8:AP15">AN$6*$F8</f>
        <v>0</v>
      </c>
      <c r="AQ8" s="77">
        <f aca="true" t="shared" si="18" ref="AQ8:AQ15">AN$6*$G8</f>
        <v>0</v>
      </c>
      <c r="AR8" s="79"/>
      <c r="AS8" s="78"/>
      <c r="AT8" s="78">
        <f aca="true" t="shared" si="19" ref="AT8:AT15">D8*0.26309/100</f>
        <v>0</v>
      </c>
      <c r="AU8" s="78">
        <f aca="true" t="shared" si="20" ref="AU8:AU15">AS8+AT8</f>
        <v>0</v>
      </c>
      <c r="AV8" s="78">
        <f aca="true" t="shared" si="21" ref="AV8:AV15">AT$6*$F8</f>
        <v>0</v>
      </c>
      <c r="AW8" s="77">
        <f aca="true" t="shared" si="22" ref="AW8:AW15">AT$6*$G8</f>
        <v>0</v>
      </c>
      <c r="AX8" s="79"/>
      <c r="AY8" s="78"/>
      <c r="AZ8" s="78">
        <f aca="true" t="shared" si="23" ref="AZ8:AZ15">D8*4.16229/100</f>
        <v>0</v>
      </c>
      <c r="BA8" s="78">
        <f aca="true" t="shared" si="24" ref="BA8:BA15">AY8+AZ8</f>
        <v>0</v>
      </c>
      <c r="BB8" s="78">
        <f aca="true" t="shared" si="25" ref="BB8:BB15">AZ$6*$F8</f>
        <v>0</v>
      </c>
      <c r="BC8" s="77">
        <f aca="true" t="shared" si="26" ref="BC8:BC15">AZ$6*$G8</f>
        <v>0</v>
      </c>
      <c r="BD8" s="79"/>
      <c r="BE8" s="78"/>
      <c r="BF8" s="78">
        <f aca="true" t="shared" si="27" ref="BF8:BF15">D8*0.45121/100</f>
        <v>0</v>
      </c>
      <c r="BG8" s="78">
        <f aca="true" t="shared" si="28" ref="BG8:BG15">BE8+BF8</f>
        <v>0</v>
      </c>
      <c r="BH8" s="78">
        <f aca="true" t="shared" si="29" ref="BH8:BH15">BF$6*$F8</f>
        <v>0</v>
      </c>
      <c r="BI8" s="77">
        <f aca="true" t="shared" si="30" ref="BI8:BI15">BF$6*$G8</f>
        <v>0</v>
      </c>
      <c r="BJ8" s="79"/>
      <c r="BK8" s="78"/>
      <c r="BL8" s="78">
        <f aca="true" t="shared" si="31" ref="BL8:BL15">D8*1.41147/100</f>
        <v>0</v>
      </c>
      <c r="BM8" s="78">
        <f aca="true" t="shared" si="32" ref="BM8:BM15">BK8+BL8</f>
        <v>0</v>
      </c>
      <c r="BN8" s="78">
        <f aca="true" t="shared" si="33" ref="BN8:BN15">BL$6*$F8</f>
        <v>0</v>
      </c>
      <c r="BO8" s="77">
        <f aca="true" t="shared" si="34" ref="BO8:BO15">BL$6*$G8</f>
        <v>0</v>
      </c>
      <c r="BP8" s="79"/>
      <c r="BQ8" s="78"/>
      <c r="BR8" s="78">
        <f aca="true" t="shared" si="35" ref="BR8:BR15">D8*0.71579/100</f>
        <v>0</v>
      </c>
      <c r="BS8" s="78">
        <f aca="true" t="shared" si="36" ref="BS8:BS15">BQ8+BR8</f>
        <v>0</v>
      </c>
      <c r="BT8" s="78">
        <f aca="true" t="shared" si="37" ref="BT8:BT15">BR$6*$F8</f>
        <v>0</v>
      </c>
      <c r="BU8" s="77">
        <f aca="true" t="shared" si="38" ref="BU8:BU15">BR$6*$G8</f>
        <v>0</v>
      </c>
      <c r="BV8" s="79"/>
      <c r="BW8" s="78"/>
      <c r="BX8" s="78">
        <f aca="true" t="shared" si="39" ref="BX8:BX15">D8*0.13901/100</f>
        <v>0</v>
      </c>
      <c r="BY8" s="78">
        <f aca="true" t="shared" si="40" ref="BY8:BY15">BW8+BX8</f>
        <v>0</v>
      </c>
      <c r="BZ8" s="78">
        <f aca="true" t="shared" si="41" ref="BZ8:BZ15">BX$6*$F8</f>
        <v>0</v>
      </c>
      <c r="CA8" s="77">
        <f aca="true" t="shared" si="42" ref="CA8:CA15">BX$6*$G8</f>
        <v>0</v>
      </c>
      <c r="CB8" s="79"/>
      <c r="CC8" s="78"/>
      <c r="CD8" s="78">
        <f aca="true" t="shared" si="43" ref="CD8:CD15">D8*0.55234/100</f>
        <v>0</v>
      </c>
      <c r="CE8" s="78">
        <f aca="true" t="shared" si="44" ref="CE8:CE15">CC8+CD8</f>
        <v>0</v>
      </c>
      <c r="CF8" s="78">
        <f aca="true" t="shared" si="45" ref="CF8:CF15">CD$6*$F8</f>
        <v>0</v>
      </c>
      <c r="CG8" s="77">
        <f aca="true" t="shared" si="46" ref="CG8:CG15">CD$6*$G8</f>
        <v>0</v>
      </c>
      <c r="CH8" s="79"/>
      <c r="CI8" s="78"/>
      <c r="CJ8" s="78">
        <f aca="true" t="shared" si="47" ref="CJ8:CJ15">D8*1.34713/100</f>
        <v>0</v>
      </c>
      <c r="CK8" s="78">
        <f aca="true" t="shared" si="48" ref="CK8:CK15">CI8+CJ8</f>
        <v>0</v>
      </c>
      <c r="CL8" s="78">
        <f aca="true" t="shared" si="49" ref="CL8:CL15">CJ$6*$F8</f>
        <v>0</v>
      </c>
      <c r="CM8" s="77">
        <f aca="true" t="shared" si="50" ref="CM8:CM15">CJ$6*$G8</f>
        <v>0</v>
      </c>
      <c r="CN8" s="79"/>
      <c r="CO8" s="78"/>
      <c r="CP8" s="78">
        <f aca="true" t="shared" si="51" ref="CP8:CP15">D8*3.01524/100</f>
        <v>0</v>
      </c>
      <c r="CQ8" s="78">
        <f aca="true" t="shared" si="52" ref="CQ8:CQ15">CO8+CP8</f>
        <v>0</v>
      </c>
      <c r="CR8" s="78">
        <f aca="true" t="shared" si="53" ref="CR8:CR15">CP$6*$F8</f>
        <v>0</v>
      </c>
      <c r="CS8" s="77">
        <f aca="true" t="shared" si="54" ref="CS8:CS15">CP$6*$G8</f>
        <v>0</v>
      </c>
      <c r="CT8" s="79"/>
      <c r="CU8" s="78"/>
      <c r="CV8" s="78">
        <f aca="true" t="shared" si="55" ref="CV8:CV15">D8*0.45619/100</f>
        <v>0</v>
      </c>
      <c r="CW8" s="78">
        <f aca="true" t="shared" si="56" ref="CW8:CW15">CU8+CV8</f>
        <v>0</v>
      </c>
      <c r="CX8" s="78">
        <f aca="true" t="shared" si="57" ref="CX8:CX15">CV$6*$F8</f>
        <v>0</v>
      </c>
      <c r="CY8" s="77">
        <f aca="true" t="shared" si="58" ref="CY8:CY15">CV$6*$G8</f>
        <v>0</v>
      </c>
      <c r="CZ8" s="79"/>
      <c r="DA8" s="78"/>
      <c r="DB8" s="78">
        <f aca="true" t="shared" si="59" ref="DB8:DB15">D8*1.31079/100</f>
        <v>0</v>
      </c>
      <c r="DC8" s="78">
        <f aca="true" t="shared" si="60" ref="DC8:DC15">DA8+DB8</f>
        <v>0</v>
      </c>
      <c r="DD8" s="78">
        <f aca="true" t="shared" si="61" ref="DD8:DD15">DB$6*$F8</f>
        <v>0</v>
      </c>
      <c r="DE8" s="77">
        <f aca="true" t="shared" si="62" ref="DE8:DE15">DB$6*$G8</f>
        <v>0</v>
      </c>
      <c r="DF8" s="79"/>
      <c r="DG8" s="78"/>
      <c r="DH8" s="78">
        <f aca="true" t="shared" si="63" ref="DH8:DH15">D8*0.05051/100</f>
        <v>0</v>
      </c>
      <c r="DI8" s="78">
        <f aca="true" t="shared" si="64" ref="DI8:DI15">DG8+DH8</f>
        <v>0</v>
      </c>
      <c r="DJ8" s="78">
        <f aca="true" t="shared" si="65" ref="DJ8:DJ15">DH$6*$F8</f>
        <v>0</v>
      </c>
      <c r="DK8" s="77">
        <f aca="true" t="shared" si="66" ref="DK8:DK15">DH$6*$G8</f>
        <v>0</v>
      </c>
      <c r="DL8" s="79"/>
      <c r="DM8" s="90"/>
      <c r="DN8" s="90">
        <f aca="true" t="shared" si="67" ref="DN8:DN15">D8*2.76518/100</f>
        <v>0</v>
      </c>
      <c r="DO8" s="90">
        <f aca="true" t="shared" si="68" ref="DO8:DO15">DM8+DN8</f>
        <v>0</v>
      </c>
      <c r="DP8" s="90">
        <f aca="true" t="shared" si="69" ref="DP8:DP15">DN$6*$F8</f>
        <v>0</v>
      </c>
      <c r="DQ8" s="92">
        <f aca="true" t="shared" si="70" ref="DQ8:DQ15">DN$6*$G8</f>
        <v>0</v>
      </c>
      <c r="DR8" s="79"/>
      <c r="DS8" s="78"/>
      <c r="DT8" s="78">
        <f aca="true" t="shared" si="71" ref="DT8:DT15">D8*0.43534/100</f>
        <v>0</v>
      </c>
      <c r="DU8" s="78">
        <f aca="true" t="shared" si="72" ref="DU8:DU15">DS8+DT8</f>
        <v>0</v>
      </c>
      <c r="DV8" s="78">
        <f aca="true" t="shared" si="73" ref="DV8:DV15">DT$6*$F8</f>
        <v>0</v>
      </c>
      <c r="DW8" s="77">
        <f aca="true" t="shared" si="74" ref="DW8:DW15">DT$6*$G8</f>
        <v>0</v>
      </c>
      <c r="DX8" s="79"/>
      <c r="DY8" s="78"/>
      <c r="DZ8" s="78">
        <f aca="true" t="shared" si="75" ref="DZ8:DZ15">D8*2.24029/100</f>
        <v>0</v>
      </c>
      <c r="EA8" s="78">
        <f aca="true" t="shared" si="76" ref="EA8:EA15">DY8+DZ8</f>
        <v>0</v>
      </c>
      <c r="EB8" s="78">
        <f aca="true" t="shared" si="77" ref="EB8:EB15">DZ$6*$F8</f>
        <v>0</v>
      </c>
      <c r="EC8" s="77">
        <f aca="true" t="shared" si="78" ref="EC8:EC15">DZ$6*$G8</f>
        <v>0</v>
      </c>
      <c r="ED8" s="79"/>
      <c r="EE8" s="78"/>
      <c r="EF8" s="78">
        <f aca="true" t="shared" si="79" ref="EF8:EF15">D8*0.63958/100</f>
        <v>0</v>
      </c>
      <c r="EG8" s="78">
        <f aca="true" t="shared" si="80" ref="EG8:EG15">EE8+EF8</f>
        <v>0</v>
      </c>
      <c r="EH8" s="78">
        <f aca="true" t="shared" si="81" ref="EH8:EH15">EF$6*$F8</f>
        <v>0</v>
      </c>
      <c r="EI8" s="77">
        <f aca="true" t="shared" si="82" ref="EI8:EI15">EF$6*$G8</f>
        <v>0</v>
      </c>
      <c r="EJ8" s="79"/>
      <c r="EK8" s="78"/>
      <c r="EL8" s="78">
        <f aca="true" t="shared" si="83" ref="EL8:EL15">D8*0.00642/100</f>
        <v>0</v>
      </c>
      <c r="EM8" s="78">
        <f aca="true" t="shared" si="84" ref="EM8:EM15">EK8+EL8</f>
        <v>0</v>
      </c>
      <c r="EN8" s="78">
        <f aca="true" t="shared" si="85" ref="EN8:EN15">EL$6*$F8</f>
        <v>0</v>
      </c>
      <c r="EO8" s="77">
        <f aca="true" t="shared" si="86" ref="EO8:EO15">EL$6*$G8</f>
        <v>0</v>
      </c>
      <c r="EP8" s="79"/>
      <c r="EQ8" s="78"/>
      <c r="ER8" s="78">
        <f aca="true" t="shared" si="87" ref="ER8:ER15">D8*0.01192/100</f>
        <v>0</v>
      </c>
      <c r="ES8" s="78">
        <f aca="true" t="shared" si="88" ref="ES8:ES15">EQ8+ER8</f>
        <v>0</v>
      </c>
      <c r="ET8" s="78">
        <f aca="true" t="shared" si="89" ref="ET8:ET15">ER$6*$F8</f>
        <v>0</v>
      </c>
      <c r="EU8" s="77">
        <f aca="true" t="shared" si="90" ref="EU8:EU15">ER$6*$G8</f>
        <v>0</v>
      </c>
      <c r="EV8" s="79"/>
      <c r="EW8" s="78"/>
      <c r="EX8" s="78">
        <f aca="true" t="shared" si="91" ref="EX8:EX15">D8*2.15476/100</f>
        <v>0</v>
      </c>
      <c r="EY8" s="78">
        <f aca="true" t="shared" si="92" ref="EY8:EY15">EW8+EX8</f>
        <v>0</v>
      </c>
      <c r="EZ8" s="78">
        <f aca="true" t="shared" si="93" ref="EZ8:EZ15">EX$6*$F8</f>
        <v>0</v>
      </c>
      <c r="FA8" s="77">
        <f aca="true" t="shared" si="94" ref="FA8:FA15">EX$6*$G8</f>
        <v>0</v>
      </c>
      <c r="FB8" s="79"/>
      <c r="FC8" s="78"/>
      <c r="FD8" s="78">
        <f aca="true" t="shared" si="95" ref="FD8:FD15">D8*4.00516/100</f>
        <v>0</v>
      </c>
      <c r="FE8" s="78">
        <f aca="true" t="shared" si="96" ref="FE8:FE15">FC8+FD8</f>
        <v>0</v>
      </c>
      <c r="FF8" s="78">
        <f aca="true" t="shared" si="97" ref="FF8:FF15">FD$6*$F8</f>
        <v>0</v>
      </c>
      <c r="FG8" s="77">
        <f aca="true" t="shared" si="98" ref="FG8:FG15">FD$6*$G8</f>
        <v>0</v>
      </c>
      <c r="FH8" s="79"/>
      <c r="FI8" s="80"/>
      <c r="FJ8" s="78"/>
      <c r="FK8" s="78"/>
      <c r="FL8" s="78"/>
      <c r="FM8" s="77">
        <f aca="true" t="shared" si="99" ref="FM8:FM15">FJ$6*$G8</f>
        <v>0</v>
      </c>
    </row>
    <row r="9" spans="1:169" s="52" customFormat="1" ht="12.75">
      <c r="A9" s="51">
        <v>44287</v>
      </c>
      <c r="C9" s="42"/>
      <c r="D9" s="42"/>
      <c r="E9" s="77"/>
      <c r="F9" s="77"/>
      <c r="G9" s="77"/>
      <c r="H9" s="79"/>
      <c r="I9" s="79">
        <f>'2021A Academic'!I9</f>
        <v>0</v>
      </c>
      <c r="J9" s="79">
        <f>'2021A Academic'!J9</f>
        <v>0</v>
      </c>
      <c r="K9" s="79">
        <f aca="true" t="shared" si="100" ref="K9:K15">I9+J9</f>
        <v>0</v>
      </c>
      <c r="L9" s="79">
        <f>'2021A Academic'!L9</f>
        <v>0</v>
      </c>
      <c r="M9" s="79">
        <f>'2021A Academic'!M9</f>
        <v>0</v>
      </c>
      <c r="N9" s="79"/>
      <c r="O9" s="78">
        <f t="shared" si="0"/>
        <v>0</v>
      </c>
      <c r="P9" s="80">
        <f t="shared" si="0"/>
        <v>0</v>
      </c>
      <c r="Q9" s="78">
        <f t="shared" si="1"/>
        <v>0</v>
      </c>
      <c r="R9" s="78">
        <f t="shared" si="2"/>
        <v>0</v>
      </c>
      <c r="S9" s="78">
        <f t="shared" si="2"/>
        <v>0</v>
      </c>
      <c r="T9" s="79"/>
      <c r="U9" s="78">
        <f aca="true" t="shared" si="101" ref="U9:U15">C9*8.1724/100</f>
        <v>0</v>
      </c>
      <c r="V9" s="77">
        <f t="shared" si="3"/>
        <v>0</v>
      </c>
      <c r="W9" s="78">
        <f t="shared" si="4"/>
        <v>0</v>
      </c>
      <c r="X9" s="78">
        <f t="shared" si="5"/>
        <v>0</v>
      </c>
      <c r="Y9" s="77">
        <f t="shared" si="6"/>
        <v>0</v>
      </c>
      <c r="Z9" s="79"/>
      <c r="AA9" s="78">
        <f aca="true" t="shared" si="102" ref="AA9:AA15">C9*5.95646/100</f>
        <v>0</v>
      </c>
      <c r="AB9" s="78">
        <f t="shared" si="7"/>
        <v>0</v>
      </c>
      <c r="AC9" s="78">
        <f t="shared" si="8"/>
        <v>0</v>
      </c>
      <c r="AD9" s="78">
        <f t="shared" si="9"/>
        <v>0</v>
      </c>
      <c r="AE9" s="77">
        <f t="shared" si="10"/>
        <v>0</v>
      </c>
      <c r="AF9" s="79"/>
      <c r="AG9" s="78">
        <f aca="true" t="shared" si="103" ref="AG9:AG15">C9*3.15804/100</f>
        <v>0</v>
      </c>
      <c r="AH9" s="78">
        <f t="shared" si="11"/>
        <v>0</v>
      </c>
      <c r="AI9" s="78">
        <f t="shared" si="12"/>
        <v>0</v>
      </c>
      <c r="AJ9" s="78">
        <f t="shared" si="13"/>
        <v>0</v>
      </c>
      <c r="AK9" s="77">
        <f t="shared" si="14"/>
        <v>0</v>
      </c>
      <c r="AL9" s="79"/>
      <c r="AM9" s="78">
        <f aca="true" t="shared" si="104" ref="AM9:AM15">C9*2.2968/100</f>
        <v>0</v>
      </c>
      <c r="AN9" s="78">
        <f t="shared" si="15"/>
        <v>0</v>
      </c>
      <c r="AO9" s="78">
        <f t="shared" si="16"/>
        <v>0</v>
      </c>
      <c r="AP9" s="78">
        <f t="shared" si="17"/>
        <v>0</v>
      </c>
      <c r="AQ9" s="77">
        <f t="shared" si="18"/>
        <v>0</v>
      </c>
      <c r="AR9" s="79"/>
      <c r="AS9" s="78">
        <f aca="true" t="shared" si="105" ref="AS9:AS15">C9*0.26309/100</f>
        <v>0</v>
      </c>
      <c r="AT9" s="78">
        <f t="shared" si="19"/>
        <v>0</v>
      </c>
      <c r="AU9" s="78">
        <f t="shared" si="20"/>
        <v>0</v>
      </c>
      <c r="AV9" s="78">
        <f t="shared" si="21"/>
        <v>0</v>
      </c>
      <c r="AW9" s="77">
        <f t="shared" si="22"/>
        <v>0</v>
      </c>
      <c r="AX9" s="79"/>
      <c r="AY9" s="78">
        <f aca="true" t="shared" si="106" ref="AY9:AY15">C9*4.16229/100</f>
        <v>0</v>
      </c>
      <c r="AZ9" s="78">
        <f t="shared" si="23"/>
        <v>0</v>
      </c>
      <c r="BA9" s="78">
        <f t="shared" si="24"/>
        <v>0</v>
      </c>
      <c r="BB9" s="78">
        <f t="shared" si="25"/>
        <v>0</v>
      </c>
      <c r="BC9" s="77">
        <f t="shared" si="26"/>
        <v>0</v>
      </c>
      <c r="BD9" s="79"/>
      <c r="BE9" s="78">
        <f aca="true" t="shared" si="107" ref="BE9:BE15">C9*0.45121/100</f>
        <v>0</v>
      </c>
      <c r="BF9" s="78">
        <f t="shared" si="27"/>
        <v>0</v>
      </c>
      <c r="BG9" s="78">
        <f t="shared" si="28"/>
        <v>0</v>
      </c>
      <c r="BH9" s="78">
        <f t="shared" si="29"/>
        <v>0</v>
      </c>
      <c r="BI9" s="77">
        <f t="shared" si="30"/>
        <v>0</v>
      </c>
      <c r="BJ9" s="79"/>
      <c r="BK9" s="78">
        <f aca="true" t="shared" si="108" ref="BK9:BK15">C9*1.41147/100</f>
        <v>0</v>
      </c>
      <c r="BL9" s="78">
        <f t="shared" si="31"/>
        <v>0</v>
      </c>
      <c r="BM9" s="78">
        <f t="shared" si="32"/>
        <v>0</v>
      </c>
      <c r="BN9" s="78">
        <f t="shared" si="33"/>
        <v>0</v>
      </c>
      <c r="BO9" s="77">
        <f t="shared" si="34"/>
        <v>0</v>
      </c>
      <c r="BP9" s="79"/>
      <c r="BQ9" s="78">
        <f aca="true" t="shared" si="109" ref="BQ9:BQ15">C9*0.71579/100</f>
        <v>0</v>
      </c>
      <c r="BR9" s="78">
        <f t="shared" si="35"/>
        <v>0</v>
      </c>
      <c r="BS9" s="78">
        <f t="shared" si="36"/>
        <v>0</v>
      </c>
      <c r="BT9" s="78">
        <f t="shared" si="37"/>
        <v>0</v>
      </c>
      <c r="BU9" s="77">
        <f t="shared" si="38"/>
        <v>0</v>
      </c>
      <c r="BV9" s="79"/>
      <c r="BW9" s="78">
        <f aca="true" t="shared" si="110" ref="BW9:BW15">C9*0.13901/100</f>
        <v>0</v>
      </c>
      <c r="BX9" s="78">
        <f t="shared" si="39"/>
        <v>0</v>
      </c>
      <c r="BY9" s="78">
        <f t="shared" si="40"/>
        <v>0</v>
      </c>
      <c r="BZ9" s="78">
        <f t="shared" si="41"/>
        <v>0</v>
      </c>
      <c r="CA9" s="77">
        <f t="shared" si="42"/>
        <v>0</v>
      </c>
      <c r="CB9" s="79"/>
      <c r="CC9" s="78">
        <f aca="true" t="shared" si="111" ref="CC9:CC15">C9*0.55234/100</f>
        <v>0</v>
      </c>
      <c r="CD9" s="78">
        <f t="shared" si="43"/>
        <v>0</v>
      </c>
      <c r="CE9" s="78">
        <f t="shared" si="44"/>
        <v>0</v>
      </c>
      <c r="CF9" s="78">
        <f t="shared" si="45"/>
        <v>0</v>
      </c>
      <c r="CG9" s="77">
        <f t="shared" si="46"/>
        <v>0</v>
      </c>
      <c r="CH9" s="79"/>
      <c r="CI9" s="78">
        <f aca="true" t="shared" si="112" ref="CI9:CI15">C9*1.34713/100</f>
        <v>0</v>
      </c>
      <c r="CJ9" s="78">
        <f t="shared" si="47"/>
        <v>0</v>
      </c>
      <c r="CK9" s="78">
        <f t="shared" si="48"/>
        <v>0</v>
      </c>
      <c r="CL9" s="78">
        <f t="shared" si="49"/>
        <v>0</v>
      </c>
      <c r="CM9" s="77">
        <f t="shared" si="50"/>
        <v>0</v>
      </c>
      <c r="CN9" s="79"/>
      <c r="CO9" s="78">
        <f aca="true" t="shared" si="113" ref="CO9:CO15">C9*3.01524/100</f>
        <v>0</v>
      </c>
      <c r="CP9" s="78">
        <f t="shared" si="51"/>
        <v>0</v>
      </c>
      <c r="CQ9" s="78">
        <f t="shared" si="52"/>
        <v>0</v>
      </c>
      <c r="CR9" s="78">
        <f t="shared" si="53"/>
        <v>0</v>
      </c>
      <c r="CS9" s="77">
        <f t="shared" si="54"/>
        <v>0</v>
      </c>
      <c r="CT9" s="79"/>
      <c r="CU9" s="78">
        <f aca="true" t="shared" si="114" ref="CU9:CU15">C9*0.45619/100</f>
        <v>0</v>
      </c>
      <c r="CV9" s="78">
        <f t="shared" si="55"/>
        <v>0</v>
      </c>
      <c r="CW9" s="78">
        <f t="shared" si="56"/>
        <v>0</v>
      </c>
      <c r="CX9" s="78">
        <f t="shared" si="57"/>
        <v>0</v>
      </c>
      <c r="CY9" s="77">
        <f t="shared" si="58"/>
        <v>0</v>
      </c>
      <c r="CZ9" s="79"/>
      <c r="DA9" s="78">
        <f aca="true" t="shared" si="115" ref="DA9:DA15">C9*1.31079/100</f>
        <v>0</v>
      </c>
      <c r="DB9" s="78">
        <f t="shared" si="59"/>
        <v>0</v>
      </c>
      <c r="DC9" s="78">
        <f t="shared" si="60"/>
        <v>0</v>
      </c>
      <c r="DD9" s="78">
        <f t="shared" si="61"/>
        <v>0</v>
      </c>
      <c r="DE9" s="77">
        <f t="shared" si="62"/>
        <v>0</v>
      </c>
      <c r="DF9" s="79"/>
      <c r="DG9" s="78">
        <f aca="true" t="shared" si="116" ref="DG9:DG15">C9*0.05051/100</f>
        <v>0</v>
      </c>
      <c r="DH9" s="78">
        <f t="shared" si="63"/>
        <v>0</v>
      </c>
      <c r="DI9" s="78">
        <f t="shared" si="64"/>
        <v>0</v>
      </c>
      <c r="DJ9" s="78">
        <f t="shared" si="65"/>
        <v>0</v>
      </c>
      <c r="DK9" s="77">
        <f t="shared" si="66"/>
        <v>0</v>
      </c>
      <c r="DL9" s="79"/>
      <c r="DM9" s="90">
        <f aca="true" t="shared" si="117" ref="DM9:DM15">C9*2.76518/100</f>
        <v>0</v>
      </c>
      <c r="DN9" s="90">
        <f t="shared" si="67"/>
        <v>0</v>
      </c>
      <c r="DO9" s="90">
        <f t="shared" si="68"/>
        <v>0</v>
      </c>
      <c r="DP9" s="90">
        <f t="shared" si="69"/>
        <v>0</v>
      </c>
      <c r="DQ9" s="92">
        <f t="shared" si="70"/>
        <v>0</v>
      </c>
      <c r="DR9" s="79"/>
      <c r="DS9" s="78">
        <f aca="true" t="shared" si="118" ref="DS9:DS15">C9*0.43534/100</f>
        <v>0</v>
      </c>
      <c r="DT9" s="78">
        <f t="shared" si="71"/>
        <v>0</v>
      </c>
      <c r="DU9" s="78">
        <f t="shared" si="72"/>
        <v>0</v>
      </c>
      <c r="DV9" s="78">
        <f t="shared" si="73"/>
        <v>0</v>
      </c>
      <c r="DW9" s="77">
        <f t="shared" si="74"/>
        <v>0</v>
      </c>
      <c r="DX9" s="79"/>
      <c r="DY9" s="78">
        <f aca="true" t="shared" si="119" ref="DY9:DY15">C9*2.24029/100</f>
        <v>0</v>
      </c>
      <c r="DZ9" s="78">
        <f t="shared" si="75"/>
        <v>0</v>
      </c>
      <c r="EA9" s="78">
        <f t="shared" si="76"/>
        <v>0</v>
      </c>
      <c r="EB9" s="78">
        <f t="shared" si="77"/>
        <v>0</v>
      </c>
      <c r="EC9" s="77">
        <f t="shared" si="78"/>
        <v>0</v>
      </c>
      <c r="ED9" s="79"/>
      <c r="EE9" s="78">
        <f aca="true" t="shared" si="120" ref="EE9:EE15">C9*0.63958/100</f>
        <v>0</v>
      </c>
      <c r="EF9" s="78">
        <f t="shared" si="79"/>
        <v>0</v>
      </c>
      <c r="EG9" s="78">
        <f t="shared" si="80"/>
        <v>0</v>
      </c>
      <c r="EH9" s="78">
        <f t="shared" si="81"/>
        <v>0</v>
      </c>
      <c r="EI9" s="77">
        <f t="shared" si="82"/>
        <v>0</v>
      </c>
      <c r="EJ9" s="79"/>
      <c r="EK9" s="78">
        <f aca="true" t="shared" si="121" ref="EK9:EK15">C9*0.00642/100</f>
        <v>0</v>
      </c>
      <c r="EL9" s="78">
        <f t="shared" si="83"/>
        <v>0</v>
      </c>
      <c r="EM9" s="78">
        <f t="shared" si="84"/>
        <v>0</v>
      </c>
      <c r="EN9" s="78">
        <f t="shared" si="85"/>
        <v>0</v>
      </c>
      <c r="EO9" s="77">
        <f t="shared" si="86"/>
        <v>0</v>
      </c>
      <c r="EP9" s="79"/>
      <c r="EQ9" s="78">
        <f aca="true" t="shared" si="122" ref="EQ9:EQ15">C9*0.01192/100</f>
        <v>0</v>
      </c>
      <c r="ER9" s="78">
        <f t="shared" si="87"/>
        <v>0</v>
      </c>
      <c r="ES9" s="78">
        <f t="shared" si="88"/>
        <v>0</v>
      </c>
      <c r="ET9" s="78">
        <f t="shared" si="89"/>
        <v>0</v>
      </c>
      <c r="EU9" s="77">
        <f t="shared" si="90"/>
        <v>0</v>
      </c>
      <c r="EV9" s="79"/>
      <c r="EW9" s="78">
        <f aca="true" t="shared" si="123" ref="EW9:EW15">C9*2.15476/100</f>
        <v>0</v>
      </c>
      <c r="EX9" s="78">
        <f t="shared" si="91"/>
        <v>0</v>
      </c>
      <c r="EY9" s="78">
        <f t="shared" si="92"/>
        <v>0</v>
      </c>
      <c r="EZ9" s="78">
        <f t="shared" si="93"/>
        <v>0</v>
      </c>
      <c r="FA9" s="77">
        <f t="shared" si="94"/>
        <v>0</v>
      </c>
      <c r="FB9" s="79"/>
      <c r="FC9" s="78">
        <f aca="true" t="shared" si="124" ref="FC9:FC15">C9*4.00516/100</f>
        <v>0</v>
      </c>
      <c r="FD9" s="78">
        <f t="shared" si="95"/>
        <v>0</v>
      </c>
      <c r="FE9" s="78">
        <f t="shared" si="96"/>
        <v>0</v>
      </c>
      <c r="FF9" s="78">
        <f t="shared" si="97"/>
        <v>0</v>
      </c>
      <c r="FG9" s="77">
        <f t="shared" si="98"/>
        <v>0</v>
      </c>
      <c r="FH9" s="79"/>
      <c r="FI9" s="80"/>
      <c r="FJ9" s="78"/>
      <c r="FK9" s="78"/>
      <c r="FL9" s="78"/>
      <c r="FM9" s="77">
        <f t="shared" si="99"/>
        <v>0</v>
      </c>
    </row>
    <row r="10" spans="1:169" s="52" customFormat="1" ht="12.75">
      <c r="A10" s="51">
        <v>44470</v>
      </c>
      <c r="C10" s="36"/>
      <c r="D10" s="36">
        <v>528485</v>
      </c>
      <c r="E10" s="77">
        <f aca="true" t="shared" si="125" ref="E10:E15">SUM(C10:D10)</f>
        <v>528485</v>
      </c>
      <c r="F10" s="77">
        <v>564789</v>
      </c>
      <c r="G10" s="77">
        <v>87471</v>
      </c>
      <c r="H10" s="79"/>
      <c r="I10" s="79">
        <f>'2021A Academic'!I10</f>
        <v>0</v>
      </c>
      <c r="J10" s="79">
        <f>'2021A Academic'!J10</f>
        <v>286875.34576149995</v>
      </c>
      <c r="K10" s="79">
        <f t="shared" si="100"/>
        <v>286875.34576149995</v>
      </c>
      <c r="L10" s="79">
        <f>'2021A Academic'!L10</f>
        <v>306582.09723510005</v>
      </c>
      <c r="M10" s="79">
        <f>'2021A Academic'!M10</f>
        <v>47481.52429889999</v>
      </c>
      <c r="N10" s="79"/>
      <c r="O10" s="78">
        <f t="shared" si="0"/>
        <v>0</v>
      </c>
      <c r="P10" s="80">
        <f t="shared" si="0"/>
        <v>241609.65423850005</v>
      </c>
      <c r="Q10" s="78">
        <f t="shared" si="1"/>
        <v>241609.65423850005</v>
      </c>
      <c r="R10" s="78">
        <f t="shared" si="2"/>
        <v>258206.9027649</v>
      </c>
      <c r="S10" s="78">
        <f t="shared" si="2"/>
        <v>39989.47570110001</v>
      </c>
      <c r="T10" s="79"/>
      <c r="U10" s="78"/>
      <c r="V10" s="77">
        <f t="shared" si="3"/>
        <v>43189.90814</v>
      </c>
      <c r="W10" s="78">
        <f t="shared" si="4"/>
        <v>43189.90814</v>
      </c>
      <c r="X10" s="78">
        <f t="shared" si="5"/>
        <v>46156.816236000006</v>
      </c>
      <c r="Y10" s="77">
        <f t="shared" si="6"/>
        <v>7148.480004</v>
      </c>
      <c r="Z10" s="79"/>
      <c r="AA10" s="78"/>
      <c r="AB10" s="78">
        <f t="shared" si="7"/>
        <v>31478.997631000002</v>
      </c>
      <c r="AC10" s="78">
        <f t="shared" si="8"/>
        <v>31478.997631000002</v>
      </c>
      <c r="AD10" s="78">
        <f t="shared" si="9"/>
        <v>33641.4308694</v>
      </c>
      <c r="AE10" s="77">
        <f t="shared" si="10"/>
        <v>5210.1751266</v>
      </c>
      <c r="AF10" s="79"/>
      <c r="AG10" s="78"/>
      <c r="AH10" s="78">
        <f t="shared" si="11"/>
        <v>16689.767694000002</v>
      </c>
      <c r="AI10" s="78">
        <f t="shared" si="12"/>
        <v>16689.767694000002</v>
      </c>
      <c r="AJ10" s="78">
        <f t="shared" si="13"/>
        <v>17836.262535600003</v>
      </c>
      <c r="AK10" s="77">
        <f t="shared" si="14"/>
        <v>2762.3691684</v>
      </c>
      <c r="AL10" s="79"/>
      <c r="AM10" s="78"/>
      <c r="AN10" s="78">
        <f t="shared" si="15"/>
        <v>12138.24348</v>
      </c>
      <c r="AO10" s="78">
        <f t="shared" si="16"/>
        <v>12138.24348</v>
      </c>
      <c r="AP10" s="78">
        <f t="shared" si="17"/>
        <v>12972.073752</v>
      </c>
      <c r="AQ10" s="77">
        <f t="shared" si="18"/>
        <v>2009.0339279999998</v>
      </c>
      <c r="AR10" s="79"/>
      <c r="AS10" s="78"/>
      <c r="AT10" s="78">
        <f t="shared" si="19"/>
        <v>1390.3911865</v>
      </c>
      <c r="AU10" s="78">
        <f t="shared" si="20"/>
        <v>1390.3911865</v>
      </c>
      <c r="AV10" s="78">
        <f t="shared" si="21"/>
        <v>1485.9033800999998</v>
      </c>
      <c r="AW10" s="77">
        <f t="shared" si="22"/>
        <v>230.12745389999998</v>
      </c>
      <c r="AX10" s="79"/>
      <c r="AY10" s="78"/>
      <c r="AZ10" s="78">
        <f t="shared" si="23"/>
        <v>21997.0783065</v>
      </c>
      <c r="BA10" s="78">
        <f t="shared" si="24"/>
        <v>21997.0783065</v>
      </c>
      <c r="BB10" s="78">
        <f t="shared" si="25"/>
        <v>23508.156068099997</v>
      </c>
      <c r="BC10" s="77">
        <f t="shared" si="26"/>
        <v>3640.7966859</v>
      </c>
      <c r="BD10" s="79"/>
      <c r="BE10" s="78"/>
      <c r="BF10" s="78">
        <f t="shared" si="27"/>
        <v>2384.5771685</v>
      </c>
      <c r="BG10" s="78">
        <f t="shared" si="28"/>
        <v>2384.5771685</v>
      </c>
      <c r="BH10" s="78">
        <f t="shared" si="29"/>
        <v>2548.3844469</v>
      </c>
      <c r="BI10" s="77">
        <f t="shared" si="30"/>
        <v>394.6778991</v>
      </c>
      <c r="BJ10" s="79"/>
      <c r="BK10" s="78"/>
      <c r="BL10" s="78">
        <f t="shared" si="31"/>
        <v>7459.4072295</v>
      </c>
      <c r="BM10" s="78">
        <f t="shared" si="32"/>
        <v>7459.4072295</v>
      </c>
      <c r="BN10" s="78">
        <f t="shared" si="33"/>
        <v>7971.827298300001</v>
      </c>
      <c r="BO10" s="77">
        <f t="shared" si="34"/>
        <v>1234.6269237000001</v>
      </c>
      <c r="BP10" s="79"/>
      <c r="BQ10" s="78"/>
      <c r="BR10" s="78">
        <f t="shared" si="35"/>
        <v>3782.8427815000005</v>
      </c>
      <c r="BS10" s="78">
        <f t="shared" si="36"/>
        <v>3782.8427815000005</v>
      </c>
      <c r="BT10" s="78">
        <f t="shared" si="37"/>
        <v>4042.7031831</v>
      </c>
      <c r="BU10" s="77">
        <f t="shared" si="38"/>
        <v>626.1086709</v>
      </c>
      <c r="BV10" s="79"/>
      <c r="BW10" s="78"/>
      <c r="BX10" s="78">
        <f t="shared" si="39"/>
        <v>734.6469984999999</v>
      </c>
      <c r="BY10" s="78">
        <f t="shared" si="40"/>
        <v>734.6469984999999</v>
      </c>
      <c r="BZ10" s="78">
        <f t="shared" si="41"/>
        <v>785.1131889</v>
      </c>
      <c r="CA10" s="77">
        <f t="shared" si="42"/>
        <v>121.5934371</v>
      </c>
      <c r="CB10" s="79"/>
      <c r="CC10" s="78"/>
      <c r="CD10" s="78">
        <f t="shared" si="43"/>
        <v>2919.0340490000003</v>
      </c>
      <c r="CE10" s="78">
        <f t="shared" si="44"/>
        <v>2919.0340490000003</v>
      </c>
      <c r="CF10" s="78">
        <f t="shared" si="45"/>
        <v>3119.5555626</v>
      </c>
      <c r="CG10" s="77">
        <f t="shared" si="46"/>
        <v>483.1373214</v>
      </c>
      <c r="CH10" s="79"/>
      <c r="CI10" s="78"/>
      <c r="CJ10" s="78">
        <f t="shared" si="47"/>
        <v>7119.379980499999</v>
      </c>
      <c r="CK10" s="78">
        <f t="shared" si="48"/>
        <v>7119.379980499999</v>
      </c>
      <c r="CL10" s="78">
        <f t="shared" si="49"/>
        <v>7608.4420557</v>
      </c>
      <c r="CM10" s="77">
        <f t="shared" si="50"/>
        <v>1178.3480823</v>
      </c>
      <c r="CN10" s="79"/>
      <c r="CO10" s="78"/>
      <c r="CP10" s="78">
        <f t="shared" si="51"/>
        <v>15935.091114</v>
      </c>
      <c r="CQ10" s="78">
        <f t="shared" si="52"/>
        <v>15935.091114</v>
      </c>
      <c r="CR10" s="78">
        <f t="shared" si="53"/>
        <v>17029.7438436</v>
      </c>
      <c r="CS10" s="77">
        <f t="shared" si="54"/>
        <v>2637.4605804</v>
      </c>
      <c r="CT10" s="79"/>
      <c r="CU10" s="78"/>
      <c r="CV10" s="78">
        <f t="shared" si="55"/>
        <v>2410.8957215</v>
      </c>
      <c r="CW10" s="78">
        <f t="shared" si="56"/>
        <v>2410.8957215</v>
      </c>
      <c r="CX10" s="78">
        <f t="shared" si="57"/>
        <v>2576.5109391</v>
      </c>
      <c r="CY10" s="77">
        <f t="shared" si="58"/>
        <v>399.03395489999997</v>
      </c>
      <c r="CZ10" s="79"/>
      <c r="DA10" s="78"/>
      <c r="DB10" s="78">
        <f t="shared" si="59"/>
        <v>6927.328531499999</v>
      </c>
      <c r="DC10" s="78">
        <f t="shared" si="60"/>
        <v>6927.328531499999</v>
      </c>
      <c r="DD10" s="78">
        <f t="shared" si="61"/>
        <v>7403.1977331</v>
      </c>
      <c r="DE10" s="77">
        <f t="shared" si="62"/>
        <v>1146.5611209</v>
      </c>
      <c r="DF10" s="79"/>
      <c r="DG10" s="78"/>
      <c r="DH10" s="78">
        <f t="shared" si="63"/>
        <v>266.9377735</v>
      </c>
      <c r="DI10" s="78">
        <f t="shared" si="64"/>
        <v>266.9377735</v>
      </c>
      <c r="DJ10" s="78">
        <f t="shared" si="65"/>
        <v>285.2749239</v>
      </c>
      <c r="DK10" s="77">
        <f t="shared" si="66"/>
        <v>44.1816021</v>
      </c>
      <c r="DL10" s="79"/>
      <c r="DM10" s="90"/>
      <c r="DN10" s="90">
        <f t="shared" si="67"/>
        <v>14613.561523</v>
      </c>
      <c r="DO10" s="90">
        <f t="shared" si="68"/>
        <v>14613.561523</v>
      </c>
      <c r="DP10" s="90">
        <f t="shared" si="69"/>
        <v>15617.432470200001</v>
      </c>
      <c r="DQ10" s="92">
        <f t="shared" si="70"/>
        <v>2418.7305978</v>
      </c>
      <c r="DR10" s="79"/>
      <c r="DS10" s="78"/>
      <c r="DT10" s="78">
        <f t="shared" si="71"/>
        <v>2300.706599</v>
      </c>
      <c r="DU10" s="78">
        <f t="shared" si="72"/>
        <v>2300.706599</v>
      </c>
      <c r="DV10" s="78">
        <f t="shared" si="73"/>
        <v>2458.7524326000002</v>
      </c>
      <c r="DW10" s="77">
        <f t="shared" si="74"/>
        <v>380.7962514</v>
      </c>
      <c r="DX10" s="79"/>
      <c r="DY10" s="78"/>
      <c r="DZ10" s="78">
        <f t="shared" si="75"/>
        <v>11839.5966065</v>
      </c>
      <c r="EA10" s="78">
        <f t="shared" si="76"/>
        <v>11839.5966065</v>
      </c>
      <c r="EB10" s="78">
        <f t="shared" si="77"/>
        <v>12652.9114881</v>
      </c>
      <c r="EC10" s="77">
        <f t="shared" si="78"/>
        <v>1959.6040659</v>
      </c>
      <c r="ED10" s="79"/>
      <c r="EE10" s="78"/>
      <c r="EF10" s="78">
        <f t="shared" si="79"/>
        <v>3380.084363</v>
      </c>
      <c r="EG10" s="78">
        <f t="shared" si="80"/>
        <v>3380.084363</v>
      </c>
      <c r="EH10" s="78">
        <f t="shared" si="81"/>
        <v>3612.2774862</v>
      </c>
      <c r="EI10" s="77">
        <f t="shared" si="82"/>
        <v>559.4470218</v>
      </c>
      <c r="EJ10" s="79"/>
      <c r="EK10" s="78"/>
      <c r="EL10" s="78">
        <f t="shared" si="83"/>
        <v>33.928737</v>
      </c>
      <c r="EM10" s="78">
        <f t="shared" si="84"/>
        <v>33.928737</v>
      </c>
      <c r="EN10" s="78">
        <f t="shared" si="85"/>
        <v>36.2594538</v>
      </c>
      <c r="EO10" s="77">
        <f t="shared" si="86"/>
        <v>5.6156382</v>
      </c>
      <c r="EP10" s="79"/>
      <c r="EQ10" s="78"/>
      <c r="ER10" s="78">
        <f t="shared" si="87"/>
        <v>62.995411999999995</v>
      </c>
      <c r="ES10" s="78">
        <f t="shared" si="88"/>
        <v>62.995411999999995</v>
      </c>
      <c r="ET10" s="78">
        <f t="shared" si="89"/>
        <v>67.3228488</v>
      </c>
      <c r="EU10" s="77">
        <f t="shared" si="90"/>
        <v>10.4265432</v>
      </c>
      <c r="EV10" s="79"/>
      <c r="EW10" s="78"/>
      <c r="EX10" s="78">
        <f t="shared" si="91"/>
        <v>11387.583385999998</v>
      </c>
      <c r="EY10" s="78">
        <f t="shared" si="92"/>
        <v>11387.583385999998</v>
      </c>
      <c r="EZ10" s="78">
        <f t="shared" si="93"/>
        <v>12169.8474564</v>
      </c>
      <c r="FA10" s="77">
        <f t="shared" si="94"/>
        <v>1884.7901196</v>
      </c>
      <c r="FB10" s="79"/>
      <c r="FC10" s="78"/>
      <c r="FD10" s="78">
        <f t="shared" si="95"/>
        <v>21166.669826</v>
      </c>
      <c r="FE10" s="78">
        <f t="shared" si="96"/>
        <v>21166.669826</v>
      </c>
      <c r="FF10" s="78">
        <f t="shared" si="97"/>
        <v>22620.7031124</v>
      </c>
      <c r="FG10" s="77">
        <f t="shared" si="98"/>
        <v>3503.3535036</v>
      </c>
      <c r="FH10" s="79"/>
      <c r="FI10" s="80"/>
      <c r="FJ10" s="78"/>
      <c r="FK10" s="78"/>
      <c r="FL10" s="78"/>
      <c r="FM10" s="77">
        <f t="shared" si="99"/>
        <v>0</v>
      </c>
    </row>
    <row r="11" spans="1:169" s="52" customFormat="1" ht="12.75">
      <c r="A11" s="51">
        <v>44652</v>
      </c>
      <c r="C11" s="36">
        <v>5095000</v>
      </c>
      <c r="D11" s="36">
        <v>438375</v>
      </c>
      <c r="E11" s="77">
        <f t="shared" si="125"/>
        <v>5533375</v>
      </c>
      <c r="F11" s="77">
        <v>564792</v>
      </c>
      <c r="G11" s="77">
        <v>87474</v>
      </c>
      <c r="H11" s="79"/>
      <c r="I11" s="79">
        <f>'2021A Academic'!I11</f>
        <v>2765697.9605000005</v>
      </c>
      <c r="J11" s="79">
        <f>'2021A Academic'!J11</f>
        <v>237961.30391249998</v>
      </c>
      <c r="K11" s="79">
        <f t="shared" si="100"/>
        <v>3003659.2644125004</v>
      </c>
      <c r="L11" s="79">
        <f>'2021A Academic'!L11</f>
        <v>306583.7257128</v>
      </c>
      <c r="M11" s="79">
        <f>'2021A Academic'!M11</f>
        <v>47483.1527766</v>
      </c>
      <c r="N11" s="79"/>
      <c r="O11" s="78">
        <f t="shared" si="0"/>
        <v>2329302.0395</v>
      </c>
      <c r="P11" s="80">
        <f t="shared" si="0"/>
        <v>200413.69608749996</v>
      </c>
      <c r="Q11" s="78">
        <f t="shared" si="1"/>
        <v>2529715.7355875</v>
      </c>
      <c r="R11" s="78">
        <f t="shared" si="2"/>
        <v>258208.27428720007</v>
      </c>
      <c r="S11" s="78">
        <f t="shared" si="2"/>
        <v>39990.8472234</v>
      </c>
      <c r="T11" s="79"/>
      <c r="U11" s="78">
        <f t="shared" si="101"/>
        <v>416383.78</v>
      </c>
      <c r="V11" s="77">
        <f t="shared" si="3"/>
        <v>35825.758499999996</v>
      </c>
      <c r="W11" s="78">
        <f t="shared" si="4"/>
        <v>452209.5385</v>
      </c>
      <c r="X11" s="78">
        <f t="shared" si="5"/>
        <v>46157.061408</v>
      </c>
      <c r="Y11" s="77">
        <f t="shared" si="6"/>
        <v>7148.725176000001</v>
      </c>
      <c r="Z11" s="79"/>
      <c r="AA11" s="78">
        <f t="shared" si="102"/>
        <v>303481.637</v>
      </c>
      <c r="AB11" s="78">
        <f t="shared" si="7"/>
        <v>26111.631524999997</v>
      </c>
      <c r="AC11" s="78">
        <f t="shared" si="8"/>
        <v>329593.26852499996</v>
      </c>
      <c r="AD11" s="78">
        <f t="shared" si="9"/>
        <v>33641.6095632</v>
      </c>
      <c r="AE11" s="77">
        <f t="shared" si="10"/>
        <v>5210.353820400001</v>
      </c>
      <c r="AF11" s="79"/>
      <c r="AG11" s="78">
        <f t="shared" si="103"/>
        <v>160902.138</v>
      </c>
      <c r="AH11" s="78">
        <f t="shared" si="11"/>
        <v>13844.057850000001</v>
      </c>
      <c r="AI11" s="78">
        <f t="shared" si="12"/>
        <v>174746.19585000002</v>
      </c>
      <c r="AJ11" s="78">
        <f t="shared" si="13"/>
        <v>17836.3572768</v>
      </c>
      <c r="AK11" s="77">
        <f t="shared" si="14"/>
        <v>2762.4639096</v>
      </c>
      <c r="AL11" s="79"/>
      <c r="AM11" s="78">
        <f t="shared" si="104"/>
        <v>117021.96</v>
      </c>
      <c r="AN11" s="78">
        <f t="shared" si="15"/>
        <v>10068.597000000002</v>
      </c>
      <c r="AO11" s="78">
        <f t="shared" si="16"/>
        <v>127090.557</v>
      </c>
      <c r="AP11" s="78">
        <f t="shared" si="17"/>
        <v>12972.142656</v>
      </c>
      <c r="AQ11" s="77">
        <f t="shared" si="18"/>
        <v>2009.1028319999998</v>
      </c>
      <c r="AR11" s="79"/>
      <c r="AS11" s="78">
        <f t="shared" si="105"/>
        <v>13404.4355</v>
      </c>
      <c r="AT11" s="78">
        <f t="shared" si="19"/>
        <v>1153.3207875</v>
      </c>
      <c r="AU11" s="78">
        <f t="shared" si="20"/>
        <v>14557.7562875</v>
      </c>
      <c r="AV11" s="78">
        <f t="shared" si="21"/>
        <v>1485.9112728</v>
      </c>
      <c r="AW11" s="77">
        <f t="shared" si="22"/>
        <v>230.1353466</v>
      </c>
      <c r="AX11" s="79"/>
      <c r="AY11" s="78">
        <f t="shared" si="106"/>
        <v>212068.67549999998</v>
      </c>
      <c r="AZ11" s="78">
        <f t="shared" si="23"/>
        <v>18246.4387875</v>
      </c>
      <c r="BA11" s="78">
        <f t="shared" si="24"/>
        <v>230315.11428749998</v>
      </c>
      <c r="BB11" s="78">
        <f t="shared" si="25"/>
        <v>23508.280936799998</v>
      </c>
      <c r="BC11" s="77">
        <f t="shared" si="26"/>
        <v>3640.9215545999996</v>
      </c>
      <c r="BD11" s="79"/>
      <c r="BE11" s="78">
        <f t="shared" si="107"/>
        <v>22989.149500000003</v>
      </c>
      <c r="BF11" s="78">
        <f t="shared" si="27"/>
        <v>1977.9918375</v>
      </c>
      <c r="BG11" s="78">
        <f t="shared" si="28"/>
        <v>24967.141337500005</v>
      </c>
      <c r="BH11" s="78">
        <f t="shared" si="29"/>
        <v>2548.3979832</v>
      </c>
      <c r="BI11" s="77">
        <f t="shared" si="30"/>
        <v>394.6914354</v>
      </c>
      <c r="BJ11" s="79"/>
      <c r="BK11" s="78">
        <f t="shared" si="108"/>
        <v>71914.3965</v>
      </c>
      <c r="BL11" s="78">
        <f t="shared" si="31"/>
        <v>6187.5316125</v>
      </c>
      <c r="BM11" s="78">
        <f t="shared" si="32"/>
        <v>78101.9281125</v>
      </c>
      <c r="BN11" s="78">
        <f t="shared" si="33"/>
        <v>7971.869642400001</v>
      </c>
      <c r="BO11" s="77">
        <f t="shared" si="34"/>
        <v>1234.6692678000002</v>
      </c>
      <c r="BP11" s="79"/>
      <c r="BQ11" s="78">
        <f t="shared" si="109"/>
        <v>36469.5005</v>
      </c>
      <c r="BR11" s="78">
        <f t="shared" si="35"/>
        <v>3137.8444125000005</v>
      </c>
      <c r="BS11" s="78">
        <f t="shared" si="36"/>
        <v>39607.344912500004</v>
      </c>
      <c r="BT11" s="78">
        <f t="shared" si="37"/>
        <v>4042.7246568</v>
      </c>
      <c r="BU11" s="77">
        <f t="shared" si="38"/>
        <v>626.1301446</v>
      </c>
      <c r="BV11" s="79"/>
      <c r="BW11" s="78">
        <f t="shared" si="110"/>
        <v>7082.559499999999</v>
      </c>
      <c r="BX11" s="78">
        <f t="shared" si="39"/>
        <v>609.3850875</v>
      </c>
      <c r="BY11" s="78">
        <f t="shared" si="40"/>
        <v>7691.944587499999</v>
      </c>
      <c r="BZ11" s="78">
        <f t="shared" si="41"/>
        <v>785.1173592</v>
      </c>
      <c r="CA11" s="77">
        <f t="shared" si="42"/>
        <v>121.5976074</v>
      </c>
      <c r="CB11" s="79"/>
      <c r="CC11" s="78">
        <f t="shared" si="111"/>
        <v>28141.723</v>
      </c>
      <c r="CD11" s="78">
        <f t="shared" si="43"/>
        <v>2421.320475</v>
      </c>
      <c r="CE11" s="78">
        <f t="shared" si="44"/>
        <v>30563.043475000002</v>
      </c>
      <c r="CF11" s="78">
        <f t="shared" si="45"/>
        <v>3119.5721328000004</v>
      </c>
      <c r="CG11" s="77">
        <f t="shared" si="46"/>
        <v>483.1538916</v>
      </c>
      <c r="CH11" s="79"/>
      <c r="CI11" s="78">
        <f t="shared" si="112"/>
        <v>68636.2735</v>
      </c>
      <c r="CJ11" s="78">
        <f t="shared" si="47"/>
        <v>5905.4811375</v>
      </c>
      <c r="CK11" s="78">
        <f t="shared" si="48"/>
        <v>74541.7546375</v>
      </c>
      <c r="CL11" s="78">
        <f t="shared" si="49"/>
        <v>7608.4824696000005</v>
      </c>
      <c r="CM11" s="77">
        <f t="shared" si="50"/>
        <v>1178.3884962</v>
      </c>
      <c r="CN11" s="79"/>
      <c r="CO11" s="78">
        <f t="shared" si="113"/>
        <v>153626.478</v>
      </c>
      <c r="CP11" s="78">
        <f t="shared" si="51"/>
        <v>13218.05835</v>
      </c>
      <c r="CQ11" s="78">
        <f t="shared" si="52"/>
        <v>166844.53635</v>
      </c>
      <c r="CR11" s="78">
        <f t="shared" si="53"/>
        <v>17029.8343008</v>
      </c>
      <c r="CS11" s="77">
        <f t="shared" si="54"/>
        <v>2637.5510375999997</v>
      </c>
      <c r="CT11" s="79"/>
      <c r="CU11" s="78">
        <f t="shared" si="114"/>
        <v>23242.8805</v>
      </c>
      <c r="CV11" s="78">
        <f t="shared" si="55"/>
        <v>1999.8229124999998</v>
      </c>
      <c r="CW11" s="78">
        <f t="shared" si="56"/>
        <v>25242.7034125</v>
      </c>
      <c r="CX11" s="78">
        <f t="shared" si="57"/>
        <v>2576.5246248</v>
      </c>
      <c r="CY11" s="77">
        <f t="shared" si="58"/>
        <v>399.04764059999997</v>
      </c>
      <c r="CZ11" s="79"/>
      <c r="DA11" s="78">
        <f t="shared" si="115"/>
        <v>66784.7505</v>
      </c>
      <c r="DB11" s="78">
        <f t="shared" si="59"/>
        <v>5746.175662499999</v>
      </c>
      <c r="DC11" s="78">
        <f t="shared" si="60"/>
        <v>72530.92616249999</v>
      </c>
      <c r="DD11" s="78">
        <f t="shared" si="61"/>
        <v>7403.237056800001</v>
      </c>
      <c r="DE11" s="77">
        <f t="shared" si="62"/>
        <v>1146.6004446</v>
      </c>
      <c r="DF11" s="79"/>
      <c r="DG11" s="78">
        <f t="shared" si="116"/>
        <v>2573.4845</v>
      </c>
      <c r="DH11" s="78">
        <f t="shared" si="63"/>
        <v>221.4232125</v>
      </c>
      <c r="DI11" s="78">
        <f t="shared" si="64"/>
        <v>2794.9077125</v>
      </c>
      <c r="DJ11" s="78">
        <f t="shared" si="65"/>
        <v>285.27643919999997</v>
      </c>
      <c r="DK11" s="77">
        <f t="shared" si="66"/>
        <v>44.1831174</v>
      </c>
      <c r="DL11" s="79"/>
      <c r="DM11" s="90">
        <f t="shared" si="117"/>
        <v>140885.921</v>
      </c>
      <c r="DN11" s="90">
        <f t="shared" si="67"/>
        <v>12121.857825</v>
      </c>
      <c r="DO11" s="90">
        <f t="shared" si="68"/>
        <v>153007.778825</v>
      </c>
      <c r="DP11" s="90">
        <f t="shared" si="69"/>
        <v>15617.5154256</v>
      </c>
      <c r="DQ11" s="92">
        <f t="shared" si="70"/>
        <v>2418.8135532</v>
      </c>
      <c r="DR11" s="79"/>
      <c r="DS11" s="78">
        <f t="shared" si="118"/>
        <v>22180.572999999997</v>
      </c>
      <c r="DT11" s="78">
        <f t="shared" si="71"/>
        <v>1908.4217250000002</v>
      </c>
      <c r="DU11" s="78">
        <f t="shared" si="72"/>
        <v>24088.994724999997</v>
      </c>
      <c r="DV11" s="78">
        <f t="shared" si="73"/>
        <v>2458.7654928</v>
      </c>
      <c r="DW11" s="77">
        <f t="shared" si="74"/>
        <v>380.8093116</v>
      </c>
      <c r="DX11" s="79"/>
      <c r="DY11" s="78">
        <f t="shared" si="119"/>
        <v>114142.77549999999</v>
      </c>
      <c r="DZ11" s="78">
        <f t="shared" si="75"/>
        <v>9820.871287499998</v>
      </c>
      <c r="EA11" s="78">
        <f t="shared" si="76"/>
        <v>123963.64678749998</v>
      </c>
      <c r="EB11" s="78">
        <f t="shared" si="77"/>
        <v>12652.9786968</v>
      </c>
      <c r="EC11" s="77">
        <f t="shared" si="78"/>
        <v>1959.6712746</v>
      </c>
      <c r="ED11" s="79"/>
      <c r="EE11" s="78">
        <f t="shared" si="120"/>
        <v>32586.601000000002</v>
      </c>
      <c r="EF11" s="78">
        <f t="shared" si="79"/>
        <v>2803.758825</v>
      </c>
      <c r="EG11" s="78">
        <f t="shared" si="80"/>
        <v>35390.359825</v>
      </c>
      <c r="EH11" s="78">
        <f t="shared" si="81"/>
        <v>3612.2966736</v>
      </c>
      <c r="EI11" s="77">
        <f t="shared" si="82"/>
        <v>559.4662092</v>
      </c>
      <c r="EJ11" s="79"/>
      <c r="EK11" s="78">
        <f t="shared" si="121"/>
        <v>327.099</v>
      </c>
      <c r="EL11" s="78">
        <f t="shared" si="83"/>
        <v>28.143675</v>
      </c>
      <c r="EM11" s="78">
        <f t="shared" si="84"/>
        <v>355.24267499999996</v>
      </c>
      <c r="EN11" s="78">
        <f t="shared" si="85"/>
        <v>36.2596464</v>
      </c>
      <c r="EO11" s="77">
        <f t="shared" si="86"/>
        <v>5.6158308</v>
      </c>
      <c r="EP11" s="79"/>
      <c r="EQ11" s="78">
        <f t="shared" si="122"/>
        <v>607.3240000000001</v>
      </c>
      <c r="ER11" s="78">
        <f t="shared" si="87"/>
        <v>52.2543</v>
      </c>
      <c r="ES11" s="78">
        <f t="shared" si="88"/>
        <v>659.5783000000001</v>
      </c>
      <c r="ET11" s="78">
        <f t="shared" si="89"/>
        <v>67.3232064</v>
      </c>
      <c r="EU11" s="77">
        <f t="shared" si="90"/>
        <v>10.4269008</v>
      </c>
      <c r="EV11" s="79"/>
      <c r="EW11" s="78">
        <f t="shared" si="123"/>
        <v>109785.022</v>
      </c>
      <c r="EX11" s="78">
        <f t="shared" si="91"/>
        <v>9445.92915</v>
      </c>
      <c r="EY11" s="78">
        <f t="shared" si="92"/>
        <v>119230.95115</v>
      </c>
      <c r="EZ11" s="78">
        <f t="shared" si="93"/>
        <v>12169.9120992</v>
      </c>
      <c r="FA11" s="77">
        <f t="shared" si="94"/>
        <v>1884.8547624</v>
      </c>
      <c r="FB11" s="79"/>
      <c r="FC11" s="78">
        <f t="shared" si="124"/>
        <v>204062.902</v>
      </c>
      <c r="FD11" s="78">
        <f t="shared" si="95"/>
        <v>17557.620150000002</v>
      </c>
      <c r="FE11" s="78">
        <f t="shared" si="96"/>
        <v>221620.52215</v>
      </c>
      <c r="FF11" s="78">
        <f t="shared" si="97"/>
        <v>22620.8232672</v>
      </c>
      <c r="FG11" s="77">
        <f t="shared" si="98"/>
        <v>3503.4736583999997</v>
      </c>
      <c r="FH11" s="79"/>
      <c r="FI11" s="80"/>
      <c r="FJ11" s="78"/>
      <c r="FK11" s="78"/>
      <c r="FL11" s="78"/>
      <c r="FM11" s="77">
        <f t="shared" si="99"/>
        <v>0</v>
      </c>
    </row>
    <row r="12" spans="1:169" s="52" customFormat="1" ht="12.75">
      <c r="A12" s="51">
        <v>44835</v>
      </c>
      <c r="C12" s="36"/>
      <c r="D12" s="36">
        <v>311000</v>
      </c>
      <c r="E12" s="77">
        <f t="shared" si="125"/>
        <v>311000</v>
      </c>
      <c r="F12" s="77">
        <v>564792</v>
      </c>
      <c r="G12" s="77">
        <v>87474</v>
      </c>
      <c r="H12" s="79"/>
      <c r="I12" s="79">
        <f>'2021A Academic'!I12</f>
        <v>0</v>
      </c>
      <c r="J12" s="79">
        <f>'2021A Academic'!J12</f>
        <v>168818.85489999998</v>
      </c>
      <c r="K12" s="79">
        <f t="shared" si="100"/>
        <v>168818.85489999998</v>
      </c>
      <c r="L12" s="79">
        <f>'2021A Academic'!L12</f>
        <v>306583.7257128</v>
      </c>
      <c r="M12" s="79">
        <f>'2021A Academic'!M12</f>
        <v>47483.1527766</v>
      </c>
      <c r="N12" s="79"/>
      <c r="O12" s="78">
        <f t="shared" si="0"/>
        <v>0</v>
      </c>
      <c r="P12" s="80">
        <f t="shared" si="0"/>
        <v>142181.14510000002</v>
      </c>
      <c r="Q12" s="78">
        <f t="shared" si="1"/>
        <v>142181.14510000002</v>
      </c>
      <c r="R12" s="78">
        <f t="shared" si="2"/>
        <v>258208.27428720007</v>
      </c>
      <c r="S12" s="78">
        <f t="shared" si="2"/>
        <v>39990.8472234</v>
      </c>
      <c r="T12" s="79"/>
      <c r="U12" s="78"/>
      <c r="V12" s="77">
        <f t="shared" si="3"/>
        <v>25416.164</v>
      </c>
      <c r="W12" s="78">
        <f t="shared" si="4"/>
        <v>25416.164</v>
      </c>
      <c r="X12" s="78">
        <f t="shared" si="5"/>
        <v>46157.061408</v>
      </c>
      <c r="Y12" s="77">
        <f t="shared" si="6"/>
        <v>7148.725176000001</v>
      </c>
      <c r="Z12" s="79"/>
      <c r="AA12" s="78"/>
      <c r="AB12" s="78">
        <f t="shared" si="7"/>
        <v>18524.5906</v>
      </c>
      <c r="AC12" s="78">
        <f t="shared" si="8"/>
        <v>18524.5906</v>
      </c>
      <c r="AD12" s="78">
        <f t="shared" si="9"/>
        <v>33641.6095632</v>
      </c>
      <c r="AE12" s="77">
        <f t="shared" si="10"/>
        <v>5210.353820400001</v>
      </c>
      <c r="AF12" s="79"/>
      <c r="AG12" s="78"/>
      <c r="AH12" s="78">
        <f t="shared" si="11"/>
        <v>9821.5044</v>
      </c>
      <c r="AI12" s="78">
        <f t="shared" si="12"/>
        <v>9821.5044</v>
      </c>
      <c r="AJ12" s="78">
        <f t="shared" si="13"/>
        <v>17836.3572768</v>
      </c>
      <c r="AK12" s="77">
        <f t="shared" si="14"/>
        <v>2762.4639096</v>
      </c>
      <c r="AL12" s="79"/>
      <c r="AM12" s="78"/>
      <c r="AN12" s="78">
        <f t="shared" si="15"/>
        <v>7143.048000000001</v>
      </c>
      <c r="AO12" s="78">
        <f t="shared" si="16"/>
        <v>7143.048000000001</v>
      </c>
      <c r="AP12" s="78">
        <f t="shared" si="17"/>
        <v>12972.142656</v>
      </c>
      <c r="AQ12" s="77">
        <f t="shared" si="18"/>
        <v>2009.1028319999998</v>
      </c>
      <c r="AR12" s="79"/>
      <c r="AS12" s="78"/>
      <c r="AT12" s="78">
        <f t="shared" si="19"/>
        <v>818.2099</v>
      </c>
      <c r="AU12" s="78">
        <f t="shared" si="20"/>
        <v>818.2099</v>
      </c>
      <c r="AV12" s="78">
        <f t="shared" si="21"/>
        <v>1485.9112728</v>
      </c>
      <c r="AW12" s="77">
        <f t="shared" si="22"/>
        <v>230.1353466</v>
      </c>
      <c r="AX12" s="79"/>
      <c r="AY12" s="78"/>
      <c r="AZ12" s="78">
        <f t="shared" si="23"/>
        <v>12944.721899999999</v>
      </c>
      <c r="BA12" s="78">
        <f t="shared" si="24"/>
        <v>12944.721899999999</v>
      </c>
      <c r="BB12" s="78">
        <f t="shared" si="25"/>
        <v>23508.280936799998</v>
      </c>
      <c r="BC12" s="77">
        <f t="shared" si="26"/>
        <v>3640.9215545999996</v>
      </c>
      <c r="BD12" s="79"/>
      <c r="BE12" s="78"/>
      <c r="BF12" s="78">
        <f t="shared" si="27"/>
        <v>1403.2631</v>
      </c>
      <c r="BG12" s="78">
        <f t="shared" si="28"/>
        <v>1403.2631</v>
      </c>
      <c r="BH12" s="78">
        <f t="shared" si="29"/>
        <v>2548.3979832</v>
      </c>
      <c r="BI12" s="77">
        <f t="shared" si="30"/>
        <v>394.6914354</v>
      </c>
      <c r="BJ12" s="79"/>
      <c r="BK12" s="78"/>
      <c r="BL12" s="78">
        <f t="shared" si="31"/>
        <v>4389.6717</v>
      </c>
      <c r="BM12" s="78">
        <f t="shared" si="32"/>
        <v>4389.6717</v>
      </c>
      <c r="BN12" s="78">
        <f t="shared" si="33"/>
        <v>7971.869642400001</v>
      </c>
      <c r="BO12" s="77">
        <f t="shared" si="34"/>
        <v>1234.6692678000002</v>
      </c>
      <c r="BP12" s="79"/>
      <c r="BQ12" s="78"/>
      <c r="BR12" s="78">
        <f t="shared" si="35"/>
        <v>2226.1069</v>
      </c>
      <c r="BS12" s="78">
        <f t="shared" si="36"/>
        <v>2226.1069</v>
      </c>
      <c r="BT12" s="78">
        <f t="shared" si="37"/>
        <v>4042.7246568</v>
      </c>
      <c r="BU12" s="77">
        <f t="shared" si="38"/>
        <v>626.1301446</v>
      </c>
      <c r="BV12" s="79"/>
      <c r="BW12" s="78"/>
      <c r="BX12" s="78">
        <f t="shared" si="39"/>
        <v>432.3211</v>
      </c>
      <c r="BY12" s="78">
        <f t="shared" si="40"/>
        <v>432.3211</v>
      </c>
      <c r="BZ12" s="78">
        <f t="shared" si="41"/>
        <v>785.1173592</v>
      </c>
      <c r="CA12" s="77">
        <f t="shared" si="42"/>
        <v>121.5976074</v>
      </c>
      <c r="CB12" s="79"/>
      <c r="CC12" s="78"/>
      <c r="CD12" s="78">
        <f t="shared" si="43"/>
        <v>1717.7774000000002</v>
      </c>
      <c r="CE12" s="78">
        <f t="shared" si="44"/>
        <v>1717.7774000000002</v>
      </c>
      <c r="CF12" s="78">
        <f t="shared" si="45"/>
        <v>3119.5721328000004</v>
      </c>
      <c r="CG12" s="77">
        <f t="shared" si="46"/>
        <v>483.1538916</v>
      </c>
      <c r="CH12" s="79"/>
      <c r="CI12" s="78"/>
      <c r="CJ12" s="78">
        <f t="shared" si="47"/>
        <v>4189.5743</v>
      </c>
      <c r="CK12" s="78">
        <f t="shared" si="48"/>
        <v>4189.5743</v>
      </c>
      <c r="CL12" s="78">
        <f t="shared" si="49"/>
        <v>7608.4824696000005</v>
      </c>
      <c r="CM12" s="77">
        <f t="shared" si="50"/>
        <v>1178.3884962</v>
      </c>
      <c r="CN12" s="79"/>
      <c r="CO12" s="78"/>
      <c r="CP12" s="78">
        <f t="shared" si="51"/>
        <v>9377.3964</v>
      </c>
      <c r="CQ12" s="78">
        <f t="shared" si="52"/>
        <v>9377.3964</v>
      </c>
      <c r="CR12" s="78">
        <f t="shared" si="53"/>
        <v>17029.8343008</v>
      </c>
      <c r="CS12" s="77">
        <f t="shared" si="54"/>
        <v>2637.5510375999997</v>
      </c>
      <c r="CT12" s="79"/>
      <c r="CU12" s="78"/>
      <c r="CV12" s="78">
        <f t="shared" si="55"/>
        <v>1418.7509</v>
      </c>
      <c r="CW12" s="78">
        <f t="shared" si="56"/>
        <v>1418.7509</v>
      </c>
      <c r="CX12" s="78">
        <f t="shared" si="57"/>
        <v>2576.5246248</v>
      </c>
      <c r="CY12" s="77">
        <f t="shared" si="58"/>
        <v>399.04764059999997</v>
      </c>
      <c r="CZ12" s="79"/>
      <c r="DA12" s="78"/>
      <c r="DB12" s="78">
        <f t="shared" si="59"/>
        <v>4076.5568999999996</v>
      </c>
      <c r="DC12" s="78">
        <f t="shared" si="60"/>
        <v>4076.5568999999996</v>
      </c>
      <c r="DD12" s="78">
        <f t="shared" si="61"/>
        <v>7403.237056800001</v>
      </c>
      <c r="DE12" s="77">
        <f t="shared" si="62"/>
        <v>1146.6004446</v>
      </c>
      <c r="DF12" s="79"/>
      <c r="DG12" s="78"/>
      <c r="DH12" s="78">
        <f t="shared" si="63"/>
        <v>157.08610000000002</v>
      </c>
      <c r="DI12" s="78">
        <f t="shared" si="64"/>
        <v>157.08610000000002</v>
      </c>
      <c r="DJ12" s="78">
        <f t="shared" si="65"/>
        <v>285.27643919999997</v>
      </c>
      <c r="DK12" s="77">
        <f t="shared" si="66"/>
        <v>44.1831174</v>
      </c>
      <c r="DL12" s="79"/>
      <c r="DM12" s="90"/>
      <c r="DN12" s="90">
        <f t="shared" si="67"/>
        <v>8599.7098</v>
      </c>
      <c r="DO12" s="90">
        <f t="shared" si="68"/>
        <v>8599.7098</v>
      </c>
      <c r="DP12" s="90">
        <f t="shared" si="69"/>
        <v>15617.5154256</v>
      </c>
      <c r="DQ12" s="92">
        <f t="shared" si="70"/>
        <v>2418.8135532</v>
      </c>
      <c r="DR12" s="79"/>
      <c r="DS12" s="78"/>
      <c r="DT12" s="78">
        <f t="shared" si="71"/>
        <v>1353.9073999999998</v>
      </c>
      <c r="DU12" s="78">
        <f t="shared" si="72"/>
        <v>1353.9073999999998</v>
      </c>
      <c r="DV12" s="78">
        <f t="shared" si="73"/>
        <v>2458.7654928</v>
      </c>
      <c r="DW12" s="77">
        <f t="shared" si="74"/>
        <v>380.8093116</v>
      </c>
      <c r="DX12" s="79"/>
      <c r="DY12" s="78"/>
      <c r="DZ12" s="78">
        <f t="shared" si="75"/>
        <v>6967.3018999999995</v>
      </c>
      <c r="EA12" s="78">
        <f t="shared" si="76"/>
        <v>6967.3018999999995</v>
      </c>
      <c r="EB12" s="78">
        <f t="shared" si="77"/>
        <v>12652.9786968</v>
      </c>
      <c r="EC12" s="77">
        <f t="shared" si="78"/>
        <v>1959.6712746</v>
      </c>
      <c r="ED12" s="79"/>
      <c r="EE12" s="78"/>
      <c r="EF12" s="78">
        <f t="shared" si="79"/>
        <v>1989.0938</v>
      </c>
      <c r="EG12" s="78">
        <f t="shared" si="80"/>
        <v>1989.0938</v>
      </c>
      <c r="EH12" s="78">
        <f t="shared" si="81"/>
        <v>3612.2966736</v>
      </c>
      <c r="EI12" s="77">
        <f t="shared" si="82"/>
        <v>559.4662092</v>
      </c>
      <c r="EJ12" s="79"/>
      <c r="EK12" s="78"/>
      <c r="EL12" s="78">
        <f t="shared" si="83"/>
        <v>19.9662</v>
      </c>
      <c r="EM12" s="78">
        <f t="shared" si="84"/>
        <v>19.9662</v>
      </c>
      <c r="EN12" s="78">
        <f t="shared" si="85"/>
        <v>36.2596464</v>
      </c>
      <c r="EO12" s="77">
        <f t="shared" si="86"/>
        <v>5.6158308</v>
      </c>
      <c r="EP12" s="79"/>
      <c r="EQ12" s="78"/>
      <c r="ER12" s="78">
        <f t="shared" si="87"/>
        <v>37.0712</v>
      </c>
      <c r="ES12" s="78">
        <f t="shared" si="88"/>
        <v>37.0712</v>
      </c>
      <c r="ET12" s="78">
        <f t="shared" si="89"/>
        <v>67.3232064</v>
      </c>
      <c r="EU12" s="77">
        <f t="shared" si="90"/>
        <v>10.4269008</v>
      </c>
      <c r="EV12" s="79"/>
      <c r="EW12" s="78"/>
      <c r="EX12" s="78">
        <f t="shared" si="91"/>
        <v>6701.3036</v>
      </c>
      <c r="EY12" s="78">
        <f t="shared" si="92"/>
        <v>6701.3036</v>
      </c>
      <c r="EZ12" s="78">
        <f t="shared" si="93"/>
        <v>12169.9120992</v>
      </c>
      <c r="FA12" s="77">
        <f t="shared" si="94"/>
        <v>1884.8547624</v>
      </c>
      <c r="FB12" s="79"/>
      <c r="FC12" s="78"/>
      <c r="FD12" s="78">
        <f t="shared" si="95"/>
        <v>12456.0476</v>
      </c>
      <c r="FE12" s="78">
        <f t="shared" si="96"/>
        <v>12456.0476</v>
      </c>
      <c r="FF12" s="78">
        <f t="shared" si="97"/>
        <v>22620.8232672</v>
      </c>
      <c r="FG12" s="77">
        <f t="shared" si="98"/>
        <v>3503.4736583999997</v>
      </c>
      <c r="FH12" s="79"/>
      <c r="FI12" s="80"/>
      <c r="FJ12" s="78"/>
      <c r="FK12" s="78"/>
      <c r="FL12" s="78"/>
      <c r="FM12" s="77">
        <f t="shared" si="99"/>
        <v>0</v>
      </c>
    </row>
    <row r="13" spans="1:169" s="52" customFormat="1" ht="12.75">
      <c r="A13" s="51">
        <v>45017</v>
      </c>
      <c r="C13" s="36">
        <v>5470000</v>
      </c>
      <c r="D13" s="36">
        <v>311000</v>
      </c>
      <c r="E13" s="77">
        <f t="shared" si="125"/>
        <v>5781000</v>
      </c>
      <c r="F13" s="77">
        <v>564792</v>
      </c>
      <c r="G13" s="77">
        <v>87474</v>
      </c>
      <c r="H13" s="79"/>
      <c r="I13" s="79">
        <f>'2021A Academic'!I13</f>
        <v>2969257.6729999995</v>
      </c>
      <c r="J13" s="79">
        <f>'2021A Academic'!J13</f>
        <v>168818.85489999998</v>
      </c>
      <c r="K13" s="79">
        <f t="shared" si="100"/>
        <v>3138076.5278999996</v>
      </c>
      <c r="L13" s="79">
        <f>'2021A Academic'!L13</f>
        <v>306583.7257128</v>
      </c>
      <c r="M13" s="79">
        <f>'2021A Academic'!M13</f>
        <v>47483.1527766</v>
      </c>
      <c r="N13" s="79"/>
      <c r="O13" s="78">
        <f t="shared" si="0"/>
        <v>2500742.327</v>
      </c>
      <c r="P13" s="80">
        <f t="shared" si="0"/>
        <v>142181.14510000002</v>
      </c>
      <c r="Q13" s="78">
        <f t="shared" si="1"/>
        <v>2642923.4721</v>
      </c>
      <c r="R13" s="78">
        <f t="shared" si="2"/>
        <v>258208.27428720007</v>
      </c>
      <c r="S13" s="78">
        <f t="shared" si="2"/>
        <v>39990.8472234</v>
      </c>
      <c r="T13" s="79"/>
      <c r="U13" s="78">
        <f t="shared" si="101"/>
        <v>447030.28</v>
      </c>
      <c r="V13" s="77">
        <f t="shared" si="3"/>
        <v>25416.164</v>
      </c>
      <c r="W13" s="78">
        <f t="shared" si="4"/>
        <v>472446.444</v>
      </c>
      <c r="X13" s="78">
        <f t="shared" si="5"/>
        <v>46157.061408</v>
      </c>
      <c r="Y13" s="77">
        <f t="shared" si="6"/>
        <v>7148.725176000001</v>
      </c>
      <c r="Z13" s="79"/>
      <c r="AA13" s="78">
        <f t="shared" si="102"/>
        <v>325818.36199999996</v>
      </c>
      <c r="AB13" s="78">
        <f t="shared" si="7"/>
        <v>18524.5906</v>
      </c>
      <c r="AC13" s="78">
        <f t="shared" si="8"/>
        <v>344342.95259999996</v>
      </c>
      <c r="AD13" s="78">
        <f t="shared" si="9"/>
        <v>33641.6095632</v>
      </c>
      <c r="AE13" s="77">
        <f t="shared" si="10"/>
        <v>5210.353820400001</v>
      </c>
      <c r="AF13" s="79"/>
      <c r="AG13" s="78">
        <f t="shared" si="103"/>
        <v>172744.788</v>
      </c>
      <c r="AH13" s="78">
        <f t="shared" si="11"/>
        <v>9821.5044</v>
      </c>
      <c r="AI13" s="78">
        <f t="shared" si="12"/>
        <v>182566.2924</v>
      </c>
      <c r="AJ13" s="78">
        <f t="shared" si="13"/>
        <v>17836.3572768</v>
      </c>
      <c r="AK13" s="77">
        <f t="shared" si="14"/>
        <v>2762.4639096</v>
      </c>
      <c r="AL13" s="79"/>
      <c r="AM13" s="78">
        <f t="shared" si="104"/>
        <v>125634.96000000002</v>
      </c>
      <c r="AN13" s="78">
        <f t="shared" si="15"/>
        <v>7143.048000000001</v>
      </c>
      <c r="AO13" s="78">
        <f t="shared" si="16"/>
        <v>132778.00800000003</v>
      </c>
      <c r="AP13" s="78">
        <f t="shared" si="17"/>
        <v>12972.142656</v>
      </c>
      <c r="AQ13" s="77">
        <f t="shared" si="18"/>
        <v>2009.1028319999998</v>
      </c>
      <c r="AR13" s="79"/>
      <c r="AS13" s="78">
        <f t="shared" si="105"/>
        <v>14391.023000000001</v>
      </c>
      <c r="AT13" s="78">
        <f t="shared" si="19"/>
        <v>818.2099</v>
      </c>
      <c r="AU13" s="78">
        <f t="shared" si="20"/>
        <v>15209.2329</v>
      </c>
      <c r="AV13" s="78">
        <f t="shared" si="21"/>
        <v>1485.9112728</v>
      </c>
      <c r="AW13" s="77">
        <f t="shared" si="22"/>
        <v>230.1353466</v>
      </c>
      <c r="AX13" s="79"/>
      <c r="AY13" s="78">
        <f t="shared" si="106"/>
        <v>227677.26299999998</v>
      </c>
      <c r="AZ13" s="78">
        <f t="shared" si="23"/>
        <v>12944.721899999999</v>
      </c>
      <c r="BA13" s="78">
        <f t="shared" si="24"/>
        <v>240621.98489999998</v>
      </c>
      <c r="BB13" s="78">
        <f t="shared" si="25"/>
        <v>23508.280936799998</v>
      </c>
      <c r="BC13" s="77">
        <f t="shared" si="26"/>
        <v>3640.9215545999996</v>
      </c>
      <c r="BD13" s="79"/>
      <c r="BE13" s="78">
        <f t="shared" si="107"/>
        <v>24681.187</v>
      </c>
      <c r="BF13" s="78">
        <f t="shared" si="27"/>
        <v>1403.2631</v>
      </c>
      <c r="BG13" s="78">
        <f t="shared" si="28"/>
        <v>26084.450100000002</v>
      </c>
      <c r="BH13" s="78">
        <f t="shared" si="29"/>
        <v>2548.3979832</v>
      </c>
      <c r="BI13" s="77">
        <f t="shared" si="30"/>
        <v>394.6914354</v>
      </c>
      <c r="BJ13" s="79"/>
      <c r="BK13" s="78">
        <f t="shared" si="108"/>
        <v>77207.409</v>
      </c>
      <c r="BL13" s="78">
        <f t="shared" si="31"/>
        <v>4389.6717</v>
      </c>
      <c r="BM13" s="78">
        <f t="shared" si="32"/>
        <v>81597.0807</v>
      </c>
      <c r="BN13" s="78">
        <f t="shared" si="33"/>
        <v>7971.869642400001</v>
      </c>
      <c r="BO13" s="77">
        <f t="shared" si="34"/>
        <v>1234.6692678000002</v>
      </c>
      <c r="BP13" s="79"/>
      <c r="BQ13" s="78">
        <f t="shared" si="109"/>
        <v>39153.713</v>
      </c>
      <c r="BR13" s="78">
        <f t="shared" si="35"/>
        <v>2226.1069</v>
      </c>
      <c r="BS13" s="78">
        <f t="shared" si="36"/>
        <v>41379.8199</v>
      </c>
      <c r="BT13" s="78">
        <f t="shared" si="37"/>
        <v>4042.7246568</v>
      </c>
      <c r="BU13" s="77">
        <f t="shared" si="38"/>
        <v>626.1301446</v>
      </c>
      <c r="BV13" s="79"/>
      <c r="BW13" s="78">
        <f t="shared" si="110"/>
        <v>7603.847</v>
      </c>
      <c r="BX13" s="78">
        <f t="shared" si="39"/>
        <v>432.3211</v>
      </c>
      <c r="BY13" s="78">
        <f t="shared" si="40"/>
        <v>8036.1681</v>
      </c>
      <c r="BZ13" s="78">
        <f t="shared" si="41"/>
        <v>785.1173592</v>
      </c>
      <c r="CA13" s="77">
        <f t="shared" si="42"/>
        <v>121.5976074</v>
      </c>
      <c r="CB13" s="79"/>
      <c r="CC13" s="78">
        <f t="shared" si="111"/>
        <v>30212.998000000003</v>
      </c>
      <c r="CD13" s="78">
        <f t="shared" si="43"/>
        <v>1717.7774000000002</v>
      </c>
      <c r="CE13" s="78">
        <f t="shared" si="44"/>
        <v>31930.775400000002</v>
      </c>
      <c r="CF13" s="78">
        <f t="shared" si="45"/>
        <v>3119.5721328000004</v>
      </c>
      <c r="CG13" s="77">
        <f t="shared" si="46"/>
        <v>483.1538916</v>
      </c>
      <c r="CH13" s="79"/>
      <c r="CI13" s="78">
        <f t="shared" si="112"/>
        <v>73688.011</v>
      </c>
      <c r="CJ13" s="78">
        <f t="shared" si="47"/>
        <v>4189.5743</v>
      </c>
      <c r="CK13" s="78">
        <f t="shared" si="48"/>
        <v>77877.5853</v>
      </c>
      <c r="CL13" s="78">
        <f t="shared" si="49"/>
        <v>7608.4824696000005</v>
      </c>
      <c r="CM13" s="77">
        <f t="shared" si="50"/>
        <v>1178.3884962</v>
      </c>
      <c r="CN13" s="79"/>
      <c r="CO13" s="78">
        <f t="shared" si="113"/>
        <v>164933.628</v>
      </c>
      <c r="CP13" s="78">
        <f t="shared" si="51"/>
        <v>9377.3964</v>
      </c>
      <c r="CQ13" s="78">
        <f t="shared" si="52"/>
        <v>174311.0244</v>
      </c>
      <c r="CR13" s="78">
        <f t="shared" si="53"/>
        <v>17029.8343008</v>
      </c>
      <c r="CS13" s="77">
        <f t="shared" si="54"/>
        <v>2637.5510375999997</v>
      </c>
      <c r="CT13" s="79"/>
      <c r="CU13" s="78">
        <f t="shared" si="114"/>
        <v>24953.592999999997</v>
      </c>
      <c r="CV13" s="78">
        <f t="shared" si="55"/>
        <v>1418.7509</v>
      </c>
      <c r="CW13" s="78">
        <f t="shared" si="56"/>
        <v>26372.343899999996</v>
      </c>
      <c r="CX13" s="78">
        <f t="shared" si="57"/>
        <v>2576.5246248</v>
      </c>
      <c r="CY13" s="77">
        <f t="shared" si="58"/>
        <v>399.04764059999997</v>
      </c>
      <c r="CZ13" s="79"/>
      <c r="DA13" s="78">
        <f t="shared" si="115"/>
        <v>71700.213</v>
      </c>
      <c r="DB13" s="78">
        <f t="shared" si="59"/>
        <v>4076.5568999999996</v>
      </c>
      <c r="DC13" s="78">
        <f t="shared" si="60"/>
        <v>75776.7699</v>
      </c>
      <c r="DD13" s="78">
        <f t="shared" si="61"/>
        <v>7403.237056800001</v>
      </c>
      <c r="DE13" s="77">
        <f t="shared" si="62"/>
        <v>1146.6004446</v>
      </c>
      <c r="DF13" s="79"/>
      <c r="DG13" s="78">
        <f t="shared" si="116"/>
        <v>2762.897</v>
      </c>
      <c r="DH13" s="78">
        <f t="shared" si="63"/>
        <v>157.08610000000002</v>
      </c>
      <c r="DI13" s="78">
        <f t="shared" si="64"/>
        <v>2919.9831</v>
      </c>
      <c r="DJ13" s="78">
        <f t="shared" si="65"/>
        <v>285.27643919999997</v>
      </c>
      <c r="DK13" s="77">
        <f t="shared" si="66"/>
        <v>44.1831174</v>
      </c>
      <c r="DL13" s="79"/>
      <c r="DM13" s="90">
        <f t="shared" si="117"/>
        <v>151255.346</v>
      </c>
      <c r="DN13" s="90">
        <f t="shared" si="67"/>
        <v>8599.7098</v>
      </c>
      <c r="DO13" s="90">
        <f t="shared" si="68"/>
        <v>159855.0558</v>
      </c>
      <c r="DP13" s="90">
        <f t="shared" si="69"/>
        <v>15617.5154256</v>
      </c>
      <c r="DQ13" s="92">
        <f t="shared" si="70"/>
        <v>2418.8135532</v>
      </c>
      <c r="DR13" s="79"/>
      <c r="DS13" s="78">
        <f t="shared" si="118"/>
        <v>23813.097999999998</v>
      </c>
      <c r="DT13" s="78">
        <f t="shared" si="71"/>
        <v>1353.9073999999998</v>
      </c>
      <c r="DU13" s="78">
        <f t="shared" si="72"/>
        <v>25167.0054</v>
      </c>
      <c r="DV13" s="78">
        <f t="shared" si="73"/>
        <v>2458.7654928</v>
      </c>
      <c r="DW13" s="77">
        <f t="shared" si="74"/>
        <v>380.8093116</v>
      </c>
      <c r="DX13" s="79"/>
      <c r="DY13" s="78">
        <f t="shared" si="119"/>
        <v>122543.86299999998</v>
      </c>
      <c r="DZ13" s="78">
        <f t="shared" si="75"/>
        <v>6967.3018999999995</v>
      </c>
      <c r="EA13" s="78">
        <f t="shared" si="76"/>
        <v>129511.16489999999</v>
      </c>
      <c r="EB13" s="78">
        <f t="shared" si="77"/>
        <v>12652.9786968</v>
      </c>
      <c r="EC13" s="77">
        <f t="shared" si="78"/>
        <v>1959.6712746</v>
      </c>
      <c r="ED13" s="79"/>
      <c r="EE13" s="78">
        <f t="shared" si="120"/>
        <v>34985.026</v>
      </c>
      <c r="EF13" s="78">
        <f t="shared" si="79"/>
        <v>1989.0938</v>
      </c>
      <c r="EG13" s="78">
        <f t="shared" si="80"/>
        <v>36974.1198</v>
      </c>
      <c r="EH13" s="78">
        <f t="shared" si="81"/>
        <v>3612.2966736</v>
      </c>
      <c r="EI13" s="77">
        <f t="shared" si="82"/>
        <v>559.4662092</v>
      </c>
      <c r="EJ13" s="79"/>
      <c r="EK13" s="78">
        <f t="shared" si="121"/>
        <v>351.17400000000004</v>
      </c>
      <c r="EL13" s="78">
        <f t="shared" si="83"/>
        <v>19.9662</v>
      </c>
      <c r="EM13" s="78">
        <f t="shared" si="84"/>
        <v>371.14020000000005</v>
      </c>
      <c r="EN13" s="78">
        <f t="shared" si="85"/>
        <v>36.2596464</v>
      </c>
      <c r="EO13" s="77">
        <f t="shared" si="86"/>
        <v>5.6158308</v>
      </c>
      <c r="EP13" s="79"/>
      <c r="EQ13" s="78">
        <f t="shared" si="122"/>
        <v>652.024</v>
      </c>
      <c r="ER13" s="78">
        <f t="shared" si="87"/>
        <v>37.0712</v>
      </c>
      <c r="ES13" s="78">
        <f t="shared" si="88"/>
        <v>689.0952</v>
      </c>
      <c r="ET13" s="78">
        <f t="shared" si="89"/>
        <v>67.3232064</v>
      </c>
      <c r="EU13" s="77">
        <f t="shared" si="90"/>
        <v>10.4269008</v>
      </c>
      <c r="EV13" s="79"/>
      <c r="EW13" s="78">
        <f t="shared" si="123"/>
        <v>117865.37199999999</v>
      </c>
      <c r="EX13" s="78">
        <f t="shared" si="91"/>
        <v>6701.3036</v>
      </c>
      <c r="EY13" s="78">
        <f t="shared" si="92"/>
        <v>124566.67559999999</v>
      </c>
      <c r="EZ13" s="78">
        <f t="shared" si="93"/>
        <v>12169.9120992</v>
      </c>
      <c r="FA13" s="77">
        <f t="shared" si="94"/>
        <v>1884.8547624</v>
      </c>
      <c r="FB13" s="79"/>
      <c r="FC13" s="78">
        <f t="shared" si="124"/>
        <v>219082.25199999998</v>
      </c>
      <c r="FD13" s="78">
        <f t="shared" si="95"/>
        <v>12456.0476</v>
      </c>
      <c r="FE13" s="78">
        <f t="shared" si="96"/>
        <v>231538.29959999997</v>
      </c>
      <c r="FF13" s="78">
        <f t="shared" si="97"/>
        <v>22620.8232672</v>
      </c>
      <c r="FG13" s="77">
        <f t="shared" si="98"/>
        <v>3503.4736583999997</v>
      </c>
      <c r="FH13" s="79"/>
      <c r="FI13" s="80"/>
      <c r="FJ13" s="78"/>
      <c r="FK13" s="78"/>
      <c r="FL13" s="78"/>
      <c r="FM13" s="77">
        <f t="shared" si="99"/>
        <v>0</v>
      </c>
    </row>
    <row r="14" spans="1:169" s="52" customFormat="1" ht="12.75">
      <c r="A14" s="51">
        <v>45200</v>
      </c>
      <c r="C14" s="36"/>
      <c r="D14" s="36">
        <v>174250</v>
      </c>
      <c r="E14" s="77">
        <f t="shared" si="125"/>
        <v>174250</v>
      </c>
      <c r="F14" s="77">
        <v>564792</v>
      </c>
      <c r="G14" s="77">
        <v>87474</v>
      </c>
      <c r="H14" s="79"/>
      <c r="I14" s="79">
        <f>'2021A Academic'!I14</f>
        <v>0</v>
      </c>
      <c r="J14" s="79">
        <f>'2021A Academic'!J14</f>
        <v>94587.41307500002</v>
      </c>
      <c r="K14" s="79">
        <f t="shared" si="100"/>
        <v>94587.41307500002</v>
      </c>
      <c r="L14" s="79">
        <f>'2021A Academic'!L14</f>
        <v>306583.7257128</v>
      </c>
      <c r="M14" s="79">
        <f>'2021A Academic'!M14</f>
        <v>47483.1527766</v>
      </c>
      <c r="N14" s="79"/>
      <c r="O14" s="78">
        <f t="shared" si="0"/>
        <v>0</v>
      </c>
      <c r="P14" s="80">
        <f t="shared" si="0"/>
        <v>79662.58692499998</v>
      </c>
      <c r="Q14" s="78">
        <f t="shared" si="1"/>
        <v>79662.58692499998</v>
      </c>
      <c r="R14" s="78">
        <f t="shared" si="2"/>
        <v>258208.27428720007</v>
      </c>
      <c r="S14" s="78">
        <f t="shared" si="2"/>
        <v>39990.8472234</v>
      </c>
      <c r="T14" s="79"/>
      <c r="U14" s="78"/>
      <c r="V14" s="77">
        <f t="shared" si="3"/>
        <v>14240.407</v>
      </c>
      <c r="W14" s="78">
        <f t="shared" si="4"/>
        <v>14240.407</v>
      </c>
      <c r="X14" s="78">
        <f t="shared" si="5"/>
        <v>46157.061408</v>
      </c>
      <c r="Y14" s="77">
        <f t="shared" si="6"/>
        <v>7148.725176000001</v>
      </c>
      <c r="Z14" s="79"/>
      <c r="AA14" s="78"/>
      <c r="AB14" s="78">
        <f t="shared" si="7"/>
        <v>10379.13155</v>
      </c>
      <c r="AC14" s="78">
        <f t="shared" si="8"/>
        <v>10379.13155</v>
      </c>
      <c r="AD14" s="78">
        <f t="shared" si="9"/>
        <v>33641.6095632</v>
      </c>
      <c r="AE14" s="77">
        <f t="shared" si="10"/>
        <v>5210.353820400001</v>
      </c>
      <c r="AF14" s="79"/>
      <c r="AG14" s="78"/>
      <c r="AH14" s="78">
        <f t="shared" si="11"/>
        <v>5502.8847000000005</v>
      </c>
      <c r="AI14" s="78">
        <f t="shared" si="12"/>
        <v>5502.8847000000005</v>
      </c>
      <c r="AJ14" s="78">
        <f t="shared" si="13"/>
        <v>17836.3572768</v>
      </c>
      <c r="AK14" s="77">
        <f t="shared" si="14"/>
        <v>2762.4639096</v>
      </c>
      <c r="AL14" s="79"/>
      <c r="AM14" s="78"/>
      <c r="AN14" s="78">
        <f t="shared" si="15"/>
        <v>4002.1740000000004</v>
      </c>
      <c r="AO14" s="78">
        <f t="shared" si="16"/>
        <v>4002.1740000000004</v>
      </c>
      <c r="AP14" s="78">
        <f t="shared" si="17"/>
        <v>12972.142656</v>
      </c>
      <c r="AQ14" s="77">
        <f t="shared" si="18"/>
        <v>2009.1028319999998</v>
      </c>
      <c r="AR14" s="79"/>
      <c r="AS14" s="78"/>
      <c r="AT14" s="78">
        <f t="shared" si="19"/>
        <v>458.43432499999994</v>
      </c>
      <c r="AU14" s="78">
        <f t="shared" si="20"/>
        <v>458.43432499999994</v>
      </c>
      <c r="AV14" s="78">
        <f t="shared" si="21"/>
        <v>1485.9112728</v>
      </c>
      <c r="AW14" s="77">
        <f t="shared" si="22"/>
        <v>230.1353466</v>
      </c>
      <c r="AX14" s="79"/>
      <c r="AY14" s="78"/>
      <c r="AZ14" s="78">
        <f t="shared" si="23"/>
        <v>7252.790325</v>
      </c>
      <c r="BA14" s="78">
        <f t="shared" si="24"/>
        <v>7252.790325</v>
      </c>
      <c r="BB14" s="78">
        <f t="shared" si="25"/>
        <v>23508.280936799998</v>
      </c>
      <c r="BC14" s="77">
        <f t="shared" si="26"/>
        <v>3640.9215545999996</v>
      </c>
      <c r="BD14" s="79"/>
      <c r="BE14" s="78"/>
      <c r="BF14" s="78">
        <f t="shared" si="27"/>
        <v>786.233425</v>
      </c>
      <c r="BG14" s="78">
        <f t="shared" si="28"/>
        <v>786.233425</v>
      </c>
      <c r="BH14" s="78">
        <f t="shared" si="29"/>
        <v>2548.3979832</v>
      </c>
      <c r="BI14" s="77">
        <f t="shared" si="30"/>
        <v>394.6914354</v>
      </c>
      <c r="BJ14" s="79"/>
      <c r="BK14" s="78"/>
      <c r="BL14" s="78">
        <f t="shared" si="31"/>
        <v>2459.4864749999997</v>
      </c>
      <c r="BM14" s="78">
        <f t="shared" si="32"/>
        <v>2459.4864749999997</v>
      </c>
      <c r="BN14" s="78">
        <f t="shared" si="33"/>
        <v>7971.869642400001</v>
      </c>
      <c r="BO14" s="77">
        <f t="shared" si="34"/>
        <v>1234.6692678000002</v>
      </c>
      <c r="BP14" s="79"/>
      <c r="BQ14" s="78"/>
      <c r="BR14" s="78">
        <f t="shared" si="35"/>
        <v>1247.264075</v>
      </c>
      <c r="BS14" s="78">
        <f t="shared" si="36"/>
        <v>1247.264075</v>
      </c>
      <c r="BT14" s="78">
        <f t="shared" si="37"/>
        <v>4042.7246568</v>
      </c>
      <c r="BU14" s="77">
        <f t="shared" si="38"/>
        <v>626.1301446</v>
      </c>
      <c r="BV14" s="79"/>
      <c r="BW14" s="78"/>
      <c r="BX14" s="78">
        <f t="shared" si="39"/>
        <v>242.224925</v>
      </c>
      <c r="BY14" s="78">
        <f t="shared" si="40"/>
        <v>242.224925</v>
      </c>
      <c r="BZ14" s="78">
        <f t="shared" si="41"/>
        <v>785.1173592</v>
      </c>
      <c r="CA14" s="77">
        <f t="shared" si="42"/>
        <v>121.5976074</v>
      </c>
      <c r="CB14" s="79"/>
      <c r="CC14" s="78"/>
      <c r="CD14" s="78">
        <f t="shared" si="43"/>
        <v>962.4524500000001</v>
      </c>
      <c r="CE14" s="78">
        <f t="shared" si="44"/>
        <v>962.4524500000001</v>
      </c>
      <c r="CF14" s="78">
        <f t="shared" si="45"/>
        <v>3119.5721328000004</v>
      </c>
      <c r="CG14" s="77">
        <f t="shared" si="46"/>
        <v>483.1538916</v>
      </c>
      <c r="CH14" s="79"/>
      <c r="CI14" s="78"/>
      <c r="CJ14" s="78">
        <f t="shared" si="47"/>
        <v>2347.374025</v>
      </c>
      <c r="CK14" s="78">
        <f t="shared" si="48"/>
        <v>2347.374025</v>
      </c>
      <c r="CL14" s="78">
        <f t="shared" si="49"/>
        <v>7608.4824696000005</v>
      </c>
      <c r="CM14" s="77">
        <f t="shared" si="50"/>
        <v>1178.3884962</v>
      </c>
      <c r="CN14" s="79"/>
      <c r="CO14" s="78"/>
      <c r="CP14" s="78">
        <f t="shared" si="51"/>
        <v>5254.0557</v>
      </c>
      <c r="CQ14" s="78">
        <f t="shared" si="52"/>
        <v>5254.0557</v>
      </c>
      <c r="CR14" s="78">
        <f t="shared" si="53"/>
        <v>17029.8343008</v>
      </c>
      <c r="CS14" s="77">
        <f t="shared" si="54"/>
        <v>2637.5510375999997</v>
      </c>
      <c r="CT14" s="79"/>
      <c r="CU14" s="78"/>
      <c r="CV14" s="78">
        <f t="shared" si="55"/>
        <v>794.911075</v>
      </c>
      <c r="CW14" s="78">
        <f t="shared" si="56"/>
        <v>794.911075</v>
      </c>
      <c r="CX14" s="78">
        <f t="shared" si="57"/>
        <v>2576.5246248</v>
      </c>
      <c r="CY14" s="77">
        <f t="shared" si="58"/>
        <v>399.04764059999997</v>
      </c>
      <c r="CZ14" s="79"/>
      <c r="DA14" s="78"/>
      <c r="DB14" s="78">
        <f t="shared" si="59"/>
        <v>2284.0515749999995</v>
      </c>
      <c r="DC14" s="78">
        <f t="shared" si="60"/>
        <v>2284.0515749999995</v>
      </c>
      <c r="DD14" s="78">
        <f t="shared" si="61"/>
        <v>7403.237056800001</v>
      </c>
      <c r="DE14" s="77">
        <f t="shared" si="62"/>
        <v>1146.6004446</v>
      </c>
      <c r="DF14" s="79"/>
      <c r="DG14" s="78"/>
      <c r="DH14" s="78">
        <f t="shared" si="63"/>
        <v>88.013675</v>
      </c>
      <c r="DI14" s="78">
        <f t="shared" si="64"/>
        <v>88.013675</v>
      </c>
      <c r="DJ14" s="78">
        <f t="shared" si="65"/>
        <v>285.27643919999997</v>
      </c>
      <c r="DK14" s="77">
        <f t="shared" si="66"/>
        <v>44.1831174</v>
      </c>
      <c r="DL14" s="79"/>
      <c r="DM14" s="90"/>
      <c r="DN14" s="90">
        <f t="shared" si="67"/>
        <v>4818.32615</v>
      </c>
      <c r="DO14" s="90">
        <f t="shared" si="68"/>
        <v>4818.32615</v>
      </c>
      <c r="DP14" s="90">
        <f t="shared" si="69"/>
        <v>15617.5154256</v>
      </c>
      <c r="DQ14" s="92">
        <f t="shared" si="70"/>
        <v>2418.8135532</v>
      </c>
      <c r="DR14" s="79"/>
      <c r="DS14" s="78"/>
      <c r="DT14" s="78">
        <f t="shared" si="71"/>
        <v>758.5799499999999</v>
      </c>
      <c r="DU14" s="78">
        <f t="shared" si="72"/>
        <v>758.5799499999999</v>
      </c>
      <c r="DV14" s="78">
        <f t="shared" si="73"/>
        <v>2458.7654928</v>
      </c>
      <c r="DW14" s="77">
        <f t="shared" si="74"/>
        <v>380.8093116</v>
      </c>
      <c r="DX14" s="79"/>
      <c r="DY14" s="78"/>
      <c r="DZ14" s="78">
        <f t="shared" si="75"/>
        <v>3903.705325</v>
      </c>
      <c r="EA14" s="78">
        <f t="shared" si="76"/>
        <v>3903.705325</v>
      </c>
      <c r="EB14" s="78">
        <f t="shared" si="77"/>
        <v>12652.9786968</v>
      </c>
      <c r="EC14" s="77">
        <f t="shared" si="78"/>
        <v>1959.6712746</v>
      </c>
      <c r="ED14" s="79"/>
      <c r="EE14" s="78"/>
      <c r="EF14" s="78">
        <f t="shared" si="79"/>
        <v>1114.46815</v>
      </c>
      <c r="EG14" s="78">
        <f t="shared" si="80"/>
        <v>1114.46815</v>
      </c>
      <c r="EH14" s="78">
        <f t="shared" si="81"/>
        <v>3612.2966736</v>
      </c>
      <c r="EI14" s="77">
        <f t="shared" si="82"/>
        <v>559.4662092</v>
      </c>
      <c r="EJ14" s="79"/>
      <c r="EK14" s="78"/>
      <c r="EL14" s="78">
        <f t="shared" si="83"/>
        <v>11.186850000000002</v>
      </c>
      <c r="EM14" s="78">
        <f t="shared" si="84"/>
        <v>11.186850000000002</v>
      </c>
      <c r="EN14" s="78">
        <f t="shared" si="85"/>
        <v>36.2596464</v>
      </c>
      <c r="EO14" s="77">
        <f t="shared" si="86"/>
        <v>5.6158308</v>
      </c>
      <c r="EP14" s="79"/>
      <c r="EQ14" s="78"/>
      <c r="ER14" s="78">
        <f t="shared" si="87"/>
        <v>20.770599999999998</v>
      </c>
      <c r="ES14" s="78">
        <f t="shared" si="88"/>
        <v>20.770599999999998</v>
      </c>
      <c r="ET14" s="78">
        <f t="shared" si="89"/>
        <v>67.3232064</v>
      </c>
      <c r="EU14" s="77">
        <f t="shared" si="90"/>
        <v>10.4269008</v>
      </c>
      <c r="EV14" s="79"/>
      <c r="EW14" s="78"/>
      <c r="EX14" s="78">
        <f t="shared" si="91"/>
        <v>3754.6693</v>
      </c>
      <c r="EY14" s="78">
        <f t="shared" si="92"/>
        <v>3754.6693</v>
      </c>
      <c r="EZ14" s="78">
        <f t="shared" si="93"/>
        <v>12169.9120992</v>
      </c>
      <c r="FA14" s="77">
        <f t="shared" si="94"/>
        <v>1884.8547624</v>
      </c>
      <c r="FB14" s="79"/>
      <c r="FC14" s="78"/>
      <c r="FD14" s="78">
        <f t="shared" si="95"/>
        <v>6978.9913</v>
      </c>
      <c r="FE14" s="78">
        <f t="shared" si="96"/>
        <v>6978.9913</v>
      </c>
      <c r="FF14" s="78">
        <f t="shared" si="97"/>
        <v>22620.8232672</v>
      </c>
      <c r="FG14" s="77">
        <f t="shared" si="98"/>
        <v>3503.4736583999997</v>
      </c>
      <c r="FH14" s="79"/>
      <c r="FI14" s="80"/>
      <c r="FJ14" s="78"/>
      <c r="FK14" s="78"/>
      <c r="FL14" s="78"/>
      <c r="FM14" s="77">
        <f t="shared" si="99"/>
        <v>0</v>
      </c>
    </row>
    <row r="15" spans="1:169" s="52" customFormat="1" ht="12.75">
      <c r="A15" s="51">
        <v>45383</v>
      </c>
      <c r="C15" s="36">
        <v>6970000</v>
      </c>
      <c r="D15" s="36">
        <v>174250</v>
      </c>
      <c r="E15" s="77">
        <f t="shared" si="125"/>
        <v>7144250</v>
      </c>
      <c r="F15" s="77">
        <v>564792</v>
      </c>
      <c r="G15" s="77">
        <v>87474</v>
      </c>
      <c r="H15" s="79"/>
      <c r="I15" s="79">
        <f>'2021A Academic'!I15</f>
        <v>3783496.5230000005</v>
      </c>
      <c r="J15" s="79">
        <f>'2021A Academic'!J15</f>
        <v>94587.41307500002</v>
      </c>
      <c r="K15" s="79">
        <f t="shared" si="100"/>
        <v>3878083.9360750006</v>
      </c>
      <c r="L15" s="79">
        <f>'2021A Academic'!L15</f>
        <v>306583.7257128</v>
      </c>
      <c r="M15" s="79">
        <f>'2021A Academic'!M15</f>
        <v>47483.1527766</v>
      </c>
      <c r="N15" s="79"/>
      <c r="O15" s="78">
        <f t="shared" si="0"/>
        <v>3186503.476999999</v>
      </c>
      <c r="P15" s="80">
        <f t="shared" si="0"/>
        <v>79662.58692499998</v>
      </c>
      <c r="Q15" s="78">
        <f t="shared" si="1"/>
        <v>3266166.063924999</v>
      </c>
      <c r="R15" s="78">
        <f t="shared" si="2"/>
        <v>258208.27428720007</v>
      </c>
      <c r="S15" s="78">
        <f t="shared" si="2"/>
        <v>39990.8472234</v>
      </c>
      <c r="T15" s="79"/>
      <c r="U15" s="78">
        <f t="shared" si="101"/>
        <v>569616.28</v>
      </c>
      <c r="V15" s="77">
        <f t="shared" si="3"/>
        <v>14240.407</v>
      </c>
      <c r="W15" s="78">
        <f t="shared" si="4"/>
        <v>583856.687</v>
      </c>
      <c r="X15" s="78">
        <f t="shared" si="5"/>
        <v>46157.061408</v>
      </c>
      <c r="Y15" s="77">
        <f t="shared" si="6"/>
        <v>7148.725176000001</v>
      </c>
      <c r="Z15" s="79"/>
      <c r="AA15" s="78">
        <f t="shared" si="102"/>
        <v>415165.26199999993</v>
      </c>
      <c r="AB15" s="78">
        <f t="shared" si="7"/>
        <v>10379.13155</v>
      </c>
      <c r="AC15" s="78">
        <f t="shared" si="8"/>
        <v>425544.3935499999</v>
      </c>
      <c r="AD15" s="78">
        <f t="shared" si="9"/>
        <v>33641.6095632</v>
      </c>
      <c r="AE15" s="77">
        <f t="shared" si="10"/>
        <v>5210.353820400001</v>
      </c>
      <c r="AF15" s="79"/>
      <c r="AG15" s="78">
        <f t="shared" si="103"/>
        <v>220115.388</v>
      </c>
      <c r="AH15" s="78">
        <f t="shared" si="11"/>
        <v>5502.8847000000005</v>
      </c>
      <c r="AI15" s="78">
        <f t="shared" si="12"/>
        <v>225618.2727</v>
      </c>
      <c r="AJ15" s="78">
        <f t="shared" si="13"/>
        <v>17836.3572768</v>
      </c>
      <c r="AK15" s="77">
        <f t="shared" si="14"/>
        <v>2762.4639096</v>
      </c>
      <c r="AL15" s="79"/>
      <c r="AM15" s="78">
        <f t="shared" si="104"/>
        <v>160086.96000000002</v>
      </c>
      <c r="AN15" s="78">
        <f t="shared" si="15"/>
        <v>4002.1740000000004</v>
      </c>
      <c r="AO15" s="78">
        <f t="shared" si="16"/>
        <v>164089.13400000002</v>
      </c>
      <c r="AP15" s="78">
        <f t="shared" si="17"/>
        <v>12972.142656</v>
      </c>
      <c r="AQ15" s="77">
        <f t="shared" si="18"/>
        <v>2009.1028319999998</v>
      </c>
      <c r="AR15" s="79"/>
      <c r="AS15" s="78">
        <f t="shared" si="105"/>
        <v>18337.373</v>
      </c>
      <c r="AT15" s="78">
        <f t="shared" si="19"/>
        <v>458.43432499999994</v>
      </c>
      <c r="AU15" s="78">
        <f t="shared" si="20"/>
        <v>18795.807324999998</v>
      </c>
      <c r="AV15" s="78">
        <f t="shared" si="21"/>
        <v>1485.9112728</v>
      </c>
      <c r="AW15" s="77">
        <f t="shared" si="22"/>
        <v>230.1353466</v>
      </c>
      <c r="AX15" s="79"/>
      <c r="AY15" s="78">
        <f t="shared" si="106"/>
        <v>290111.61299999995</v>
      </c>
      <c r="AZ15" s="78">
        <f t="shared" si="23"/>
        <v>7252.790325</v>
      </c>
      <c r="BA15" s="78">
        <f t="shared" si="24"/>
        <v>297364.40332499996</v>
      </c>
      <c r="BB15" s="78">
        <f t="shared" si="25"/>
        <v>23508.280936799998</v>
      </c>
      <c r="BC15" s="77">
        <f t="shared" si="26"/>
        <v>3640.9215545999996</v>
      </c>
      <c r="BD15" s="79"/>
      <c r="BE15" s="78">
        <f t="shared" si="107"/>
        <v>31449.337000000003</v>
      </c>
      <c r="BF15" s="78">
        <f t="shared" si="27"/>
        <v>786.233425</v>
      </c>
      <c r="BG15" s="78">
        <f t="shared" si="28"/>
        <v>32235.570425</v>
      </c>
      <c r="BH15" s="78">
        <f t="shared" si="29"/>
        <v>2548.3979832</v>
      </c>
      <c r="BI15" s="77">
        <f t="shared" si="30"/>
        <v>394.6914354</v>
      </c>
      <c r="BJ15" s="79"/>
      <c r="BK15" s="78">
        <f t="shared" si="108"/>
        <v>98379.459</v>
      </c>
      <c r="BL15" s="78">
        <f t="shared" si="31"/>
        <v>2459.4864749999997</v>
      </c>
      <c r="BM15" s="78">
        <f t="shared" si="32"/>
        <v>100838.945475</v>
      </c>
      <c r="BN15" s="78">
        <f t="shared" si="33"/>
        <v>7971.869642400001</v>
      </c>
      <c r="BO15" s="77">
        <f t="shared" si="34"/>
        <v>1234.6692678000002</v>
      </c>
      <c r="BP15" s="79"/>
      <c r="BQ15" s="78">
        <f t="shared" si="109"/>
        <v>49890.562999999995</v>
      </c>
      <c r="BR15" s="78">
        <f t="shared" si="35"/>
        <v>1247.264075</v>
      </c>
      <c r="BS15" s="78">
        <f t="shared" si="36"/>
        <v>51137.827074999994</v>
      </c>
      <c r="BT15" s="78">
        <f t="shared" si="37"/>
        <v>4042.7246568</v>
      </c>
      <c r="BU15" s="77">
        <f t="shared" si="38"/>
        <v>626.1301446</v>
      </c>
      <c r="BV15" s="79"/>
      <c r="BW15" s="78">
        <f t="shared" si="110"/>
        <v>9688.997</v>
      </c>
      <c r="BX15" s="78">
        <f t="shared" si="39"/>
        <v>242.224925</v>
      </c>
      <c r="BY15" s="78">
        <f t="shared" si="40"/>
        <v>9931.221925</v>
      </c>
      <c r="BZ15" s="78">
        <f t="shared" si="41"/>
        <v>785.1173592</v>
      </c>
      <c r="CA15" s="77">
        <f t="shared" si="42"/>
        <v>121.5976074</v>
      </c>
      <c r="CB15" s="79"/>
      <c r="CC15" s="78">
        <f t="shared" si="111"/>
        <v>38498.098000000005</v>
      </c>
      <c r="CD15" s="78">
        <f t="shared" si="43"/>
        <v>962.4524500000001</v>
      </c>
      <c r="CE15" s="78">
        <f t="shared" si="44"/>
        <v>39460.55045</v>
      </c>
      <c r="CF15" s="78">
        <f t="shared" si="45"/>
        <v>3119.5721328000004</v>
      </c>
      <c r="CG15" s="77">
        <f t="shared" si="46"/>
        <v>483.1538916</v>
      </c>
      <c r="CH15" s="79"/>
      <c r="CI15" s="78">
        <f t="shared" si="112"/>
        <v>93894.961</v>
      </c>
      <c r="CJ15" s="78">
        <f t="shared" si="47"/>
        <v>2347.374025</v>
      </c>
      <c r="CK15" s="78">
        <f t="shared" si="48"/>
        <v>96242.335025</v>
      </c>
      <c r="CL15" s="78">
        <f t="shared" si="49"/>
        <v>7608.4824696000005</v>
      </c>
      <c r="CM15" s="77">
        <f t="shared" si="50"/>
        <v>1178.3884962</v>
      </c>
      <c r="CN15" s="79"/>
      <c r="CO15" s="78">
        <f t="shared" si="113"/>
        <v>210162.228</v>
      </c>
      <c r="CP15" s="78">
        <f t="shared" si="51"/>
        <v>5254.0557</v>
      </c>
      <c r="CQ15" s="78">
        <f t="shared" si="52"/>
        <v>215416.2837</v>
      </c>
      <c r="CR15" s="78">
        <f t="shared" si="53"/>
        <v>17029.8343008</v>
      </c>
      <c r="CS15" s="77">
        <f t="shared" si="54"/>
        <v>2637.5510375999997</v>
      </c>
      <c r="CT15" s="79"/>
      <c r="CU15" s="78">
        <f t="shared" si="114"/>
        <v>31796.443</v>
      </c>
      <c r="CV15" s="78">
        <f t="shared" si="55"/>
        <v>794.911075</v>
      </c>
      <c r="CW15" s="78">
        <f t="shared" si="56"/>
        <v>32591.354075</v>
      </c>
      <c r="CX15" s="78">
        <f t="shared" si="57"/>
        <v>2576.5246248</v>
      </c>
      <c r="CY15" s="77">
        <f t="shared" si="58"/>
        <v>399.04764059999997</v>
      </c>
      <c r="CZ15" s="79"/>
      <c r="DA15" s="78">
        <f t="shared" si="115"/>
        <v>91362.063</v>
      </c>
      <c r="DB15" s="78">
        <f t="shared" si="59"/>
        <v>2284.0515749999995</v>
      </c>
      <c r="DC15" s="78">
        <f t="shared" si="60"/>
        <v>93646.114575</v>
      </c>
      <c r="DD15" s="78">
        <f t="shared" si="61"/>
        <v>7403.237056800001</v>
      </c>
      <c r="DE15" s="77">
        <f t="shared" si="62"/>
        <v>1146.6004446</v>
      </c>
      <c r="DF15" s="79"/>
      <c r="DG15" s="78">
        <f t="shared" si="116"/>
        <v>3520.547</v>
      </c>
      <c r="DH15" s="78">
        <f t="shared" si="63"/>
        <v>88.013675</v>
      </c>
      <c r="DI15" s="78">
        <f t="shared" si="64"/>
        <v>3608.560675</v>
      </c>
      <c r="DJ15" s="78">
        <f t="shared" si="65"/>
        <v>285.27643919999997</v>
      </c>
      <c r="DK15" s="77">
        <f t="shared" si="66"/>
        <v>44.1831174</v>
      </c>
      <c r="DL15" s="79"/>
      <c r="DM15" s="90">
        <f t="shared" si="117"/>
        <v>192733.046</v>
      </c>
      <c r="DN15" s="90">
        <f t="shared" si="67"/>
        <v>4818.32615</v>
      </c>
      <c r="DO15" s="90">
        <f t="shared" si="68"/>
        <v>197551.37215</v>
      </c>
      <c r="DP15" s="90">
        <f t="shared" si="69"/>
        <v>15617.5154256</v>
      </c>
      <c r="DQ15" s="92">
        <f t="shared" si="70"/>
        <v>2418.8135532</v>
      </c>
      <c r="DR15" s="79"/>
      <c r="DS15" s="78">
        <f t="shared" si="118"/>
        <v>30343.197999999997</v>
      </c>
      <c r="DT15" s="78">
        <f t="shared" si="71"/>
        <v>758.5799499999999</v>
      </c>
      <c r="DU15" s="78">
        <f t="shared" si="72"/>
        <v>31101.777949999996</v>
      </c>
      <c r="DV15" s="78">
        <f t="shared" si="73"/>
        <v>2458.7654928</v>
      </c>
      <c r="DW15" s="77">
        <f t="shared" si="74"/>
        <v>380.8093116</v>
      </c>
      <c r="DX15" s="79"/>
      <c r="DY15" s="78">
        <f t="shared" si="119"/>
        <v>156148.213</v>
      </c>
      <c r="DZ15" s="78">
        <f t="shared" si="75"/>
        <v>3903.705325</v>
      </c>
      <c r="EA15" s="78">
        <f t="shared" si="76"/>
        <v>160051.91832499998</v>
      </c>
      <c r="EB15" s="78">
        <f t="shared" si="77"/>
        <v>12652.9786968</v>
      </c>
      <c r="EC15" s="77">
        <f t="shared" si="78"/>
        <v>1959.6712746</v>
      </c>
      <c r="ED15" s="79"/>
      <c r="EE15" s="78">
        <f t="shared" si="120"/>
        <v>44578.726</v>
      </c>
      <c r="EF15" s="78">
        <f t="shared" si="79"/>
        <v>1114.46815</v>
      </c>
      <c r="EG15" s="78">
        <f t="shared" si="80"/>
        <v>45693.19415</v>
      </c>
      <c r="EH15" s="78">
        <f t="shared" si="81"/>
        <v>3612.2966736</v>
      </c>
      <c r="EI15" s="77">
        <f t="shared" si="82"/>
        <v>559.4662092</v>
      </c>
      <c r="EJ15" s="79"/>
      <c r="EK15" s="78">
        <f t="shared" si="121"/>
        <v>447.474</v>
      </c>
      <c r="EL15" s="78">
        <f t="shared" si="83"/>
        <v>11.186850000000002</v>
      </c>
      <c r="EM15" s="78">
        <f t="shared" si="84"/>
        <v>458.66085</v>
      </c>
      <c r="EN15" s="78">
        <f t="shared" si="85"/>
        <v>36.2596464</v>
      </c>
      <c r="EO15" s="77">
        <f t="shared" si="86"/>
        <v>5.6158308</v>
      </c>
      <c r="EP15" s="79"/>
      <c r="EQ15" s="78">
        <f t="shared" si="122"/>
        <v>830.824</v>
      </c>
      <c r="ER15" s="78">
        <f t="shared" si="87"/>
        <v>20.770599999999998</v>
      </c>
      <c r="ES15" s="78">
        <f t="shared" si="88"/>
        <v>851.5945999999999</v>
      </c>
      <c r="ET15" s="78">
        <f t="shared" si="89"/>
        <v>67.3232064</v>
      </c>
      <c r="EU15" s="77">
        <f t="shared" si="90"/>
        <v>10.4269008</v>
      </c>
      <c r="EV15" s="79"/>
      <c r="EW15" s="78">
        <f t="shared" si="123"/>
        <v>150186.772</v>
      </c>
      <c r="EX15" s="78">
        <f t="shared" si="91"/>
        <v>3754.6693</v>
      </c>
      <c r="EY15" s="78">
        <f t="shared" si="92"/>
        <v>153941.4413</v>
      </c>
      <c r="EZ15" s="78">
        <f t="shared" si="93"/>
        <v>12169.9120992</v>
      </c>
      <c r="FA15" s="77">
        <f t="shared" si="94"/>
        <v>1884.8547624</v>
      </c>
      <c r="FB15" s="79"/>
      <c r="FC15" s="78">
        <f t="shared" si="124"/>
        <v>279159.652</v>
      </c>
      <c r="FD15" s="78">
        <f t="shared" si="95"/>
        <v>6978.9913</v>
      </c>
      <c r="FE15" s="78">
        <f t="shared" si="96"/>
        <v>286138.6433</v>
      </c>
      <c r="FF15" s="78">
        <f t="shared" si="97"/>
        <v>22620.8232672</v>
      </c>
      <c r="FG15" s="77">
        <f t="shared" si="98"/>
        <v>3503.4736583999997</v>
      </c>
      <c r="FH15" s="79"/>
      <c r="FI15" s="80"/>
      <c r="FJ15" s="78"/>
      <c r="FK15" s="78"/>
      <c r="FL15" s="78"/>
      <c r="FM15" s="77">
        <f t="shared" si="99"/>
        <v>0</v>
      </c>
    </row>
    <row r="16" spans="3:169" ht="12.75">
      <c r="C16" s="42"/>
      <c r="D16" s="42"/>
      <c r="E16" s="42"/>
      <c r="F16" s="42"/>
      <c r="G16" s="42"/>
      <c r="J16" s="50"/>
      <c r="M16" s="42"/>
      <c r="S16" s="42"/>
      <c r="Y16" s="42"/>
      <c r="AA16" s="33"/>
      <c r="AB16" s="33"/>
      <c r="AE16" s="42"/>
      <c r="AG16" s="33"/>
      <c r="AH16" s="33"/>
      <c r="AI16" s="33"/>
      <c r="AJ16" s="33"/>
      <c r="AK16" s="42"/>
      <c r="AM16" s="20"/>
      <c r="AN16" s="20"/>
      <c r="AO16" s="20"/>
      <c r="AP16" s="20"/>
      <c r="AQ16" s="42"/>
      <c r="AR16" s="33"/>
      <c r="AS16" s="33"/>
      <c r="AT16" s="33"/>
      <c r="AU16" s="33"/>
      <c r="AV16" s="33"/>
      <c r="AW16" s="42"/>
      <c r="AX16" s="33"/>
      <c r="AY16" s="33"/>
      <c r="AZ16" s="33"/>
      <c r="BA16" s="33"/>
      <c r="BB16" s="33"/>
      <c r="BC16" s="42"/>
      <c r="BD16" s="33"/>
      <c r="BE16" s="33"/>
      <c r="BF16" s="33"/>
      <c r="BG16" s="33"/>
      <c r="BH16" s="33"/>
      <c r="BI16" s="42"/>
      <c r="BJ16" s="33"/>
      <c r="BK16" s="33"/>
      <c r="BL16" s="33"/>
      <c r="BM16" s="33"/>
      <c r="BN16" s="33"/>
      <c r="BO16" s="42"/>
      <c r="BP16" s="33"/>
      <c r="BQ16" s="33"/>
      <c r="BR16" s="33"/>
      <c r="BS16" s="33"/>
      <c r="BT16" s="33"/>
      <c r="BU16" s="42"/>
      <c r="BV16" s="33"/>
      <c r="BW16" s="33"/>
      <c r="BX16" s="33"/>
      <c r="BY16" s="33"/>
      <c r="BZ16" s="33"/>
      <c r="CA16" s="42"/>
      <c r="CB16" s="33"/>
      <c r="CC16" s="33"/>
      <c r="CD16" s="33"/>
      <c r="CE16" s="33"/>
      <c r="CF16" s="33"/>
      <c r="CG16" s="42"/>
      <c r="CH16" s="33"/>
      <c r="CI16" s="33"/>
      <c r="CJ16" s="33"/>
      <c r="CK16" s="33"/>
      <c r="CL16" s="33"/>
      <c r="CM16" s="42"/>
      <c r="CN16" s="33"/>
      <c r="CO16" s="33"/>
      <c r="CP16" s="33"/>
      <c r="CQ16" s="33"/>
      <c r="CR16" s="33"/>
      <c r="CS16" s="42"/>
      <c r="CT16" s="33"/>
      <c r="CU16" s="33"/>
      <c r="CV16" s="33"/>
      <c r="CW16" s="33"/>
      <c r="CX16" s="33"/>
      <c r="CY16" s="42"/>
      <c r="CZ16" s="33"/>
      <c r="DA16" s="33"/>
      <c r="DB16" s="33"/>
      <c r="DC16" s="33"/>
      <c r="DD16" s="33"/>
      <c r="DE16" s="42"/>
      <c r="DF16" s="33"/>
      <c r="DG16" s="33"/>
      <c r="DH16" s="33"/>
      <c r="DI16" s="33"/>
      <c r="DJ16" s="33"/>
      <c r="DK16" s="42"/>
      <c r="DL16" s="33"/>
      <c r="DM16" s="93"/>
      <c r="DN16" s="93"/>
      <c r="DO16" s="93"/>
      <c r="DP16" s="93"/>
      <c r="DQ16" s="94"/>
      <c r="DR16" s="33"/>
      <c r="DS16" s="33"/>
      <c r="DT16" s="33"/>
      <c r="DU16" s="33"/>
      <c r="DV16" s="33"/>
      <c r="DW16" s="42"/>
      <c r="DX16" s="33"/>
      <c r="DY16" s="33"/>
      <c r="DZ16" s="33"/>
      <c r="EA16" s="33"/>
      <c r="EB16" s="33"/>
      <c r="EC16" s="42"/>
      <c r="ED16" s="33"/>
      <c r="EE16" s="33"/>
      <c r="EF16" s="33"/>
      <c r="EG16" s="33"/>
      <c r="EH16" s="33"/>
      <c r="EI16" s="42"/>
      <c r="EJ16" s="33"/>
      <c r="EK16" s="33"/>
      <c r="EL16" s="33"/>
      <c r="EM16" s="33"/>
      <c r="EN16" s="33"/>
      <c r="EO16" s="42"/>
      <c r="EP16" s="33"/>
      <c r="EQ16" s="33"/>
      <c r="ER16" s="33"/>
      <c r="ES16" s="33"/>
      <c r="ET16" s="33"/>
      <c r="EU16" s="42"/>
      <c r="EV16" s="33"/>
      <c r="EW16" s="33"/>
      <c r="EX16" s="33"/>
      <c r="EY16" s="33"/>
      <c r="EZ16" s="33"/>
      <c r="FA16" s="42"/>
      <c r="FB16" s="33"/>
      <c r="FC16" s="33"/>
      <c r="FD16" s="33"/>
      <c r="FE16" s="33"/>
      <c r="FF16" s="33"/>
      <c r="FG16" s="42"/>
      <c r="FH16" s="33"/>
      <c r="FI16" s="50"/>
      <c r="FJ16" s="50"/>
      <c r="FK16" s="50"/>
      <c r="FL16" s="50"/>
      <c r="FM16" s="42"/>
    </row>
    <row r="17" spans="1:169" ht="13.5" thickBot="1">
      <c r="A17" s="31" t="s">
        <v>4</v>
      </c>
      <c r="C17" s="49">
        <f>SUM(C8:C16)</f>
        <v>17535000</v>
      </c>
      <c r="D17" s="49">
        <f>SUM(D8:D16)</f>
        <v>1937360</v>
      </c>
      <c r="E17" s="49">
        <f>SUM(E8:E16)</f>
        <v>19472360</v>
      </c>
      <c r="F17" s="49">
        <f>SUM(F8:F16)</f>
        <v>3388749</v>
      </c>
      <c r="G17" s="49">
        <f>SUM(G8:G16)</f>
        <v>524841</v>
      </c>
      <c r="I17" s="49">
        <f>SUM(I8:I16)</f>
        <v>9518452.1565</v>
      </c>
      <c r="J17" s="49">
        <f>SUM(J8:J16)</f>
        <v>1051649.185624</v>
      </c>
      <c r="K17" s="49">
        <f>SUM(K8:K16)</f>
        <v>10570101.342124</v>
      </c>
      <c r="L17" s="49">
        <f>SUM(L8:L16)</f>
        <v>1839500.7257990998</v>
      </c>
      <c r="M17" s="49">
        <f>SUM(M8:M16)</f>
        <v>284897.2881819</v>
      </c>
      <c r="O17" s="49">
        <f>SUM(O8:O16)</f>
        <v>8016547.843499999</v>
      </c>
      <c r="P17" s="49">
        <f>SUM(P8:P16)</f>
        <v>885710.8143760001</v>
      </c>
      <c r="Q17" s="49">
        <f>SUM(Q8:Q16)</f>
        <v>8902258.657876</v>
      </c>
      <c r="R17" s="49">
        <f>SUM(R8:R16)</f>
        <v>1549248.2742009005</v>
      </c>
      <c r="S17" s="49">
        <f>SUM(S8:S16)</f>
        <v>239943.71181809998</v>
      </c>
      <c r="U17" s="49">
        <f>SUM(U8:U16)</f>
        <v>1433030.34</v>
      </c>
      <c r="V17" s="49">
        <f>SUM(V8:V16)</f>
        <v>158328.80864</v>
      </c>
      <c r="W17" s="49">
        <f>SUM(W8:W16)</f>
        <v>1591359.14864</v>
      </c>
      <c r="X17" s="49">
        <f>SUM(X8:X16)</f>
        <v>276942.123276</v>
      </c>
      <c r="Y17" s="49">
        <f>SUM(Y8:Y16)</f>
        <v>42892.105884000004</v>
      </c>
      <c r="AA17" s="49">
        <f>SUM(AA8:AA16)</f>
        <v>1044465.2609999999</v>
      </c>
      <c r="AB17" s="49">
        <f>SUM(AB8:AB16)</f>
        <v>115398.073456</v>
      </c>
      <c r="AC17" s="49">
        <f>SUM(AC8:AC16)</f>
        <v>1159863.334456</v>
      </c>
      <c r="AD17" s="49">
        <f>SUM(AD8:AD16)</f>
        <v>201849.4786854</v>
      </c>
      <c r="AE17" s="49">
        <f>SUM(AE8:AE16)</f>
        <v>31261.9442286</v>
      </c>
      <c r="AG17" s="49">
        <f>SUM(AG8:AG16)</f>
        <v>553762.314</v>
      </c>
      <c r="AH17" s="49">
        <f>SUM(AH8:AH16)</f>
        <v>61182.60374400001</v>
      </c>
      <c r="AI17" s="49">
        <f>SUM(AI8:AI16)</f>
        <v>614944.9177440001</v>
      </c>
      <c r="AJ17" s="49">
        <f>SUM(AJ8:AJ16)</f>
        <v>107018.04891960001</v>
      </c>
      <c r="AK17" s="49">
        <f>SUM(AK8:AK16)</f>
        <v>16574.688716399996</v>
      </c>
      <c r="AM17" s="49">
        <f>SUM(AM8:AM16)</f>
        <v>402743.88000000006</v>
      </c>
      <c r="AN17" s="49">
        <f>SUM(AN8:AN16)</f>
        <v>44497.28448</v>
      </c>
      <c r="AO17" s="49">
        <f>SUM(AO8:AO16)</f>
        <v>447241.1644800001</v>
      </c>
      <c r="AP17" s="49">
        <f>SUM(AP8:AP16)</f>
        <v>77832.787032</v>
      </c>
      <c r="AQ17" s="49">
        <f>SUM(AQ8:AQ16)</f>
        <v>12054.548088</v>
      </c>
      <c r="AR17" s="33"/>
      <c r="AS17" s="49">
        <f>SUM(AS8:AS16)</f>
        <v>46132.8315</v>
      </c>
      <c r="AT17" s="49">
        <f>SUM(AT8:AT16)</f>
        <v>5097.000424</v>
      </c>
      <c r="AU17" s="49">
        <f>SUM(AU8:AU16)</f>
        <v>51229.831924</v>
      </c>
      <c r="AV17" s="49">
        <f>SUM(AV8:AV16)</f>
        <v>8915.4597441</v>
      </c>
      <c r="AW17" s="49">
        <f>SUM(AW8:AW16)</f>
        <v>1380.8041869</v>
      </c>
      <c r="AX17" s="33"/>
      <c r="AY17" s="49">
        <f>SUM(AY8:AY16)</f>
        <v>729857.5514999998</v>
      </c>
      <c r="AZ17" s="49">
        <f>SUM(AZ8:AZ16)</f>
        <v>80638.54154399998</v>
      </c>
      <c r="BA17" s="49">
        <f>SUM(BA8:BA16)</f>
        <v>810496.093044</v>
      </c>
      <c r="BB17" s="49">
        <f>SUM(BB8:BB16)</f>
        <v>141049.5607521</v>
      </c>
      <c r="BC17" s="49">
        <f>SUM(BC8:BC16)</f>
        <v>21845.404458899997</v>
      </c>
      <c r="BD17" s="33"/>
      <c r="BE17" s="49">
        <f>SUM(BE8:BE16)</f>
        <v>79119.6735</v>
      </c>
      <c r="BF17" s="49">
        <f>SUM(BF8:BF16)</f>
        <v>8741.562056</v>
      </c>
      <c r="BG17" s="49">
        <f>SUM(BG8:BG16)</f>
        <v>87861.235556</v>
      </c>
      <c r="BH17" s="49">
        <f>SUM(BH8:BH16)</f>
        <v>15290.374362900002</v>
      </c>
      <c r="BI17" s="49">
        <f>SUM(BI8:BI16)</f>
        <v>2368.1350761</v>
      </c>
      <c r="BJ17" s="33"/>
      <c r="BK17" s="49">
        <f>SUM(BK8:BK16)</f>
        <v>247501.26450000002</v>
      </c>
      <c r="BL17" s="49">
        <f>SUM(BL8:BL16)</f>
        <v>27345.255191999997</v>
      </c>
      <c r="BM17" s="49">
        <f>SUM(BM8:BM16)</f>
        <v>274846.519692</v>
      </c>
      <c r="BN17" s="49">
        <f>SUM(BN8:BN16)</f>
        <v>47831.1755103</v>
      </c>
      <c r="BO17" s="49">
        <f>SUM(BO8:BO16)</f>
        <v>7407.9732627</v>
      </c>
      <c r="BP17" s="33"/>
      <c r="BQ17" s="49">
        <f>SUM(BQ8:BQ16)</f>
        <v>125513.7765</v>
      </c>
      <c r="BR17" s="49">
        <f>SUM(BR8:BR16)</f>
        <v>13867.429144000002</v>
      </c>
      <c r="BS17" s="49">
        <f>SUM(BS8:BS16)</f>
        <v>139381.205644</v>
      </c>
      <c r="BT17" s="49">
        <f>SUM(BT8:BT16)</f>
        <v>24256.326467100003</v>
      </c>
      <c r="BU17" s="49">
        <f>SUM(BU8:BU16)</f>
        <v>3756.7593939</v>
      </c>
      <c r="BV17" s="33"/>
      <c r="BW17" s="49">
        <f>SUM(BW8:BW16)</f>
        <v>24375.4035</v>
      </c>
      <c r="BX17" s="49">
        <f>SUM(BX8:BX16)</f>
        <v>2693.124136</v>
      </c>
      <c r="BY17" s="49">
        <f>SUM(BY8:BY16)</f>
        <v>27068.527636</v>
      </c>
      <c r="BZ17" s="49">
        <f>SUM(BZ8:BZ16)</f>
        <v>4710.6999849</v>
      </c>
      <c r="CA17" s="49">
        <f>SUM(CA8:CA16)</f>
        <v>729.5814741</v>
      </c>
      <c r="CB17" s="33"/>
      <c r="CC17" s="49">
        <f>SUM(CC8:CC16)</f>
        <v>96852.81900000002</v>
      </c>
      <c r="CD17" s="49">
        <f>SUM(CD8:CD16)</f>
        <v>10700.814224000002</v>
      </c>
      <c r="CE17" s="49">
        <f>SUM(CE8:CE16)</f>
        <v>107553.63322399999</v>
      </c>
      <c r="CF17" s="49">
        <f>SUM(CF8:CF16)</f>
        <v>18717.416226600002</v>
      </c>
      <c r="CG17" s="49">
        <f>SUM(CG8:CG16)</f>
        <v>2898.9067794</v>
      </c>
      <c r="CH17" s="33"/>
      <c r="CI17" s="49">
        <f>SUM(CI8:CI16)</f>
        <v>236219.24550000002</v>
      </c>
      <c r="CJ17" s="49">
        <f>SUM(CJ8:CJ16)</f>
        <v>26098.757768000003</v>
      </c>
      <c r="CK17" s="49">
        <f>SUM(CK8:CK16)</f>
        <v>262318.003268</v>
      </c>
      <c r="CL17" s="49">
        <f>SUM(CL8:CL16)</f>
        <v>45650.8544037</v>
      </c>
      <c r="CM17" s="49">
        <f>SUM(CM8:CM16)</f>
        <v>7070.290563300001</v>
      </c>
      <c r="CN17" s="33"/>
      <c r="CO17" s="49">
        <f>SUM(CO8:CO16)</f>
        <v>528722.334</v>
      </c>
      <c r="CP17" s="49">
        <f>SUM(CP8:CP16)</f>
        <v>58416.05366399999</v>
      </c>
      <c r="CQ17" s="49">
        <f>SUM(CQ8:CQ16)</f>
        <v>587138.387664</v>
      </c>
      <c r="CR17" s="49">
        <f>SUM(CR8:CR16)</f>
        <v>102178.9153476</v>
      </c>
      <c r="CS17" s="49">
        <f>SUM(CS8:CS16)</f>
        <v>15825.2157684</v>
      </c>
      <c r="CT17" s="33"/>
      <c r="CU17" s="49">
        <f>SUM(CU8:CU16)</f>
        <v>79992.91649999999</v>
      </c>
      <c r="CV17" s="49">
        <f>SUM(CV8:CV16)</f>
        <v>8838.042583999999</v>
      </c>
      <c r="CW17" s="49">
        <f>SUM(CW8:CW16)</f>
        <v>88830.95908399999</v>
      </c>
      <c r="CX17" s="49">
        <f>SUM(CX8:CX16)</f>
        <v>15459.1340631</v>
      </c>
      <c r="CY17" s="49">
        <f>SUM(CY8:CY16)</f>
        <v>2394.2721579</v>
      </c>
      <c r="CZ17" s="33"/>
      <c r="DA17" s="49">
        <f>SUM(DA8:DA16)</f>
        <v>229847.0265</v>
      </c>
      <c r="DB17" s="49">
        <f>SUM(DB8:DB16)</f>
        <v>25394.721143999996</v>
      </c>
      <c r="DC17" s="49">
        <f>SUM(DC8:DC16)</f>
        <v>255241.747644</v>
      </c>
      <c r="DD17" s="49">
        <f>SUM(DD8:DD16)</f>
        <v>44419.3830171</v>
      </c>
      <c r="DE17" s="49">
        <f>SUM(DE8:DE16)</f>
        <v>6879.563343899999</v>
      </c>
      <c r="DF17" s="33"/>
      <c r="DG17" s="49">
        <f>SUM(DG8:DG16)</f>
        <v>8856.9285</v>
      </c>
      <c r="DH17" s="49">
        <f>SUM(DH8:DH16)</f>
        <v>978.5605360000001</v>
      </c>
      <c r="DI17" s="49">
        <f>SUM(DI8:DI16)</f>
        <v>9835.489036</v>
      </c>
      <c r="DJ17" s="49">
        <f>SUM(DJ8:DJ16)</f>
        <v>1711.6571198999995</v>
      </c>
      <c r="DK17" s="49">
        <f>SUM(DK8:DK16)</f>
        <v>265.09718910000004</v>
      </c>
      <c r="DL17" s="33"/>
      <c r="DM17" s="95">
        <f>SUM(DM8:DM16)</f>
        <v>484874.31299999997</v>
      </c>
      <c r="DN17" s="95">
        <f>SUM(DN8:DN16)</f>
        <v>53571.491248000006</v>
      </c>
      <c r="DO17" s="95">
        <f>SUM(DO8:DO16)</f>
        <v>538445.804248</v>
      </c>
      <c r="DP17" s="95">
        <f>SUM(DP8:DP16)</f>
        <v>93705.0095982</v>
      </c>
      <c r="DQ17" s="95">
        <f>SUM(DQ8:DQ16)</f>
        <v>14512.798363799999</v>
      </c>
      <c r="DR17" s="33"/>
      <c r="DS17" s="49">
        <f>SUM(DS8:DS16)</f>
        <v>76336.86899999999</v>
      </c>
      <c r="DT17" s="49">
        <f>SUM(DT8:DT16)</f>
        <v>8434.103024</v>
      </c>
      <c r="DU17" s="49">
        <f>SUM(DU8:DU16)</f>
        <v>84770.97202399999</v>
      </c>
      <c r="DV17" s="49">
        <f>SUM(DV8:DV16)</f>
        <v>14752.579896600004</v>
      </c>
      <c r="DW17" s="49">
        <f>SUM(DW8:DW16)</f>
        <v>2284.8428094</v>
      </c>
      <c r="DX17" s="33"/>
      <c r="DY17" s="49">
        <f>SUM(DY8:DY16)</f>
        <v>392834.8515</v>
      </c>
      <c r="DZ17" s="49">
        <f>SUM(DZ8:DZ16)</f>
        <v>43402.482344000004</v>
      </c>
      <c r="EA17" s="49">
        <f>SUM(EA8:EA16)</f>
        <v>436237.33384399995</v>
      </c>
      <c r="EB17" s="49">
        <f>SUM(EB8:EB16)</f>
        <v>75917.8049721</v>
      </c>
      <c r="EC17" s="49">
        <f>SUM(EC8:EC16)</f>
        <v>11757.9604389</v>
      </c>
      <c r="ED17" s="33"/>
      <c r="EE17" s="49">
        <f>SUM(EE8:EE16)</f>
        <v>112150.353</v>
      </c>
      <c r="EF17" s="49">
        <f>SUM(EF8:EF16)</f>
        <v>12390.967088000001</v>
      </c>
      <c r="EG17" s="49">
        <f>SUM(EG8:EG16)</f>
        <v>124541.32008800001</v>
      </c>
      <c r="EH17" s="49">
        <f>SUM(EH8:EH16)</f>
        <v>21673.7608542</v>
      </c>
      <c r="EI17" s="49">
        <f>SUM(EI8:EI16)</f>
        <v>3356.7780677999995</v>
      </c>
      <c r="EJ17" s="33"/>
      <c r="EK17" s="49">
        <f>SUM(EK8:EK16)</f>
        <v>1125.747</v>
      </c>
      <c r="EL17" s="49">
        <f>SUM(EL8:EL16)</f>
        <v>124.37851200000001</v>
      </c>
      <c r="EM17" s="49">
        <f>SUM(EM8:EM16)</f>
        <v>1250.125512</v>
      </c>
      <c r="EN17" s="49">
        <f>SUM(EN8:EN16)</f>
        <v>217.55768580000003</v>
      </c>
      <c r="EO17" s="49">
        <f>SUM(EO8:EO16)</f>
        <v>33.6947922</v>
      </c>
      <c r="EP17" s="33"/>
      <c r="EQ17" s="49">
        <f>SUM(EQ8:EQ16)</f>
        <v>2090.172</v>
      </c>
      <c r="ER17" s="49">
        <f>SUM(ER8:ER16)</f>
        <v>230.933312</v>
      </c>
      <c r="ES17" s="49">
        <f>SUM(ES8:ES16)</f>
        <v>2321.1053119999997</v>
      </c>
      <c r="ET17" s="49">
        <f>SUM(ET8:ET16)</f>
        <v>403.9388808</v>
      </c>
      <c r="EU17" s="49">
        <f>SUM(EU8:EU16)</f>
        <v>62.5610472</v>
      </c>
      <c r="EV17" s="33"/>
      <c r="EW17" s="49">
        <f>SUM(EW8:EW16)</f>
        <v>377837.16599999997</v>
      </c>
      <c r="EX17" s="49">
        <f>SUM(EX8:EX16)</f>
        <v>41745.458336</v>
      </c>
      <c r="EY17" s="49">
        <f>SUM(EY8:EY16)</f>
        <v>419582.624336</v>
      </c>
      <c r="EZ17" s="49">
        <f>SUM(EZ8:EZ16)</f>
        <v>73019.40795240001</v>
      </c>
      <c r="FA17" s="49">
        <f>SUM(FA8:FA16)</f>
        <v>11309.0639316</v>
      </c>
      <c r="FB17" s="33"/>
      <c r="FC17" s="49">
        <f>SUM(FC8:FC16)</f>
        <v>702304.806</v>
      </c>
      <c r="FD17" s="49">
        <f>SUM(FD8:FD16)</f>
        <v>77594.36777599998</v>
      </c>
      <c r="FE17" s="49">
        <f>SUM(FE8:FE16)</f>
        <v>779899.1737759999</v>
      </c>
      <c r="FF17" s="49">
        <f>SUM(FF8:FF16)</f>
        <v>135724.8194484</v>
      </c>
      <c r="FG17" s="49">
        <f>SUM(FG8:FG16)</f>
        <v>21020.7217956</v>
      </c>
      <c r="FH17" s="33"/>
      <c r="FI17" s="49">
        <f>SUM(FI8:FI16)</f>
        <v>0</v>
      </c>
      <c r="FJ17" s="49">
        <f>SUM(FJ8:FJ16)</f>
        <v>0</v>
      </c>
      <c r="FK17" s="49">
        <f>SUM(FK8:IV16)</f>
        <v>0</v>
      </c>
      <c r="FL17" s="42"/>
      <c r="FM17" s="49">
        <f>SUM(FM8:FM16)</f>
        <v>0</v>
      </c>
    </row>
    <row r="18" spans="33:43" ht="13.5" thickTop="1">
      <c r="AG18" s="33"/>
      <c r="AH18" s="33"/>
      <c r="AI18" s="33"/>
      <c r="AJ18" s="33"/>
      <c r="AK18" s="33"/>
      <c r="AM18" s="20"/>
      <c r="AN18" s="20"/>
      <c r="AO18" s="20"/>
      <c r="AP18" s="20"/>
      <c r="AQ18" s="20"/>
    </row>
    <row r="19" spans="3:43" ht="12.75">
      <c r="C19" s="33">
        <f>I17+O17</f>
        <v>17535000</v>
      </c>
      <c r="D19" s="33">
        <f>J17+P17</f>
        <v>1937360</v>
      </c>
      <c r="E19" s="33">
        <f>K17+Q17</f>
        <v>19472360</v>
      </c>
      <c r="F19" s="33">
        <f>L17+R17</f>
        <v>3388749</v>
      </c>
      <c r="G19" s="33">
        <f>M17+S17</f>
        <v>524841</v>
      </c>
      <c r="P19" s="33"/>
      <c r="AG19" s="33"/>
      <c r="AH19" s="33"/>
      <c r="AI19" s="33"/>
      <c r="AJ19" s="33"/>
      <c r="AK19" s="33"/>
      <c r="AM19" s="20"/>
      <c r="AN19" s="20"/>
      <c r="AO19" s="20"/>
      <c r="AP19" s="20"/>
      <c r="AQ19" s="20"/>
    </row>
    <row r="20" spans="33:43" ht="12.75">
      <c r="AG20" s="33"/>
      <c r="AH20" s="33"/>
      <c r="AI20" s="33"/>
      <c r="AJ20" s="33"/>
      <c r="AK20" s="33"/>
      <c r="AM20" s="20"/>
      <c r="AN20" s="20"/>
      <c r="AO20" s="20"/>
      <c r="AP20" s="20"/>
      <c r="AQ20" s="20"/>
    </row>
    <row r="21" spans="33:43" ht="12.75">
      <c r="AG21" s="33"/>
      <c r="AH21" s="33"/>
      <c r="AI21" s="33"/>
      <c r="AJ21" s="33"/>
      <c r="AK21" s="33"/>
      <c r="AM21" s="20"/>
      <c r="AN21" s="20"/>
      <c r="AO21" s="20"/>
      <c r="AP21" s="20"/>
      <c r="AQ21" s="20"/>
    </row>
    <row r="22" spans="33:43" ht="12.75">
      <c r="AG22" s="33"/>
      <c r="AH22" s="33"/>
      <c r="AI22" s="33"/>
      <c r="AJ22" s="33"/>
      <c r="AK22" s="33"/>
      <c r="AM22" s="20"/>
      <c r="AN22" s="20"/>
      <c r="AO22" s="20"/>
      <c r="AP22" s="20"/>
      <c r="AQ22" s="20"/>
    </row>
    <row r="23" spans="33:43" ht="12.75">
      <c r="AG23" s="33"/>
      <c r="AH23" s="33"/>
      <c r="AI23" s="33"/>
      <c r="AJ23" s="33"/>
      <c r="AK23" s="33"/>
      <c r="AM23" s="20"/>
      <c r="AN23" s="20"/>
      <c r="AO23" s="20"/>
      <c r="AP23" s="20"/>
      <c r="AQ23" s="20"/>
    </row>
    <row r="24" spans="33:43" ht="12.75">
      <c r="AG24" s="33"/>
      <c r="AH24" s="33"/>
      <c r="AI24" s="33"/>
      <c r="AJ24" s="33"/>
      <c r="AK24" s="33"/>
      <c r="AM24" s="20"/>
      <c r="AN24" s="20"/>
      <c r="AO24" s="20"/>
      <c r="AP24" s="20"/>
      <c r="AQ24" s="20"/>
    </row>
    <row r="25" spans="33:43" ht="12.75">
      <c r="AG25" s="33"/>
      <c r="AH25" s="33"/>
      <c r="AI25" s="33"/>
      <c r="AJ25" s="33"/>
      <c r="AK25" s="33"/>
      <c r="AM25" s="20"/>
      <c r="AN25" s="20"/>
      <c r="AO25" s="20"/>
      <c r="AP25" s="20"/>
      <c r="AQ25" s="20"/>
    </row>
    <row r="26" spans="33:43" ht="12.75">
      <c r="AG26" s="33"/>
      <c r="AH26" s="33"/>
      <c r="AI26" s="33"/>
      <c r="AJ26" s="33"/>
      <c r="AK26" s="33"/>
      <c r="AM26" s="20"/>
      <c r="AN26" s="20"/>
      <c r="AO26" s="20"/>
      <c r="AP26" s="20"/>
      <c r="AQ26" s="20"/>
    </row>
    <row r="27" spans="33:43" ht="12.75">
      <c r="AG27" s="33"/>
      <c r="AH27" s="33"/>
      <c r="AI27" s="33"/>
      <c r="AJ27" s="33"/>
      <c r="AK27" s="33"/>
      <c r="AM27" s="20"/>
      <c r="AN27" s="20"/>
      <c r="AO27" s="20"/>
      <c r="AP27" s="20"/>
      <c r="AQ27" s="20"/>
    </row>
    <row r="28" spans="33:43" ht="12.75">
      <c r="AG28" s="33"/>
      <c r="AH28" s="33"/>
      <c r="AI28" s="33"/>
      <c r="AJ28" s="33"/>
      <c r="AK28" s="33"/>
      <c r="AM28" s="20"/>
      <c r="AN28" s="20"/>
      <c r="AO28" s="20"/>
      <c r="AP28" s="20"/>
      <c r="AQ28" s="20"/>
    </row>
    <row r="29" spans="33:43" ht="12.75">
      <c r="AG29" s="33"/>
      <c r="AH29" s="33"/>
      <c r="AI29" s="33"/>
      <c r="AJ29" s="33"/>
      <c r="AK29" s="33"/>
      <c r="AM29" s="20"/>
      <c r="AN29" s="20"/>
      <c r="AO29" s="20"/>
      <c r="AP29" s="20"/>
      <c r="AQ29" s="20"/>
    </row>
    <row r="30" spans="33:43" ht="12.75">
      <c r="AG30" s="33"/>
      <c r="AH30" s="33"/>
      <c r="AI30" s="33"/>
      <c r="AJ30" s="33"/>
      <c r="AK30" s="33"/>
      <c r="AM30" s="20"/>
      <c r="AN30" s="20"/>
      <c r="AO30" s="20"/>
      <c r="AP30" s="20"/>
      <c r="AQ30" s="20"/>
    </row>
    <row r="31" spans="1:168" ht="12.75">
      <c r="A31"/>
      <c r="C31"/>
      <c r="D31"/>
      <c r="E31"/>
      <c r="F31"/>
      <c r="G31"/>
      <c r="H31"/>
      <c r="I31"/>
      <c r="J31"/>
      <c r="K31"/>
      <c r="L31"/>
      <c r="M31"/>
      <c r="N31"/>
      <c r="T31"/>
      <c r="AG31" s="33"/>
      <c r="AH31" s="33"/>
      <c r="AI31" s="33"/>
      <c r="AJ31" s="33"/>
      <c r="AK31" s="33"/>
      <c r="AM31" s="20"/>
      <c r="AN31" s="20"/>
      <c r="AO31" s="20"/>
      <c r="AP31" s="20"/>
      <c r="AQ31" s="20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</row>
    <row r="32" spans="1:168" ht="12.75">
      <c r="A32"/>
      <c r="C32"/>
      <c r="D32"/>
      <c r="E32"/>
      <c r="F32"/>
      <c r="G32"/>
      <c r="H32"/>
      <c r="I32"/>
      <c r="J32"/>
      <c r="K32"/>
      <c r="L32"/>
      <c r="M32"/>
      <c r="N32"/>
      <c r="T32"/>
      <c r="AG32" s="33"/>
      <c r="AH32" s="33"/>
      <c r="AI32" s="33"/>
      <c r="AJ32" s="33"/>
      <c r="AK32" s="33"/>
      <c r="AM32" s="20"/>
      <c r="AN32" s="20"/>
      <c r="AO32" s="20"/>
      <c r="AP32" s="20"/>
      <c r="AQ32" s="20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</row>
    <row r="33" spans="33:43" ht="12.75">
      <c r="AG33" s="33"/>
      <c r="AH33" s="33"/>
      <c r="AI33" s="33"/>
      <c r="AJ33" s="33"/>
      <c r="AK33" s="33"/>
      <c r="AM33" s="20"/>
      <c r="AN33" s="20"/>
      <c r="AO33" s="20"/>
      <c r="AP33" s="20"/>
      <c r="AQ33" s="20"/>
    </row>
    <row r="34" spans="33:43" ht="12.75">
      <c r="AG34" s="33"/>
      <c r="AH34" s="33"/>
      <c r="AI34" s="33"/>
      <c r="AJ34" s="33"/>
      <c r="AK34" s="33"/>
      <c r="AM34" s="20"/>
      <c r="AN34" s="20"/>
      <c r="AO34" s="20"/>
      <c r="AP34" s="20"/>
      <c r="AQ34" s="20"/>
    </row>
    <row r="35" spans="33:43" ht="12.75">
      <c r="AG35" s="33"/>
      <c r="AH35" s="33"/>
      <c r="AI35" s="33"/>
      <c r="AJ35" s="33"/>
      <c r="AK35" s="33"/>
      <c r="AM35" s="20"/>
      <c r="AN35" s="20"/>
      <c r="AO35" s="20"/>
      <c r="AP35" s="20"/>
      <c r="AQ35" s="20"/>
    </row>
    <row r="36" spans="33:43" ht="12.75">
      <c r="AG36" s="33"/>
      <c r="AH36" s="33"/>
      <c r="AI36" s="33"/>
      <c r="AJ36" s="33"/>
      <c r="AK36" s="33"/>
      <c r="AM36" s="20"/>
      <c r="AN36" s="20"/>
      <c r="AO36" s="20"/>
      <c r="AP36" s="20"/>
      <c r="AQ36" s="20"/>
    </row>
    <row r="37" spans="33:43" ht="12.75">
      <c r="AG37" s="33"/>
      <c r="AH37" s="33"/>
      <c r="AI37" s="33"/>
      <c r="AJ37" s="33"/>
      <c r="AK37" s="33"/>
      <c r="AM37" s="20"/>
      <c r="AN37" s="20"/>
      <c r="AO37" s="20"/>
      <c r="AP37" s="20"/>
      <c r="AQ37" s="20"/>
    </row>
    <row r="38" spans="33:43" ht="12.75">
      <c r="AG38" s="33"/>
      <c r="AH38" s="33"/>
      <c r="AI38" s="33"/>
      <c r="AJ38" s="33"/>
      <c r="AK38" s="33"/>
      <c r="AM38" s="20"/>
      <c r="AN38" s="20"/>
      <c r="AO38" s="20"/>
      <c r="AP38" s="20"/>
      <c r="AQ38" s="20"/>
    </row>
    <row r="39" spans="33:43" ht="12.75">
      <c r="AG39" s="33"/>
      <c r="AH39" s="33"/>
      <c r="AI39" s="33"/>
      <c r="AJ39" s="33"/>
      <c r="AK39" s="33"/>
      <c r="AM39" s="20"/>
      <c r="AN39" s="20"/>
      <c r="AO39" s="20"/>
      <c r="AP39" s="20"/>
      <c r="AQ39" s="20"/>
    </row>
    <row r="40" spans="33:43" ht="12.75">
      <c r="AG40" s="33"/>
      <c r="AH40" s="33"/>
      <c r="AI40" s="33"/>
      <c r="AJ40" s="33"/>
      <c r="AK40" s="33"/>
      <c r="AM40" s="20"/>
      <c r="AN40" s="20"/>
      <c r="AO40" s="20"/>
      <c r="AP40" s="20"/>
      <c r="AQ40" s="20"/>
    </row>
    <row r="41" spans="33:43" ht="12.75">
      <c r="AG41" s="33"/>
      <c r="AH41" s="33"/>
      <c r="AI41" s="33"/>
      <c r="AJ41" s="33"/>
      <c r="AK41" s="33"/>
      <c r="AM41" s="20"/>
      <c r="AN41" s="20"/>
      <c r="AO41" s="20"/>
      <c r="AP41" s="20"/>
      <c r="AQ41" s="20"/>
    </row>
    <row r="42" spans="33:43" ht="12.75">
      <c r="AG42" s="33"/>
      <c r="AH42" s="33"/>
      <c r="AI42" s="33"/>
      <c r="AJ42" s="33"/>
      <c r="AK42" s="33"/>
      <c r="AM42" s="20"/>
      <c r="AN42" s="20"/>
      <c r="AO42" s="20"/>
      <c r="AP42" s="20"/>
      <c r="AQ42" s="20"/>
    </row>
    <row r="43" spans="33:43" ht="12.75">
      <c r="AG43" s="33"/>
      <c r="AH43" s="33"/>
      <c r="AI43" s="33"/>
      <c r="AJ43" s="33"/>
      <c r="AK43" s="33"/>
      <c r="AM43" s="20"/>
      <c r="AN43" s="20"/>
      <c r="AO43" s="20"/>
      <c r="AP43" s="20"/>
      <c r="AQ43" s="20"/>
    </row>
    <row r="44" spans="33:43" ht="12.75">
      <c r="AG44" s="33"/>
      <c r="AH44" s="33"/>
      <c r="AI44" s="33"/>
      <c r="AJ44" s="33"/>
      <c r="AK44" s="33"/>
      <c r="AM44" s="20"/>
      <c r="AN44" s="20"/>
      <c r="AO44" s="20"/>
      <c r="AP44" s="20"/>
      <c r="AQ44" s="20"/>
    </row>
    <row r="45" spans="33:37" ht="12.75">
      <c r="AG45" s="33"/>
      <c r="AH45" s="33"/>
      <c r="AI45" s="33"/>
      <c r="AJ45" s="33"/>
      <c r="AK45" s="33"/>
    </row>
    <row r="46" spans="33:37" ht="12.75">
      <c r="AG46" s="33"/>
      <c r="AH46" s="33"/>
      <c r="AI46" s="33"/>
      <c r="AJ46" s="33"/>
      <c r="AK46" s="33"/>
    </row>
    <row r="47" spans="33:37" ht="12.75">
      <c r="AG47" s="33"/>
      <c r="AH47" s="33"/>
      <c r="AI47" s="33"/>
      <c r="AJ47" s="33"/>
      <c r="AK47" s="33"/>
    </row>
    <row r="48" spans="33:37" ht="12.75">
      <c r="AG48" s="33"/>
      <c r="AH48" s="33"/>
      <c r="AI48" s="33"/>
      <c r="AJ48" s="33"/>
      <c r="AK48" s="33"/>
    </row>
    <row r="49" spans="33:37" ht="12.75">
      <c r="AG49" s="33"/>
      <c r="AH49" s="33"/>
      <c r="AI49" s="33"/>
      <c r="AJ49" s="33"/>
      <c r="AK49" s="33"/>
    </row>
    <row r="50" spans="33:37" ht="12.75">
      <c r="AG50" s="33"/>
      <c r="AH50" s="33"/>
      <c r="AI50" s="33"/>
      <c r="AJ50" s="33"/>
      <c r="AK50" s="33"/>
    </row>
    <row r="51" spans="33:37" ht="12.75">
      <c r="AG51" s="33"/>
      <c r="AH51" s="33"/>
      <c r="AI51" s="33"/>
      <c r="AJ51" s="33"/>
      <c r="AK51" s="33"/>
    </row>
    <row r="52" spans="33:37" ht="12.75">
      <c r="AG52" s="33"/>
      <c r="AH52" s="33"/>
      <c r="AI52" s="33"/>
      <c r="AJ52" s="33"/>
      <c r="AK52" s="33"/>
    </row>
    <row r="53" spans="33:37" ht="12.75">
      <c r="AG53" s="33"/>
      <c r="AH53" s="33"/>
      <c r="AI53" s="33"/>
      <c r="AJ53" s="33"/>
      <c r="AK53" s="33"/>
    </row>
    <row r="54" spans="33:37" ht="12.75">
      <c r="AG54" s="33"/>
      <c r="AH54" s="33"/>
      <c r="AI54" s="33"/>
      <c r="AJ54" s="33"/>
      <c r="AK54" s="33"/>
    </row>
    <row r="55" spans="33:37" ht="12.75">
      <c r="AG55" s="33"/>
      <c r="AH55" s="33"/>
      <c r="AI55" s="33"/>
      <c r="AJ55" s="33"/>
      <c r="AK55" s="33"/>
    </row>
    <row r="56" spans="33:37" ht="12.75">
      <c r="AG56" s="33"/>
      <c r="AH56" s="33"/>
      <c r="AI56" s="33"/>
      <c r="AJ56" s="33"/>
      <c r="AK56" s="33"/>
    </row>
    <row r="57" spans="33:37" ht="12.75">
      <c r="AG57" s="33"/>
      <c r="AH57" s="33"/>
      <c r="AI57" s="33"/>
      <c r="AJ57" s="33"/>
      <c r="AK57" s="33"/>
    </row>
  </sheetData>
  <sheetProtection/>
  <printOptions/>
  <pageMargins left="0.7" right="0.7" top="0.75" bottom="0.75" header="0.3" footer="0.3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I32"/>
  <sheetViews>
    <sheetView zoomScalePageLayoutView="0" workbookViewId="0" topLeftCell="E1">
      <selection activeCell="D7" sqref="D7"/>
    </sheetView>
  </sheetViews>
  <sheetFormatPr defaultColWidth="8.7109375" defaultRowHeight="12.75"/>
  <cols>
    <col min="1" max="1" width="9.7109375" style="19" customWidth="1"/>
    <col min="2" max="2" width="3.7109375" style="0" customWidth="1"/>
    <col min="3" max="6" width="13.7109375" style="33" customWidth="1"/>
    <col min="7" max="7" width="15.7109375" style="33" customWidth="1"/>
    <col min="8" max="8" width="3.7109375" style="33" customWidth="1"/>
    <col min="9" max="12" width="13.7109375" style="33" customWidth="1"/>
    <col min="13" max="13" width="15.7109375" style="33" customWidth="1"/>
    <col min="14" max="14" width="3.7109375" style="33" customWidth="1"/>
    <col min="15" max="18" width="13.7109375" style="33" customWidth="1"/>
    <col min="19" max="19" width="15.00390625" style="33" customWidth="1"/>
    <col min="20" max="20" width="3.7109375" style="33" customWidth="1"/>
    <col min="21" max="25" width="13.7109375" style="33" customWidth="1"/>
    <col min="26" max="26" width="3.7109375" style="33" customWidth="1"/>
    <col min="27" max="31" width="13.7109375" style="33" customWidth="1"/>
    <col min="32" max="32" width="3.7109375" style="33" customWidth="1"/>
    <col min="33" max="37" width="13.7109375" style="33" customWidth="1"/>
    <col min="38" max="38" width="3.7109375" style="33" customWidth="1"/>
    <col min="39" max="43" width="13.7109375" style="33" customWidth="1"/>
    <col min="44" max="44" width="3.7109375" style="33" customWidth="1"/>
    <col min="45" max="49" width="13.7109375" style="33" customWidth="1"/>
    <col min="50" max="50" width="3.7109375" style="33" customWidth="1"/>
    <col min="51" max="55" width="13.7109375" style="33" customWidth="1"/>
    <col min="56" max="56" width="3.7109375" style="33" customWidth="1"/>
    <col min="57" max="61" width="13.7109375" style="33" customWidth="1"/>
    <col min="62" max="62" width="3.7109375" style="33" customWidth="1"/>
    <col min="63" max="67" width="13.7109375" style="33" customWidth="1"/>
    <col min="68" max="68" width="3.7109375" style="33" customWidth="1"/>
    <col min="69" max="73" width="13.7109375" style="33" customWidth="1"/>
    <col min="74" max="74" width="3.7109375" style="33" customWidth="1"/>
    <col min="75" max="79" width="13.7109375" style="33" customWidth="1"/>
    <col min="80" max="80" width="3.7109375" style="33" customWidth="1"/>
    <col min="81" max="85" width="13.7109375" style="33" customWidth="1"/>
    <col min="86" max="86" width="3.7109375" style="33" customWidth="1"/>
    <col min="87" max="91" width="13.7109375" style="33" customWidth="1"/>
    <col min="92" max="92" width="3.7109375" style="33" customWidth="1"/>
    <col min="93" max="97" width="13.7109375" style="33" customWidth="1"/>
    <col min="98" max="98" width="3.7109375" style="33" customWidth="1"/>
    <col min="99" max="103" width="13.7109375" style="33" customWidth="1"/>
    <col min="104" max="104" width="3.7109375" style="33" customWidth="1"/>
    <col min="105" max="109" width="13.7109375" style="33" customWidth="1"/>
    <col min="110" max="110" width="3.7109375" style="33" customWidth="1"/>
    <col min="111" max="115" width="13.7109375" style="33" customWidth="1"/>
    <col min="116" max="116" width="3.7109375" style="33" customWidth="1"/>
    <col min="117" max="121" width="13.7109375" style="33" customWidth="1"/>
    <col min="122" max="122" width="3.7109375" style="33" customWidth="1"/>
    <col min="123" max="127" width="13.7109375" style="33" customWidth="1"/>
    <col min="128" max="128" width="3.7109375" style="33" customWidth="1"/>
    <col min="129" max="133" width="13.7109375" style="33" customWidth="1"/>
    <col min="134" max="134" width="3.7109375" style="33" customWidth="1"/>
    <col min="135" max="139" width="13.7109375" style="33" customWidth="1"/>
    <col min="140" max="140" width="3.7109375" style="33" customWidth="1"/>
    <col min="141" max="145" width="13.7109375" style="33" customWidth="1"/>
    <col min="146" max="146" width="3.7109375" style="33" customWidth="1"/>
    <col min="147" max="151" width="13.7109375" style="33" customWidth="1"/>
    <col min="152" max="152" width="3.7109375" style="33" customWidth="1"/>
    <col min="153" max="157" width="13.7109375" style="33" customWidth="1"/>
    <col min="158" max="158" width="3.7109375" style="33" customWidth="1"/>
    <col min="159" max="163" width="13.7109375" style="33" customWidth="1"/>
    <col min="164" max="164" width="3.7109375" style="33" customWidth="1"/>
    <col min="165" max="169" width="13.7109375" style="33" customWidth="1"/>
    <col min="170" max="170" width="3.7109375" style="33" customWidth="1"/>
    <col min="171" max="175" width="13.7109375" style="33" customWidth="1"/>
    <col min="176" max="176" width="3.7109375" style="33" customWidth="1"/>
    <col min="177" max="181" width="13.7109375" style="33" customWidth="1"/>
    <col min="182" max="182" width="3.7109375" style="33" customWidth="1"/>
    <col min="183" max="187" width="13.7109375" style="33" customWidth="1"/>
    <col min="188" max="188" width="3.7109375" style="33" customWidth="1"/>
    <col min="189" max="193" width="13.7109375" style="33" customWidth="1"/>
    <col min="194" max="194" width="3.7109375" style="33" customWidth="1"/>
    <col min="195" max="199" width="13.7109375" style="33" customWidth="1"/>
    <col min="200" max="200" width="3.7109375" style="33" customWidth="1"/>
    <col min="201" max="205" width="13.7109375" style="33" customWidth="1"/>
    <col min="206" max="206" width="3.7109375" style="33" customWidth="1"/>
    <col min="207" max="211" width="13.7109375" style="33" customWidth="1"/>
    <col min="212" max="212" width="3.7109375" style="33" customWidth="1"/>
  </cols>
  <sheetData>
    <row r="1" spans="1:212" ht="12.75">
      <c r="A1" s="44"/>
      <c r="B1" s="30"/>
      <c r="C1" s="43"/>
      <c r="D1" s="45"/>
      <c r="E1" s="45" t="s">
        <v>171</v>
      </c>
      <c r="G1" s="45"/>
      <c r="H1" s="45"/>
      <c r="I1" s="36"/>
      <c r="K1" s="45"/>
      <c r="O1" s="45" t="s">
        <v>171</v>
      </c>
      <c r="W1" s="45"/>
      <c r="AA1" s="45" t="s">
        <v>171</v>
      </c>
      <c r="AE1"/>
      <c r="AF1"/>
      <c r="AG1"/>
      <c r="AI1" s="45"/>
      <c r="AJ1"/>
      <c r="AK1"/>
      <c r="AL1"/>
      <c r="AM1" s="45" t="s">
        <v>171</v>
      </c>
      <c r="AN1"/>
      <c r="AO1"/>
      <c r="AP1"/>
      <c r="AQ1"/>
      <c r="AR1"/>
      <c r="AS1"/>
      <c r="AT1"/>
      <c r="AU1" s="45"/>
      <c r="AV1"/>
      <c r="AW1"/>
      <c r="AX1" s="20"/>
      <c r="AY1" s="45" t="s">
        <v>171</v>
      </c>
      <c r="AZ1" s="20"/>
      <c r="BA1" s="20"/>
      <c r="BB1" s="20"/>
      <c r="BC1" s="20"/>
      <c r="BD1" s="20"/>
      <c r="BE1" s="20"/>
      <c r="BF1" s="20"/>
      <c r="BG1" s="45"/>
      <c r="BH1" s="20"/>
      <c r="BI1" s="20"/>
      <c r="BJ1" s="20"/>
      <c r="BK1" s="45" t="s">
        <v>171</v>
      </c>
      <c r="BL1" s="20"/>
      <c r="BM1" s="20"/>
      <c r="BN1" s="20"/>
      <c r="BO1" s="20"/>
      <c r="BP1" s="20"/>
      <c r="BQ1" s="20"/>
      <c r="BR1" s="20"/>
      <c r="BS1" s="45"/>
      <c r="BT1" s="20"/>
      <c r="BU1" s="20"/>
      <c r="BV1" s="20"/>
      <c r="BW1" s="45" t="s">
        <v>171</v>
      </c>
      <c r="BX1" s="20"/>
      <c r="BY1" s="20"/>
      <c r="BZ1" s="20"/>
      <c r="CA1" s="20"/>
      <c r="CB1" s="20"/>
      <c r="CC1" s="20"/>
      <c r="CD1" s="20"/>
      <c r="CE1" s="45"/>
      <c r="CF1" s="20"/>
      <c r="CG1" s="20"/>
      <c r="CH1" s="20"/>
      <c r="CI1" s="45" t="s">
        <v>171</v>
      </c>
      <c r="CJ1" s="20"/>
      <c r="CK1" s="20"/>
      <c r="CL1" s="20"/>
      <c r="CM1" s="20"/>
      <c r="CN1" s="20"/>
      <c r="CO1" s="20"/>
      <c r="CP1" s="20"/>
      <c r="CQ1" s="45"/>
      <c r="CR1" s="20"/>
      <c r="CS1" s="20"/>
      <c r="CT1" s="20"/>
      <c r="CU1" s="45" t="s">
        <v>171</v>
      </c>
      <c r="CV1" s="20"/>
      <c r="CW1" s="20"/>
      <c r="CX1" s="20"/>
      <c r="CY1" s="20"/>
      <c r="CZ1" s="20"/>
      <c r="DA1" s="20"/>
      <c r="DB1" s="20"/>
      <c r="DC1" s="45"/>
      <c r="DD1" s="20"/>
      <c r="DE1" s="20"/>
      <c r="DF1" s="20"/>
      <c r="DG1" s="45" t="s">
        <v>171</v>
      </c>
      <c r="DH1" s="20"/>
      <c r="DI1" s="20"/>
      <c r="DJ1" s="20"/>
      <c r="DK1" s="20"/>
      <c r="DL1" s="20"/>
      <c r="DM1" s="20"/>
      <c r="DN1" s="20"/>
      <c r="DO1" s="45"/>
      <c r="DP1" s="20"/>
      <c r="DQ1" s="20"/>
      <c r="DR1" s="20"/>
      <c r="DS1" s="45" t="s">
        <v>171</v>
      </c>
      <c r="DT1" s="20"/>
      <c r="DU1" s="20"/>
      <c r="DV1" s="20"/>
      <c r="DW1" s="20"/>
      <c r="DX1" s="20"/>
      <c r="DY1" s="20"/>
      <c r="DZ1" s="20"/>
      <c r="EA1" s="45"/>
      <c r="EB1" s="20"/>
      <c r="EC1" s="20"/>
      <c r="ED1" s="45" t="s">
        <v>171</v>
      </c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</row>
    <row r="2" spans="1:212" ht="12.75">
      <c r="A2" s="44"/>
      <c r="B2" s="30"/>
      <c r="C2" s="43"/>
      <c r="D2" s="45"/>
      <c r="E2" s="99" t="s">
        <v>183</v>
      </c>
      <c r="G2" s="45"/>
      <c r="H2" s="45"/>
      <c r="I2" s="36"/>
      <c r="K2" s="45"/>
      <c r="O2" s="43" t="str">
        <f>E2</f>
        <v>Distribution of Debt Services after 2021A Bond Issue</v>
      </c>
      <c r="W2" s="45"/>
      <c r="AA2" s="43" t="str">
        <f>O2</f>
        <v>Distribution of Debt Services after 2021A Bond Issue</v>
      </c>
      <c r="AE2"/>
      <c r="AF2"/>
      <c r="AG2"/>
      <c r="AI2" s="45"/>
      <c r="AJ2"/>
      <c r="AK2"/>
      <c r="AL2"/>
      <c r="AM2" s="43" t="str">
        <f>AA2</f>
        <v>Distribution of Debt Services after 2021A Bond Issue</v>
      </c>
      <c r="AN2"/>
      <c r="AO2"/>
      <c r="AP2"/>
      <c r="AQ2"/>
      <c r="AR2"/>
      <c r="AS2"/>
      <c r="AT2"/>
      <c r="AU2" s="45"/>
      <c r="AV2"/>
      <c r="AW2"/>
      <c r="AX2" s="20"/>
      <c r="AY2" s="43" t="str">
        <f>AM2</f>
        <v>Distribution of Debt Services after 2021A Bond Issue</v>
      </c>
      <c r="AZ2" s="20"/>
      <c r="BA2" s="20"/>
      <c r="BB2" s="20"/>
      <c r="BC2" s="20"/>
      <c r="BD2" s="20"/>
      <c r="BE2" s="20"/>
      <c r="BF2" s="20"/>
      <c r="BG2" s="45"/>
      <c r="BH2" s="20"/>
      <c r="BI2" s="20"/>
      <c r="BJ2" s="20"/>
      <c r="BK2" s="43" t="str">
        <f>AY2</f>
        <v>Distribution of Debt Services after 2021A Bond Issue</v>
      </c>
      <c r="BL2" s="20"/>
      <c r="BM2" s="20"/>
      <c r="BN2" s="20"/>
      <c r="BO2" s="20"/>
      <c r="BP2" s="20"/>
      <c r="BQ2" s="20"/>
      <c r="BR2" s="20"/>
      <c r="BS2" s="45"/>
      <c r="BT2" s="20"/>
      <c r="BU2" s="20"/>
      <c r="BV2" s="20"/>
      <c r="BW2" s="43" t="str">
        <f>BK2</f>
        <v>Distribution of Debt Services after 2021A Bond Issue</v>
      </c>
      <c r="BX2" s="20"/>
      <c r="BY2" s="20"/>
      <c r="BZ2" s="20"/>
      <c r="CA2" s="20"/>
      <c r="CB2" s="20"/>
      <c r="CC2" s="20"/>
      <c r="CD2" s="20"/>
      <c r="CE2" s="45"/>
      <c r="CF2" s="20"/>
      <c r="CG2" s="20"/>
      <c r="CH2" s="20"/>
      <c r="CI2" s="43" t="str">
        <f>BW2</f>
        <v>Distribution of Debt Services after 2021A Bond Issue</v>
      </c>
      <c r="CJ2" s="20"/>
      <c r="CK2" s="20"/>
      <c r="CL2" s="20"/>
      <c r="CM2" s="20"/>
      <c r="CN2" s="20"/>
      <c r="CO2" s="20"/>
      <c r="CP2" s="20"/>
      <c r="CQ2" s="45"/>
      <c r="CR2" s="20"/>
      <c r="CS2" s="20"/>
      <c r="CT2" s="20"/>
      <c r="CU2" s="43" t="str">
        <f>CI2</f>
        <v>Distribution of Debt Services after 2021A Bond Issue</v>
      </c>
      <c r="CV2" s="20"/>
      <c r="CW2" s="20"/>
      <c r="CX2" s="20"/>
      <c r="CY2" s="20"/>
      <c r="CZ2" s="20"/>
      <c r="DA2" s="20"/>
      <c r="DB2" s="20"/>
      <c r="DC2" s="45"/>
      <c r="DD2" s="20"/>
      <c r="DE2" s="20"/>
      <c r="DF2" s="20"/>
      <c r="DG2" s="43" t="str">
        <f>CU2</f>
        <v>Distribution of Debt Services after 2021A Bond Issue</v>
      </c>
      <c r="DH2" s="20"/>
      <c r="DI2" s="20"/>
      <c r="DJ2" s="20"/>
      <c r="DK2" s="20"/>
      <c r="DL2" s="20"/>
      <c r="DM2" s="20"/>
      <c r="DN2" s="20"/>
      <c r="DO2" s="45"/>
      <c r="DP2" s="20"/>
      <c r="DQ2" s="20"/>
      <c r="DR2" s="20"/>
      <c r="DS2" s="43" t="str">
        <f>DG2</f>
        <v>Distribution of Debt Services after 2021A Bond Issue</v>
      </c>
      <c r="DT2" s="20"/>
      <c r="DU2" s="20"/>
      <c r="DV2" s="20"/>
      <c r="DW2" s="20"/>
      <c r="DX2" s="20"/>
      <c r="DY2" s="20"/>
      <c r="DZ2" s="20"/>
      <c r="EA2" s="45"/>
      <c r="EB2" s="20"/>
      <c r="EC2" s="20"/>
      <c r="ED2" s="43" t="str">
        <f>DS2</f>
        <v>Distribution of Debt Services after 2021A Bond Issue</v>
      </c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</row>
    <row r="3" spans="1:212" ht="12.75">
      <c r="A3" s="44"/>
      <c r="B3" s="30"/>
      <c r="C3" s="43"/>
      <c r="D3" s="43"/>
      <c r="E3" s="45" t="s">
        <v>172</v>
      </c>
      <c r="G3" s="43"/>
      <c r="H3" s="43"/>
      <c r="I3" s="36"/>
      <c r="K3" s="45"/>
      <c r="O3" s="45" t="s">
        <v>172</v>
      </c>
      <c r="W3" s="45"/>
      <c r="AA3" s="45" t="s">
        <v>172</v>
      </c>
      <c r="AE3"/>
      <c r="AF3" s="12"/>
      <c r="AG3"/>
      <c r="AI3" s="45"/>
      <c r="AJ3"/>
      <c r="AK3"/>
      <c r="AL3"/>
      <c r="AM3" s="45" t="s">
        <v>172</v>
      </c>
      <c r="AN3"/>
      <c r="AO3"/>
      <c r="AP3"/>
      <c r="AQ3"/>
      <c r="AR3"/>
      <c r="AS3"/>
      <c r="AT3"/>
      <c r="AU3" s="45"/>
      <c r="AV3"/>
      <c r="AW3"/>
      <c r="AX3" s="20"/>
      <c r="AY3" s="45" t="s">
        <v>172</v>
      </c>
      <c r="AZ3" s="20"/>
      <c r="BA3" s="20"/>
      <c r="BB3" s="20"/>
      <c r="BC3" s="20"/>
      <c r="BD3" s="20"/>
      <c r="BE3" s="20"/>
      <c r="BF3" s="20"/>
      <c r="BG3" s="45"/>
      <c r="BH3" s="20"/>
      <c r="BI3" s="20"/>
      <c r="BJ3" s="20"/>
      <c r="BK3" s="45" t="s">
        <v>172</v>
      </c>
      <c r="BL3" s="20"/>
      <c r="BM3" s="20"/>
      <c r="BN3" s="20"/>
      <c r="BO3" s="20"/>
      <c r="BP3" s="20"/>
      <c r="BQ3" s="20"/>
      <c r="BR3" s="20"/>
      <c r="BS3" s="45"/>
      <c r="BT3" s="20"/>
      <c r="BU3" s="20"/>
      <c r="BV3" s="20"/>
      <c r="BW3" s="45" t="s">
        <v>172</v>
      </c>
      <c r="BX3" s="20"/>
      <c r="BY3" s="20"/>
      <c r="BZ3" s="20"/>
      <c r="CA3" s="20"/>
      <c r="CB3" s="20"/>
      <c r="CC3" s="20"/>
      <c r="CD3" s="20"/>
      <c r="CE3" s="45"/>
      <c r="CF3" s="20"/>
      <c r="CG3" s="20"/>
      <c r="CH3" s="20"/>
      <c r="CI3" s="45" t="s">
        <v>172</v>
      </c>
      <c r="CJ3" s="20"/>
      <c r="CK3" s="20"/>
      <c r="CL3" s="20"/>
      <c r="CM3" s="20"/>
      <c r="CN3" s="20"/>
      <c r="CO3" s="20"/>
      <c r="CP3" s="20"/>
      <c r="CQ3" s="45"/>
      <c r="CR3" s="20"/>
      <c r="CS3" s="20"/>
      <c r="CT3" s="20"/>
      <c r="CU3" s="45" t="s">
        <v>172</v>
      </c>
      <c r="CV3" s="20"/>
      <c r="CW3" s="20"/>
      <c r="CX3" s="20"/>
      <c r="CY3" s="20"/>
      <c r="CZ3" s="20"/>
      <c r="DA3" s="20"/>
      <c r="DB3" s="20"/>
      <c r="DC3" s="45"/>
      <c r="DD3" s="20"/>
      <c r="DE3" s="20"/>
      <c r="DF3" s="20"/>
      <c r="DG3" s="45" t="s">
        <v>172</v>
      </c>
      <c r="DH3" s="20"/>
      <c r="DI3" s="20"/>
      <c r="DJ3" s="20"/>
      <c r="DK3" s="20"/>
      <c r="DL3" s="20"/>
      <c r="DM3" s="20"/>
      <c r="DN3" s="20"/>
      <c r="DO3" s="45"/>
      <c r="DP3" s="20"/>
      <c r="DQ3" s="20"/>
      <c r="DR3" s="20"/>
      <c r="DS3" s="45" t="s">
        <v>172</v>
      </c>
      <c r="DT3" s="20"/>
      <c r="DU3" s="20"/>
      <c r="DV3" s="20"/>
      <c r="DW3" s="20"/>
      <c r="DX3" s="20"/>
      <c r="DY3" s="20"/>
      <c r="DZ3" s="20"/>
      <c r="EA3" s="45"/>
      <c r="EB3" s="20"/>
      <c r="EC3" s="20"/>
      <c r="ED3" s="45" t="s">
        <v>172</v>
      </c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</row>
    <row r="4" spans="1:2" ht="12.75">
      <c r="A4" s="44"/>
      <c r="B4" s="30"/>
    </row>
    <row r="5" spans="1:211" ht="12.75">
      <c r="A5" s="22" t="s">
        <v>9</v>
      </c>
      <c r="C5" s="102" t="s">
        <v>182</v>
      </c>
      <c r="D5" s="38"/>
      <c r="E5" s="39"/>
      <c r="F5" s="41"/>
      <c r="G5" s="41"/>
      <c r="I5" s="37" t="s">
        <v>85</v>
      </c>
      <c r="J5" s="38"/>
      <c r="K5" s="39"/>
      <c r="L5" s="41"/>
      <c r="M5" s="41"/>
      <c r="O5" s="37" t="s">
        <v>86</v>
      </c>
      <c r="P5" s="38"/>
      <c r="Q5" s="39"/>
      <c r="R5" s="41"/>
      <c r="S5" s="41"/>
      <c r="U5" s="37" t="s">
        <v>164</v>
      </c>
      <c r="V5" s="38"/>
      <c r="W5" s="39"/>
      <c r="X5" s="41"/>
      <c r="Y5" s="41"/>
      <c r="AA5" s="62" t="s">
        <v>87</v>
      </c>
      <c r="AB5" s="38"/>
      <c r="AC5" s="39"/>
      <c r="AD5" s="41"/>
      <c r="AE5" s="41"/>
      <c r="AG5" s="62" t="s">
        <v>142</v>
      </c>
      <c r="AH5" s="38"/>
      <c r="AI5" s="39"/>
      <c r="AJ5" s="41"/>
      <c r="AK5" s="41"/>
      <c r="AM5" s="62" t="s">
        <v>88</v>
      </c>
      <c r="AN5" s="38"/>
      <c r="AO5" s="39"/>
      <c r="AP5" s="41"/>
      <c r="AQ5" s="41"/>
      <c r="AR5" s="63"/>
      <c r="AS5" s="37" t="s">
        <v>89</v>
      </c>
      <c r="AT5" s="38"/>
      <c r="AU5" s="39"/>
      <c r="AV5" s="41"/>
      <c r="AW5" s="41"/>
      <c r="AY5" s="37" t="s">
        <v>90</v>
      </c>
      <c r="AZ5" s="38"/>
      <c r="BA5" s="39"/>
      <c r="BB5" s="41"/>
      <c r="BC5" s="41"/>
      <c r="BE5" s="37" t="s">
        <v>91</v>
      </c>
      <c r="BF5" s="38"/>
      <c r="BG5" s="39"/>
      <c r="BH5" s="41"/>
      <c r="BI5" s="41"/>
      <c r="BK5" s="37" t="s">
        <v>92</v>
      </c>
      <c r="BL5" s="38"/>
      <c r="BM5" s="39"/>
      <c r="BN5" s="41"/>
      <c r="BO5" s="41"/>
      <c r="BQ5" s="37" t="s">
        <v>93</v>
      </c>
      <c r="BR5" s="38"/>
      <c r="BS5" s="39"/>
      <c r="BT5" s="41"/>
      <c r="BU5" s="41"/>
      <c r="BW5" s="37" t="s">
        <v>94</v>
      </c>
      <c r="BX5" s="38"/>
      <c r="BY5" s="39"/>
      <c r="BZ5" s="41"/>
      <c r="CA5" s="41"/>
      <c r="CB5" s="63"/>
      <c r="CC5" s="37" t="s">
        <v>95</v>
      </c>
      <c r="CD5" s="38"/>
      <c r="CE5" s="39"/>
      <c r="CF5" s="41"/>
      <c r="CG5" s="41"/>
      <c r="CI5" s="37" t="s">
        <v>96</v>
      </c>
      <c r="CJ5" s="38"/>
      <c r="CK5" s="39"/>
      <c r="CL5" s="41"/>
      <c r="CM5" s="41"/>
      <c r="CO5" s="37" t="s">
        <v>97</v>
      </c>
      <c r="CP5" s="38"/>
      <c r="CQ5" s="39"/>
      <c r="CR5" s="41"/>
      <c r="CS5" s="41"/>
      <c r="CU5" s="37" t="s">
        <v>98</v>
      </c>
      <c r="CV5" s="38"/>
      <c r="CW5" s="39"/>
      <c r="CX5" s="41"/>
      <c r="CY5" s="41"/>
      <c r="DA5" s="37" t="s">
        <v>99</v>
      </c>
      <c r="DB5" s="38"/>
      <c r="DC5" s="39"/>
      <c r="DD5" s="41"/>
      <c r="DE5" s="41"/>
      <c r="DG5" s="37" t="s">
        <v>100</v>
      </c>
      <c r="DH5" s="38"/>
      <c r="DI5" s="39"/>
      <c r="DJ5" s="41"/>
      <c r="DK5" s="41"/>
      <c r="DM5" s="37" t="s">
        <v>101</v>
      </c>
      <c r="DN5" s="38"/>
      <c r="DO5" s="39"/>
      <c r="DP5" s="41"/>
      <c r="DQ5" s="41"/>
      <c r="DS5" s="37" t="s">
        <v>102</v>
      </c>
      <c r="DT5" s="38"/>
      <c r="DU5" s="39"/>
      <c r="DV5" s="41"/>
      <c r="DW5" s="41"/>
      <c r="DY5" s="37" t="s">
        <v>103</v>
      </c>
      <c r="DZ5" s="38"/>
      <c r="EA5" s="39"/>
      <c r="EB5" s="41"/>
      <c r="EC5" s="41"/>
      <c r="EE5" s="37" t="s">
        <v>165</v>
      </c>
      <c r="EF5" s="38"/>
      <c r="EG5" s="39"/>
      <c r="EH5" s="41"/>
      <c r="EI5" s="41"/>
      <c r="EK5" s="37" t="s">
        <v>104</v>
      </c>
      <c r="EL5" s="38"/>
      <c r="EM5" s="39"/>
      <c r="EN5" s="41"/>
      <c r="EO5" s="41"/>
      <c r="EQ5" s="37" t="s">
        <v>105</v>
      </c>
      <c r="ER5" s="38"/>
      <c r="ES5" s="39"/>
      <c r="ET5" s="41"/>
      <c r="EU5" s="41"/>
      <c r="EW5" s="37" t="s">
        <v>106</v>
      </c>
      <c r="EX5" s="38"/>
      <c r="EY5" s="39"/>
      <c r="EZ5" s="41"/>
      <c r="FA5" s="41"/>
      <c r="FC5" s="37" t="s">
        <v>107</v>
      </c>
      <c r="FD5" s="38"/>
      <c r="FE5" s="39"/>
      <c r="FF5" s="41"/>
      <c r="FG5" s="41"/>
      <c r="FI5" s="37" t="s">
        <v>108</v>
      </c>
      <c r="FJ5" s="38"/>
      <c r="FK5" s="39"/>
      <c r="FL5" s="41"/>
      <c r="FM5" s="41"/>
      <c r="FO5" s="37" t="s">
        <v>109</v>
      </c>
      <c r="FP5" s="38"/>
      <c r="FQ5" s="39"/>
      <c r="FR5" s="41"/>
      <c r="FS5" s="41"/>
      <c r="FU5" s="37" t="s">
        <v>110</v>
      </c>
      <c r="FV5" s="38"/>
      <c r="FW5" s="39"/>
      <c r="FX5" s="41"/>
      <c r="FY5" s="41"/>
      <c r="GA5" s="37" t="s">
        <v>111</v>
      </c>
      <c r="GB5" s="38"/>
      <c r="GC5" s="39"/>
      <c r="GD5" s="41"/>
      <c r="GE5" s="41"/>
      <c r="GG5" s="37" t="s">
        <v>112</v>
      </c>
      <c r="GH5" s="38"/>
      <c r="GI5" s="39"/>
      <c r="GJ5" s="41"/>
      <c r="GK5" s="41"/>
      <c r="GM5" s="37" t="s">
        <v>113</v>
      </c>
      <c r="GN5" s="38"/>
      <c r="GO5" s="39"/>
      <c r="GP5" s="41"/>
      <c r="GQ5" s="41"/>
      <c r="GS5" s="37" t="s">
        <v>114</v>
      </c>
      <c r="GT5" s="38"/>
      <c r="GU5" s="39"/>
      <c r="GV5" s="41"/>
      <c r="GW5" s="41"/>
      <c r="GY5" s="37" t="s">
        <v>115</v>
      </c>
      <c r="GZ5" s="38"/>
      <c r="HA5" s="39"/>
      <c r="HB5" s="41"/>
      <c r="HC5" s="41"/>
    </row>
    <row r="6" spans="1:212" s="12" customFormat="1" ht="12.75">
      <c r="A6" s="46" t="s">
        <v>10</v>
      </c>
      <c r="C6" s="40"/>
      <c r="D6" s="61" t="str">
        <f>'2021A'!C6</f>
        <v>2003A Refinanced on 2021A</v>
      </c>
      <c r="E6" s="39"/>
      <c r="F6" s="41" t="s">
        <v>168</v>
      </c>
      <c r="G6" s="41" t="s">
        <v>173</v>
      </c>
      <c r="H6" s="33"/>
      <c r="I6" s="40"/>
      <c r="J6" s="67">
        <f>P6+V6+AB6+AH6+AN6+AT6+AZ6+BF6+BL6+BR6+BX6+CD6+CJ6+CP6+CV6+DB6+DH6+DN6+DT6+DZ6+EF6+EL6+ER6+EX6+FD6+FJ6+FP6+FV6+GB6+GH6+GN6+GT6+GZ6</f>
        <v>0.5428259000000001</v>
      </c>
      <c r="K6" s="39"/>
      <c r="L6" s="41" t="s">
        <v>168</v>
      </c>
      <c r="M6" s="41" t="s">
        <v>173</v>
      </c>
      <c r="N6" s="33"/>
      <c r="O6" s="40"/>
      <c r="P6" s="53">
        <v>0.0661452</v>
      </c>
      <c r="Q6" s="39"/>
      <c r="R6" s="41" t="s">
        <v>168</v>
      </c>
      <c r="S6" s="41" t="s">
        <v>173</v>
      </c>
      <c r="T6" s="33"/>
      <c r="U6" s="40"/>
      <c r="V6" s="53">
        <v>0.0011296</v>
      </c>
      <c r="W6" s="39"/>
      <c r="X6" s="41" t="s">
        <v>168</v>
      </c>
      <c r="Y6" s="41" t="s">
        <v>173</v>
      </c>
      <c r="Z6" s="33"/>
      <c r="AA6" s="40"/>
      <c r="AB6" s="53">
        <v>0.0050994</v>
      </c>
      <c r="AC6" s="39"/>
      <c r="AD6" s="41" t="s">
        <v>168</v>
      </c>
      <c r="AE6" s="41" t="s">
        <v>173</v>
      </c>
      <c r="AF6" s="33"/>
      <c r="AG6" s="40"/>
      <c r="AH6" s="53">
        <v>0.0886797</v>
      </c>
      <c r="AI6" s="39"/>
      <c r="AJ6" s="41" t="s">
        <v>168</v>
      </c>
      <c r="AK6" s="41" t="s">
        <v>173</v>
      </c>
      <c r="AL6" s="33"/>
      <c r="AM6" s="40"/>
      <c r="AN6" s="53">
        <v>0.0010742</v>
      </c>
      <c r="AO6" s="39"/>
      <c r="AP6" s="41" t="s">
        <v>168</v>
      </c>
      <c r="AQ6" s="41" t="s">
        <v>173</v>
      </c>
      <c r="AR6" s="63"/>
      <c r="AS6" s="40"/>
      <c r="AT6" s="53">
        <v>0.0009059</v>
      </c>
      <c r="AU6" s="39"/>
      <c r="AV6" s="41" t="s">
        <v>168</v>
      </c>
      <c r="AW6" s="41" t="s">
        <v>173</v>
      </c>
      <c r="AX6" s="33"/>
      <c r="AY6" s="40"/>
      <c r="AZ6" s="53">
        <v>0.0371668</v>
      </c>
      <c r="BA6" s="39"/>
      <c r="BB6" s="41" t="s">
        <v>168</v>
      </c>
      <c r="BC6" s="41" t="s">
        <v>173</v>
      </c>
      <c r="BD6" s="33"/>
      <c r="BE6" s="40"/>
      <c r="BF6" s="53">
        <v>0.0762623</v>
      </c>
      <c r="BG6" s="39"/>
      <c r="BH6" s="41" t="s">
        <v>168</v>
      </c>
      <c r="BI6" s="41" t="s">
        <v>173</v>
      </c>
      <c r="BJ6" s="33"/>
      <c r="BK6" s="40"/>
      <c r="BL6" s="53">
        <v>0.0008804</v>
      </c>
      <c r="BM6" s="39"/>
      <c r="BN6" s="41" t="s">
        <v>168</v>
      </c>
      <c r="BO6" s="41" t="s">
        <v>173</v>
      </c>
      <c r="BP6" s="33"/>
      <c r="BQ6" s="40"/>
      <c r="BR6" s="53">
        <v>0.0005914</v>
      </c>
      <c r="BS6" s="39"/>
      <c r="BT6" s="41" t="s">
        <v>168</v>
      </c>
      <c r="BU6" s="41" t="s">
        <v>173</v>
      </c>
      <c r="BV6" s="33"/>
      <c r="BW6" s="40"/>
      <c r="BX6" s="53">
        <v>-8.81E-05</v>
      </c>
      <c r="BY6" s="39"/>
      <c r="BZ6" s="41" t="s">
        <v>168</v>
      </c>
      <c r="CA6" s="41" t="s">
        <v>173</v>
      </c>
      <c r="CB6" s="63"/>
      <c r="CC6" s="40"/>
      <c r="CD6" s="53">
        <v>-5.74E-05</v>
      </c>
      <c r="CE6" s="39"/>
      <c r="CF6" s="41" t="s">
        <v>168</v>
      </c>
      <c r="CG6" s="41" t="s">
        <v>173</v>
      </c>
      <c r="CH6" s="33"/>
      <c r="CI6" s="40"/>
      <c r="CJ6" s="53">
        <v>0.0021346</v>
      </c>
      <c r="CK6" s="39"/>
      <c r="CL6" s="41" t="s">
        <v>168</v>
      </c>
      <c r="CM6" s="41" t="s">
        <v>173</v>
      </c>
      <c r="CN6" s="33"/>
      <c r="CO6" s="40"/>
      <c r="CP6" s="53">
        <v>0.013127</v>
      </c>
      <c r="CQ6" s="39"/>
      <c r="CR6" s="41" t="s">
        <v>168</v>
      </c>
      <c r="CS6" s="41" t="s">
        <v>173</v>
      </c>
      <c r="CT6" s="33"/>
      <c r="CU6" s="40"/>
      <c r="CV6" s="53">
        <v>0.0881851</v>
      </c>
      <c r="CW6" s="39"/>
      <c r="CX6" s="41" t="s">
        <v>168</v>
      </c>
      <c r="CY6" s="41" t="s">
        <v>173</v>
      </c>
      <c r="CZ6" s="33"/>
      <c r="DA6" s="40"/>
      <c r="DB6" s="53">
        <v>0.0127232</v>
      </c>
      <c r="DC6" s="39"/>
      <c r="DD6" s="41" t="s">
        <v>168</v>
      </c>
      <c r="DE6" s="41" t="s">
        <v>173</v>
      </c>
      <c r="DF6" s="33"/>
      <c r="DG6" s="40"/>
      <c r="DH6" s="53">
        <v>0.0259972</v>
      </c>
      <c r="DI6" s="39"/>
      <c r="DJ6" s="41" t="s">
        <v>168</v>
      </c>
      <c r="DK6" s="41" t="s">
        <v>173</v>
      </c>
      <c r="DL6" s="33"/>
      <c r="DM6" s="40"/>
      <c r="DN6" s="53">
        <v>0.0042162</v>
      </c>
      <c r="DO6" s="39"/>
      <c r="DP6" s="41" t="s">
        <v>168</v>
      </c>
      <c r="DQ6" s="41" t="s">
        <v>173</v>
      </c>
      <c r="DR6" s="33"/>
      <c r="DS6" s="40"/>
      <c r="DT6" s="53">
        <v>0.0216282</v>
      </c>
      <c r="DU6" s="39"/>
      <c r="DV6" s="41" t="s">
        <v>168</v>
      </c>
      <c r="DW6" s="41" t="s">
        <v>173</v>
      </c>
      <c r="DX6" s="33"/>
      <c r="DY6" s="40"/>
      <c r="DZ6" s="53">
        <v>0.0001933</v>
      </c>
      <c r="EA6" s="39"/>
      <c r="EB6" s="41" t="s">
        <v>168</v>
      </c>
      <c r="EC6" s="41" t="s">
        <v>173</v>
      </c>
      <c r="ED6" s="33"/>
      <c r="EE6" s="40"/>
      <c r="EF6" s="53">
        <v>0.0002544</v>
      </c>
      <c r="EG6" s="39"/>
      <c r="EH6" s="41" t="s">
        <v>168</v>
      </c>
      <c r="EI6" s="41" t="s">
        <v>173</v>
      </c>
      <c r="EJ6" s="33"/>
      <c r="EK6" s="40"/>
      <c r="EL6" s="53">
        <v>0.0128187</v>
      </c>
      <c r="EM6" s="39"/>
      <c r="EN6" s="41" t="s">
        <v>168</v>
      </c>
      <c r="EO6" s="41" t="s">
        <v>173</v>
      </c>
      <c r="EP6" s="33"/>
      <c r="EQ6" s="40"/>
      <c r="ER6" s="53">
        <v>0.000244</v>
      </c>
      <c r="ES6" s="39"/>
      <c r="ET6" s="41" t="s">
        <v>168</v>
      </c>
      <c r="EU6" s="41" t="s">
        <v>173</v>
      </c>
      <c r="EV6" s="33"/>
      <c r="EW6" s="40"/>
      <c r="EX6" s="53">
        <v>0.0036459</v>
      </c>
      <c r="EY6" s="39"/>
      <c r="EZ6" s="41" t="s">
        <v>168</v>
      </c>
      <c r="FA6" s="41" t="s">
        <v>173</v>
      </c>
      <c r="FB6" s="33"/>
      <c r="FC6" s="40"/>
      <c r="FD6" s="53">
        <v>0.0025327</v>
      </c>
      <c r="FE6" s="39"/>
      <c r="FF6" s="41" t="s">
        <v>168</v>
      </c>
      <c r="FG6" s="41" t="s">
        <v>173</v>
      </c>
      <c r="FH6" s="33"/>
      <c r="FI6" s="40"/>
      <c r="FJ6" s="53">
        <v>0.0009887</v>
      </c>
      <c r="FK6" s="39"/>
      <c r="FL6" s="41" t="s">
        <v>168</v>
      </c>
      <c r="FM6" s="41" t="s">
        <v>173</v>
      </c>
      <c r="FN6" s="33"/>
      <c r="FO6" s="40"/>
      <c r="FP6" s="53">
        <v>0.0111111</v>
      </c>
      <c r="FQ6" s="39"/>
      <c r="FR6" s="41" t="s">
        <v>168</v>
      </c>
      <c r="FS6" s="41" t="s">
        <v>173</v>
      </c>
      <c r="FT6" s="33"/>
      <c r="FU6" s="40"/>
      <c r="FV6" s="53">
        <v>0.0250422</v>
      </c>
      <c r="FW6" s="39"/>
      <c r="FX6" s="41" t="s">
        <v>168</v>
      </c>
      <c r="FY6" s="41" t="s">
        <v>173</v>
      </c>
      <c r="FZ6" s="33"/>
      <c r="GA6" s="40"/>
      <c r="GB6" s="53">
        <v>0.0031957</v>
      </c>
      <c r="GC6" s="39"/>
      <c r="GD6" s="41" t="s">
        <v>168</v>
      </c>
      <c r="GE6" s="41" t="s">
        <v>173</v>
      </c>
      <c r="GF6" s="33"/>
      <c r="GG6" s="40"/>
      <c r="GH6" s="53">
        <v>0.0050748</v>
      </c>
      <c r="GI6" s="39"/>
      <c r="GJ6" s="41" t="s">
        <v>168</v>
      </c>
      <c r="GK6" s="41" t="s">
        <v>173</v>
      </c>
      <c r="GL6" s="33"/>
      <c r="GM6" s="40"/>
      <c r="GN6" s="53">
        <v>0.0235189</v>
      </c>
      <c r="GO6" s="39"/>
      <c r="GP6" s="41" t="s">
        <v>168</v>
      </c>
      <c r="GQ6" s="41" t="s">
        <v>173</v>
      </c>
      <c r="GR6" s="33"/>
      <c r="GS6" s="40"/>
      <c r="GT6" s="53">
        <v>0.0012482</v>
      </c>
      <c r="GU6" s="39"/>
      <c r="GV6" s="41" t="s">
        <v>168</v>
      </c>
      <c r="GW6" s="41" t="s">
        <v>173</v>
      </c>
      <c r="GX6" s="33"/>
      <c r="GY6" s="40"/>
      <c r="GZ6" s="53">
        <v>0.0071564</v>
      </c>
      <c r="HA6" s="39"/>
      <c r="HB6" s="41" t="s">
        <v>168</v>
      </c>
      <c r="HC6" s="41" t="s">
        <v>173</v>
      </c>
      <c r="HD6" s="33"/>
    </row>
    <row r="7" spans="1:211" ht="12.75">
      <c r="A7" s="26"/>
      <c r="C7" s="41" t="s">
        <v>11</v>
      </c>
      <c r="D7" s="41" t="s">
        <v>12</v>
      </c>
      <c r="E7" s="41" t="s">
        <v>4</v>
      </c>
      <c r="F7" s="41" t="s">
        <v>169</v>
      </c>
      <c r="G7" s="103" t="s">
        <v>170</v>
      </c>
      <c r="I7" s="41" t="s">
        <v>11</v>
      </c>
      <c r="J7" s="41" t="s">
        <v>12</v>
      </c>
      <c r="K7" s="41" t="s">
        <v>4</v>
      </c>
      <c r="L7" s="41" t="s">
        <v>169</v>
      </c>
      <c r="M7" s="103" t="s">
        <v>170</v>
      </c>
      <c r="O7" s="41" t="s">
        <v>11</v>
      </c>
      <c r="P7" s="41" t="s">
        <v>12</v>
      </c>
      <c r="Q7" s="41" t="s">
        <v>4</v>
      </c>
      <c r="R7" s="41" t="s">
        <v>169</v>
      </c>
      <c r="S7" s="103" t="s">
        <v>170</v>
      </c>
      <c r="U7" s="41" t="s">
        <v>11</v>
      </c>
      <c r="V7" s="41" t="s">
        <v>12</v>
      </c>
      <c r="W7" s="41" t="s">
        <v>4</v>
      </c>
      <c r="X7" s="41" t="s">
        <v>169</v>
      </c>
      <c r="Y7" s="103" t="s">
        <v>170</v>
      </c>
      <c r="AA7" s="41" t="s">
        <v>11</v>
      </c>
      <c r="AB7" s="41" t="s">
        <v>12</v>
      </c>
      <c r="AC7" s="41" t="s">
        <v>4</v>
      </c>
      <c r="AD7" s="41" t="s">
        <v>169</v>
      </c>
      <c r="AE7" s="103" t="s">
        <v>170</v>
      </c>
      <c r="AG7" s="41" t="s">
        <v>11</v>
      </c>
      <c r="AH7" s="41" t="s">
        <v>12</v>
      </c>
      <c r="AI7" s="41" t="s">
        <v>4</v>
      </c>
      <c r="AJ7" s="41" t="s">
        <v>169</v>
      </c>
      <c r="AK7" s="103" t="s">
        <v>170</v>
      </c>
      <c r="AM7" s="41" t="s">
        <v>11</v>
      </c>
      <c r="AN7" s="41" t="s">
        <v>12</v>
      </c>
      <c r="AO7" s="41" t="s">
        <v>4</v>
      </c>
      <c r="AP7" s="41" t="s">
        <v>169</v>
      </c>
      <c r="AQ7" s="103" t="s">
        <v>170</v>
      </c>
      <c r="AR7" s="64"/>
      <c r="AS7" s="41" t="s">
        <v>11</v>
      </c>
      <c r="AT7" s="41" t="s">
        <v>12</v>
      </c>
      <c r="AU7" s="41" t="s">
        <v>4</v>
      </c>
      <c r="AV7" s="41" t="s">
        <v>169</v>
      </c>
      <c r="AW7" s="103" t="s">
        <v>170</v>
      </c>
      <c r="AY7" s="41" t="s">
        <v>11</v>
      </c>
      <c r="AZ7" s="41" t="s">
        <v>12</v>
      </c>
      <c r="BA7" s="41" t="s">
        <v>4</v>
      </c>
      <c r="BB7" s="41" t="s">
        <v>169</v>
      </c>
      <c r="BC7" s="103" t="s">
        <v>170</v>
      </c>
      <c r="BE7" s="41" t="s">
        <v>11</v>
      </c>
      <c r="BF7" s="41" t="s">
        <v>12</v>
      </c>
      <c r="BG7" s="41" t="s">
        <v>4</v>
      </c>
      <c r="BH7" s="41" t="s">
        <v>169</v>
      </c>
      <c r="BI7" s="103" t="s">
        <v>170</v>
      </c>
      <c r="BK7" s="41" t="s">
        <v>11</v>
      </c>
      <c r="BL7" s="41" t="s">
        <v>12</v>
      </c>
      <c r="BM7" s="41" t="s">
        <v>4</v>
      </c>
      <c r="BN7" s="41" t="s">
        <v>169</v>
      </c>
      <c r="BO7" s="103" t="s">
        <v>170</v>
      </c>
      <c r="BQ7" s="41" t="s">
        <v>11</v>
      </c>
      <c r="BR7" s="41" t="s">
        <v>12</v>
      </c>
      <c r="BS7" s="41" t="s">
        <v>4</v>
      </c>
      <c r="BT7" s="41" t="s">
        <v>169</v>
      </c>
      <c r="BU7" s="103" t="s">
        <v>170</v>
      </c>
      <c r="BW7" s="41" t="s">
        <v>11</v>
      </c>
      <c r="BX7" s="41" t="s">
        <v>12</v>
      </c>
      <c r="BY7" s="41" t="s">
        <v>4</v>
      </c>
      <c r="BZ7" s="41" t="s">
        <v>169</v>
      </c>
      <c r="CA7" s="103" t="s">
        <v>170</v>
      </c>
      <c r="CB7" s="64"/>
      <c r="CC7" s="41" t="s">
        <v>11</v>
      </c>
      <c r="CD7" s="41" t="s">
        <v>12</v>
      </c>
      <c r="CE7" s="41" t="s">
        <v>4</v>
      </c>
      <c r="CF7" s="41" t="s">
        <v>169</v>
      </c>
      <c r="CG7" s="103" t="s">
        <v>170</v>
      </c>
      <c r="CI7" s="41" t="s">
        <v>11</v>
      </c>
      <c r="CJ7" s="41" t="s">
        <v>12</v>
      </c>
      <c r="CK7" s="41" t="s">
        <v>4</v>
      </c>
      <c r="CL7" s="41" t="s">
        <v>169</v>
      </c>
      <c r="CM7" s="103" t="s">
        <v>170</v>
      </c>
      <c r="CO7" s="41" t="s">
        <v>11</v>
      </c>
      <c r="CP7" s="41" t="s">
        <v>12</v>
      </c>
      <c r="CQ7" s="41" t="s">
        <v>4</v>
      </c>
      <c r="CR7" s="41" t="s">
        <v>169</v>
      </c>
      <c r="CS7" s="103" t="s">
        <v>170</v>
      </c>
      <c r="CU7" s="41" t="s">
        <v>11</v>
      </c>
      <c r="CV7" s="41" t="s">
        <v>12</v>
      </c>
      <c r="CW7" s="41" t="s">
        <v>4</v>
      </c>
      <c r="CX7" s="41" t="s">
        <v>169</v>
      </c>
      <c r="CY7" s="103" t="s">
        <v>170</v>
      </c>
      <c r="DA7" s="41" t="s">
        <v>11</v>
      </c>
      <c r="DB7" s="41" t="s">
        <v>12</v>
      </c>
      <c r="DC7" s="41" t="s">
        <v>4</v>
      </c>
      <c r="DD7" s="41" t="s">
        <v>169</v>
      </c>
      <c r="DE7" s="103" t="s">
        <v>170</v>
      </c>
      <c r="DG7" s="41" t="s">
        <v>11</v>
      </c>
      <c r="DH7" s="41" t="s">
        <v>12</v>
      </c>
      <c r="DI7" s="41" t="s">
        <v>4</v>
      </c>
      <c r="DJ7" s="41" t="s">
        <v>169</v>
      </c>
      <c r="DK7" s="103" t="s">
        <v>170</v>
      </c>
      <c r="DM7" s="41" t="s">
        <v>11</v>
      </c>
      <c r="DN7" s="41" t="s">
        <v>12</v>
      </c>
      <c r="DO7" s="41" t="s">
        <v>4</v>
      </c>
      <c r="DP7" s="41" t="s">
        <v>169</v>
      </c>
      <c r="DQ7" s="103" t="s">
        <v>170</v>
      </c>
      <c r="DS7" s="41" t="s">
        <v>11</v>
      </c>
      <c r="DT7" s="41" t="s">
        <v>12</v>
      </c>
      <c r="DU7" s="41" t="s">
        <v>4</v>
      </c>
      <c r="DV7" s="41" t="s">
        <v>169</v>
      </c>
      <c r="DW7" s="103" t="s">
        <v>170</v>
      </c>
      <c r="DY7" s="41" t="s">
        <v>11</v>
      </c>
      <c r="DZ7" s="41" t="s">
        <v>12</v>
      </c>
      <c r="EA7" s="41" t="s">
        <v>4</v>
      </c>
      <c r="EB7" s="41" t="s">
        <v>169</v>
      </c>
      <c r="EC7" s="103" t="s">
        <v>170</v>
      </c>
      <c r="EE7" s="41" t="s">
        <v>11</v>
      </c>
      <c r="EF7" s="41" t="s">
        <v>12</v>
      </c>
      <c r="EG7" s="41" t="s">
        <v>4</v>
      </c>
      <c r="EH7" s="41" t="s">
        <v>169</v>
      </c>
      <c r="EI7" s="103" t="s">
        <v>170</v>
      </c>
      <c r="EK7" s="41" t="s">
        <v>11</v>
      </c>
      <c r="EL7" s="41" t="s">
        <v>12</v>
      </c>
      <c r="EM7" s="41" t="s">
        <v>4</v>
      </c>
      <c r="EN7" s="41" t="s">
        <v>169</v>
      </c>
      <c r="EO7" s="103" t="s">
        <v>170</v>
      </c>
      <c r="EQ7" s="41" t="s">
        <v>11</v>
      </c>
      <c r="ER7" s="41" t="s">
        <v>12</v>
      </c>
      <c r="ES7" s="41" t="s">
        <v>4</v>
      </c>
      <c r="ET7" s="41" t="s">
        <v>169</v>
      </c>
      <c r="EU7" s="103" t="s">
        <v>170</v>
      </c>
      <c r="EW7" s="41" t="s">
        <v>11</v>
      </c>
      <c r="EX7" s="41" t="s">
        <v>12</v>
      </c>
      <c r="EY7" s="41" t="s">
        <v>4</v>
      </c>
      <c r="EZ7" s="41" t="s">
        <v>169</v>
      </c>
      <c r="FA7" s="103" t="s">
        <v>170</v>
      </c>
      <c r="FC7" s="41" t="s">
        <v>11</v>
      </c>
      <c r="FD7" s="41" t="s">
        <v>12</v>
      </c>
      <c r="FE7" s="41" t="s">
        <v>4</v>
      </c>
      <c r="FF7" s="41" t="s">
        <v>169</v>
      </c>
      <c r="FG7" s="103" t="s">
        <v>170</v>
      </c>
      <c r="FI7" s="41" t="s">
        <v>11</v>
      </c>
      <c r="FJ7" s="41" t="s">
        <v>12</v>
      </c>
      <c r="FK7" s="41" t="s">
        <v>4</v>
      </c>
      <c r="FL7" s="41" t="s">
        <v>169</v>
      </c>
      <c r="FM7" s="103" t="s">
        <v>170</v>
      </c>
      <c r="FO7" s="41" t="s">
        <v>11</v>
      </c>
      <c r="FP7" s="41" t="s">
        <v>12</v>
      </c>
      <c r="FQ7" s="41" t="s">
        <v>4</v>
      </c>
      <c r="FR7" s="41" t="s">
        <v>169</v>
      </c>
      <c r="FS7" s="103" t="s">
        <v>170</v>
      </c>
      <c r="FU7" s="41" t="s">
        <v>11</v>
      </c>
      <c r="FV7" s="41" t="s">
        <v>12</v>
      </c>
      <c r="FW7" s="41" t="s">
        <v>4</v>
      </c>
      <c r="FX7" s="41" t="s">
        <v>169</v>
      </c>
      <c r="FY7" s="103" t="s">
        <v>170</v>
      </c>
      <c r="GA7" s="41" t="s">
        <v>11</v>
      </c>
      <c r="GB7" s="41" t="s">
        <v>12</v>
      </c>
      <c r="GC7" s="41" t="s">
        <v>4</v>
      </c>
      <c r="GD7" s="41" t="s">
        <v>169</v>
      </c>
      <c r="GE7" s="103" t="s">
        <v>170</v>
      </c>
      <c r="GG7" s="41" t="s">
        <v>11</v>
      </c>
      <c r="GH7" s="41" t="s">
        <v>12</v>
      </c>
      <c r="GI7" s="41" t="s">
        <v>4</v>
      </c>
      <c r="GJ7" s="41" t="s">
        <v>169</v>
      </c>
      <c r="GK7" s="103" t="s">
        <v>170</v>
      </c>
      <c r="GM7" s="41" t="s">
        <v>11</v>
      </c>
      <c r="GN7" s="41" t="s">
        <v>12</v>
      </c>
      <c r="GO7" s="41" t="s">
        <v>4</v>
      </c>
      <c r="GP7" s="41" t="s">
        <v>169</v>
      </c>
      <c r="GQ7" s="103" t="s">
        <v>170</v>
      </c>
      <c r="GS7" s="41" t="s">
        <v>11</v>
      </c>
      <c r="GT7" s="41" t="s">
        <v>12</v>
      </c>
      <c r="GU7" s="41" t="s">
        <v>4</v>
      </c>
      <c r="GV7" s="41" t="s">
        <v>169</v>
      </c>
      <c r="GW7" s="103" t="s">
        <v>170</v>
      </c>
      <c r="GY7" s="41" t="s">
        <v>11</v>
      </c>
      <c r="GZ7" s="41" t="s">
        <v>12</v>
      </c>
      <c r="HA7" s="41" t="s">
        <v>4</v>
      </c>
      <c r="HB7" s="41" t="s">
        <v>169</v>
      </c>
      <c r="HC7" s="103" t="s">
        <v>170</v>
      </c>
    </row>
    <row r="8" spans="1:217" s="52" customFormat="1" ht="12.75">
      <c r="A8" s="51">
        <v>44105</v>
      </c>
      <c r="C8" s="42"/>
      <c r="D8" s="42"/>
      <c r="E8" s="77"/>
      <c r="F8" s="77"/>
      <c r="G8" s="77"/>
      <c r="H8" s="79"/>
      <c r="I8" s="79"/>
      <c r="J8" s="79">
        <f aca="true" t="shared" si="0" ref="J8:J15">P8+V8+AB8+AH8+AN8+AT8+AZ8+BF8+BL8+BR8+BX8+CD8+CJ8+CP8+CV8+DB8+DH8+DN8+DT8+DZ8+EF8+EL8+ER8+EX8+FD8+FJ8+FP8+FV8+GB8+GH8+GN8+GT8+GZ8</f>
        <v>0</v>
      </c>
      <c r="K8" s="79">
        <f aca="true" t="shared" si="1" ref="K8:K15">I8+J8</f>
        <v>0</v>
      </c>
      <c r="L8" s="79">
        <f aca="true" t="shared" si="2" ref="L8:M15">R8+X8+AD8+AJ8+AP8+AV8+BB8+BH8+BN8+BT8+BZ8+CF8+CL8+CR8+CX8+DD8+DJ8+DP8+DV8+EB8+EH8+EN8+ET8+EZ8+FF8+FL8+FR8+FX8+GD8+GJ8+GP8+GV8+HB8</f>
        <v>0</v>
      </c>
      <c r="M8" s="79">
        <f t="shared" si="2"/>
        <v>0</v>
      </c>
      <c r="N8" s="79"/>
      <c r="O8" s="78"/>
      <c r="P8" s="78">
        <f aca="true" t="shared" si="3" ref="P8:P15">D8*6.61452/100</f>
        <v>0</v>
      </c>
      <c r="Q8" s="79">
        <f aca="true" t="shared" si="4" ref="Q8:Q14">O8+P8</f>
        <v>0</v>
      </c>
      <c r="R8" s="79">
        <f aca="true" t="shared" si="5" ref="R8:R15">P$6*$F8</f>
        <v>0</v>
      </c>
      <c r="S8" s="77">
        <f aca="true" t="shared" si="6" ref="S8:S15">P$6*$G8</f>
        <v>0</v>
      </c>
      <c r="T8" s="79"/>
      <c r="U8" s="78"/>
      <c r="V8" s="78">
        <f aca="true" t="shared" si="7" ref="V8:V15">D8*0.11296/100</f>
        <v>0</v>
      </c>
      <c r="W8" s="78">
        <f aca="true" t="shared" si="8" ref="W8:W15">U8+V8</f>
        <v>0</v>
      </c>
      <c r="X8" s="79">
        <f aca="true" t="shared" si="9" ref="X8:X15">V$6*$F8</f>
        <v>0</v>
      </c>
      <c r="Y8" s="77">
        <f aca="true" t="shared" si="10" ref="Y8:Y15">V$6*$G8</f>
        <v>0</v>
      </c>
      <c r="Z8" s="79"/>
      <c r="AA8" s="79"/>
      <c r="AB8" s="78">
        <f aca="true" t="shared" si="11" ref="AB8:AB15">D8*0.50994/100</f>
        <v>0</v>
      </c>
      <c r="AC8" s="78">
        <f aca="true" t="shared" si="12" ref="AC8:AC15">AA8+AB8</f>
        <v>0</v>
      </c>
      <c r="AD8" s="79">
        <f aca="true" t="shared" si="13" ref="AD8:AD15">AB$6*$F8</f>
        <v>0</v>
      </c>
      <c r="AE8" s="77">
        <f aca="true" t="shared" si="14" ref="AE8:AE15">AB$6*$G8</f>
        <v>0</v>
      </c>
      <c r="AF8" s="79"/>
      <c r="AG8" s="78"/>
      <c r="AH8" s="78">
        <f aca="true" t="shared" si="15" ref="AH8:AH15">D8*8.86797/100</f>
        <v>0</v>
      </c>
      <c r="AI8" s="78">
        <f aca="true" t="shared" si="16" ref="AI8:AI15">AG8+AH8</f>
        <v>0</v>
      </c>
      <c r="AJ8" s="79">
        <f aca="true" t="shared" si="17" ref="AJ8:AJ15">AH$6*$F8</f>
        <v>0</v>
      </c>
      <c r="AK8" s="77">
        <f aca="true" t="shared" si="18" ref="AK8:AK15">AH$6*$G8</f>
        <v>0</v>
      </c>
      <c r="AL8" s="79"/>
      <c r="AM8" s="78"/>
      <c r="AN8" s="78">
        <f aca="true" t="shared" si="19" ref="AN8:AN15">D8*0.10742/100</f>
        <v>0</v>
      </c>
      <c r="AO8" s="78">
        <f aca="true" t="shared" si="20" ref="AO8:AO15">AM8+AN8</f>
        <v>0</v>
      </c>
      <c r="AP8" s="79">
        <f aca="true" t="shared" si="21" ref="AP8:AP15">AN$6*$F8</f>
        <v>0</v>
      </c>
      <c r="AQ8" s="77">
        <f aca="true" t="shared" si="22" ref="AQ8:AQ15">AN$6*$G8</f>
        <v>0</v>
      </c>
      <c r="AR8" s="78"/>
      <c r="AS8" s="78"/>
      <c r="AT8" s="78">
        <f aca="true" t="shared" si="23" ref="AT8:AT15">D8*0.09059/100</f>
        <v>0</v>
      </c>
      <c r="AU8" s="78">
        <f aca="true" t="shared" si="24" ref="AU8:AU15">AS8+AT8</f>
        <v>0</v>
      </c>
      <c r="AV8" s="79">
        <f aca="true" t="shared" si="25" ref="AV8:AV15">AT$6*$F8</f>
        <v>0</v>
      </c>
      <c r="AW8" s="77">
        <f aca="true" t="shared" si="26" ref="AW8:AW15">AT$6*$G8</f>
        <v>0</v>
      </c>
      <c r="AX8" s="79"/>
      <c r="AY8" s="78"/>
      <c r="AZ8" s="78">
        <f aca="true" t="shared" si="27" ref="AZ8:AZ15">D8*3.71668/100</f>
        <v>0</v>
      </c>
      <c r="BA8" s="78">
        <f aca="true" t="shared" si="28" ref="BA8:BA15">AY8+AZ8</f>
        <v>0</v>
      </c>
      <c r="BB8" s="79">
        <f aca="true" t="shared" si="29" ref="BB8:BB15">AZ$6*$F8</f>
        <v>0</v>
      </c>
      <c r="BC8" s="77">
        <f aca="true" t="shared" si="30" ref="BC8:BC15">AZ$6*$G8</f>
        <v>0</v>
      </c>
      <c r="BD8" s="79"/>
      <c r="BE8" s="78"/>
      <c r="BF8" s="78">
        <f aca="true" t="shared" si="31" ref="BF8:BF15">D8*7.62623/100</f>
        <v>0</v>
      </c>
      <c r="BG8" s="78">
        <f aca="true" t="shared" si="32" ref="BG8:BG15">BE8+BF8</f>
        <v>0</v>
      </c>
      <c r="BH8" s="79">
        <f aca="true" t="shared" si="33" ref="BH8:BH15">BF$6*$F8</f>
        <v>0</v>
      </c>
      <c r="BI8" s="77">
        <f aca="true" t="shared" si="34" ref="BI8:BI15">BF$6*$G8</f>
        <v>0</v>
      </c>
      <c r="BJ8" s="79"/>
      <c r="BK8" s="78"/>
      <c r="BL8" s="78">
        <f aca="true" t="shared" si="35" ref="BL8:BL15">D8*0.08804/100</f>
        <v>0</v>
      </c>
      <c r="BM8" s="78">
        <f aca="true" t="shared" si="36" ref="BM8:BM15">BK8+BL8</f>
        <v>0</v>
      </c>
      <c r="BN8" s="79">
        <f aca="true" t="shared" si="37" ref="BN8:BN15">BL$6*$F8</f>
        <v>0</v>
      </c>
      <c r="BO8" s="77">
        <f aca="true" t="shared" si="38" ref="BO8:BO15">BL$6*$G8</f>
        <v>0</v>
      </c>
      <c r="BP8" s="79"/>
      <c r="BQ8" s="78"/>
      <c r="BR8" s="78">
        <f aca="true" t="shared" si="39" ref="BR8:BR15">D8*0.05914/100</f>
        <v>0</v>
      </c>
      <c r="BS8" s="78">
        <f aca="true" t="shared" si="40" ref="BS8:BS15">BQ8+BR8</f>
        <v>0</v>
      </c>
      <c r="BT8" s="79">
        <f aca="true" t="shared" si="41" ref="BT8:BT15">BR$6*$F8</f>
        <v>0</v>
      </c>
      <c r="BU8" s="77">
        <f aca="true" t="shared" si="42" ref="BU8:BU15">BR$6*$G8</f>
        <v>0</v>
      </c>
      <c r="BV8" s="79"/>
      <c r="BW8" s="78"/>
      <c r="BX8" s="78">
        <f aca="true" t="shared" si="43" ref="BX8:BX15">D8*-0.00881/100</f>
        <v>0</v>
      </c>
      <c r="BY8" s="78">
        <f aca="true" t="shared" si="44" ref="BY8:BY15">BW8+BX8</f>
        <v>0</v>
      </c>
      <c r="BZ8" s="79">
        <f aca="true" t="shared" si="45" ref="BZ8:BZ15">BX$6*$F8</f>
        <v>0</v>
      </c>
      <c r="CA8" s="77">
        <f aca="true" t="shared" si="46" ref="CA8:CA15">BX$6*$G8</f>
        <v>0</v>
      </c>
      <c r="CB8" s="78"/>
      <c r="CC8" s="78"/>
      <c r="CD8" s="78">
        <f aca="true" t="shared" si="47" ref="CD8:CD15">D8*-0.00574/100</f>
        <v>0</v>
      </c>
      <c r="CE8" s="78">
        <f aca="true" t="shared" si="48" ref="CE8:CE15">CC8+CD8</f>
        <v>0</v>
      </c>
      <c r="CF8" s="79">
        <f aca="true" t="shared" si="49" ref="CF8:CF15">CD$6*$F8</f>
        <v>0</v>
      </c>
      <c r="CG8" s="77">
        <f aca="true" t="shared" si="50" ref="CG8:CG15">CD$6*$G8</f>
        <v>0</v>
      </c>
      <c r="CH8" s="79"/>
      <c r="CI8" s="78"/>
      <c r="CJ8" s="78">
        <f aca="true" t="shared" si="51" ref="CJ8:CJ15">D8*0.21346/100</f>
        <v>0</v>
      </c>
      <c r="CK8" s="78">
        <f aca="true" t="shared" si="52" ref="CK8:CK15">CI8+CJ8</f>
        <v>0</v>
      </c>
      <c r="CL8" s="79">
        <f aca="true" t="shared" si="53" ref="CL8:CL15">CJ$6*$F8</f>
        <v>0</v>
      </c>
      <c r="CM8" s="77">
        <f aca="true" t="shared" si="54" ref="CM8:CM15">CJ$6*$G8</f>
        <v>0</v>
      </c>
      <c r="CN8" s="79"/>
      <c r="CO8" s="78"/>
      <c r="CP8" s="78">
        <f aca="true" t="shared" si="55" ref="CP8:CP15">D8*1.3127/100</f>
        <v>0</v>
      </c>
      <c r="CQ8" s="78">
        <f aca="true" t="shared" si="56" ref="CQ8:CQ15">CO8+CP8</f>
        <v>0</v>
      </c>
      <c r="CR8" s="79">
        <f aca="true" t="shared" si="57" ref="CR8:CR15">CP$6*$F8</f>
        <v>0</v>
      </c>
      <c r="CS8" s="77">
        <f aca="true" t="shared" si="58" ref="CS8:CS15">CP$6*$G8</f>
        <v>0</v>
      </c>
      <c r="CT8" s="79"/>
      <c r="CU8" s="78"/>
      <c r="CV8" s="78">
        <f aca="true" t="shared" si="59" ref="CV8:CV15">D8*8.81851/100</f>
        <v>0</v>
      </c>
      <c r="CW8" s="78">
        <f aca="true" t="shared" si="60" ref="CW8:CW15">CU8+CV8</f>
        <v>0</v>
      </c>
      <c r="CX8" s="79">
        <f aca="true" t="shared" si="61" ref="CX8:CX15">CV$6*$F8</f>
        <v>0</v>
      </c>
      <c r="CY8" s="77">
        <f aca="true" t="shared" si="62" ref="CY8:CY15">CV$6*$G8</f>
        <v>0</v>
      </c>
      <c r="CZ8" s="79"/>
      <c r="DA8" s="78"/>
      <c r="DB8" s="78">
        <f aca="true" t="shared" si="63" ref="DB8:DB15">D8*1.27232/100</f>
        <v>0</v>
      </c>
      <c r="DC8" s="78">
        <f aca="true" t="shared" si="64" ref="DC8:DC15">DA8+DB8</f>
        <v>0</v>
      </c>
      <c r="DD8" s="79">
        <f aca="true" t="shared" si="65" ref="DD8:DD15">DB$6*$F8</f>
        <v>0</v>
      </c>
      <c r="DE8" s="77">
        <f aca="true" t="shared" si="66" ref="DE8:DE15">DB$6*$G8</f>
        <v>0</v>
      </c>
      <c r="DF8" s="79"/>
      <c r="DG8" s="78"/>
      <c r="DH8" s="78">
        <f aca="true" t="shared" si="67" ref="DH8:DH15">D8*2.59972/100</f>
        <v>0</v>
      </c>
      <c r="DI8" s="78">
        <f aca="true" t="shared" si="68" ref="DI8:DI15">DG8+DH8</f>
        <v>0</v>
      </c>
      <c r="DJ8" s="79">
        <f aca="true" t="shared" si="69" ref="DJ8:DJ15">DH$6*$F8</f>
        <v>0</v>
      </c>
      <c r="DK8" s="77">
        <f aca="true" t="shared" si="70" ref="DK8:DK15">DH$6*$G8</f>
        <v>0</v>
      </c>
      <c r="DL8" s="79"/>
      <c r="DM8" s="78"/>
      <c r="DN8" s="78">
        <f aca="true" t="shared" si="71" ref="DN8:DN15">D8*0.42162/100</f>
        <v>0</v>
      </c>
      <c r="DO8" s="78">
        <f aca="true" t="shared" si="72" ref="DO8:DO15">DM8+DN8</f>
        <v>0</v>
      </c>
      <c r="DP8" s="79">
        <f aca="true" t="shared" si="73" ref="DP8:DP15">DN$6*$F8</f>
        <v>0</v>
      </c>
      <c r="DQ8" s="77">
        <f aca="true" t="shared" si="74" ref="DQ8:DQ15">DN$6*$G8</f>
        <v>0</v>
      </c>
      <c r="DR8" s="79"/>
      <c r="DS8" s="78"/>
      <c r="DT8" s="78">
        <f aca="true" t="shared" si="75" ref="DT8:DT15">D8*2.16282/100</f>
        <v>0</v>
      </c>
      <c r="DU8" s="78">
        <f aca="true" t="shared" si="76" ref="DU8:DU15">DS8+DT8</f>
        <v>0</v>
      </c>
      <c r="DV8" s="79">
        <f aca="true" t="shared" si="77" ref="DV8:DV15">DT$6*$F8</f>
        <v>0</v>
      </c>
      <c r="DW8" s="77">
        <f aca="true" t="shared" si="78" ref="DW8:DW15">DT$6*$G8</f>
        <v>0</v>
      </c>
      <c r="DX8" s="79"/>
      <c r="DY8" s="78"/>
      <c r="DZ8" s="78">
        <f aca="true" t="shared" si="79" ref="DZ8:DZ15">D8*0.01933/100</f>
        <v>0</v>
      </c>
      <c r="EA8" s="78">
        <f aca="true" t="shared" si="80" ref="EA8:EA15">DY8+DZ8</f>
        <v>0</v>
      </c>
      <c r="EB8" s="79">
        <f aca="true" t="shared" si="81" ref="EB8:EB15">DZ$6*$F8</f>
        <v>0</v>
      </c>
      <c r="EC8" s="77">
        <f aca="true" t="shared" si="82" ref="EC8:EC15">DZ$6*$G8</f>
        <v>0</v>
      </c>
      <c r="ED8" s="79"/>
      <c r="EE8" s="78"/>
      <c r="EF8" s="78">
        <f aca="true" t="shared" si="83" ref="EF8:EF15">D8*0.02544/100</f>
        <v>0</v>
      </c>
      <c r="EG8" s="78">
        <f aca="true" t="shared" si="84" ref="EG8:EG15">EE8+EF8</f>
        <v>0</v>
      </c>
      <c r="EH8" s="79">
        <f aca="true" t="shared" si="85" ref="EH8:EH15">EF$6*$F8</f>
        <v>0</v>
      </c>
      <c r="EI8" s="77">
        <f aca="true" t="shared" si="86" ref="EI8:EI15">EF$6*$G8</f>
        <v>0</v>
      </c>
      <c r="EJ8" s="79"/>
      <c r="EK8" s="78"/>
      <c r="EL8" s="78">
        <f aca="true" t="shared" si="87" ref="EL8:EL15">D8*1.28187/100</f>
        <v>0</v>
      </c>
      <c r="EM8" s="78">
        <f aca="true" t="shared" si="88" ref="EM8:EM15">EK8+EL8</f>
        <v>0</v>
      </c>
      <c r="EN8" s="79">
        <f aca="true" t="shared" si="89" ref="EN8:EN15">EL$6*$F8</f>
        <v>0</v>
      </c>
      <c r="EO8" s="77">
        <f aca="true" t="shared" si="90" ref="EO8:EO15">EL$6*$G8</f>
        <v>0</v>
      </c>
      <c r="EP8" s="79"/>
      <c r="EQ8" s="78"/>
      <c r="ER8" s="78">
        <f aca="true" t="shared" si="91" ref="ER8:ER15">D8*0.0244/100</f>
        <v>0</v>
      </c>
      <c r="ES8" s="78">
        <f aca="true" t="shared" si="92" ref="ES8:ES15">EQ8+ER8</f>
        <v>0</v>
      </c>
      <c r="ET8" s="79">
        <f aca="true" t="shared" si="93" ref="ET8:ET15">ER$6*$F8</f>
        <v>0</v>
      </c>
      <c r="EU8" s="77">
        <f aca="true" t="shared" si="94" ref="EU8:EU15">ER$6*$G8</f>
        <v>0</v>
      </c>
      <c r="EV8" s="79"/>
      <c r="EW8" s="78"/>
      <c r="EX8" s="78">
        <f aca="true" t="shared" si="95" ref="EX8:EX15">D8*0.36459/100</f>
        <v>0</v>
      </c>
      <c r="EY8" s="78">
        <f aca="true" t="shared" si="96" ref="EY8:EY15">EW8+EX8</f>
        <v>0</v>
      </c>
      <c r="EZ8" s="79">
        <f aca="true" t="shared" si="97" ref="EZ8:EZ15">EX$6*$F8</f>
        <v>0</v>
      </c>
      <c r="FA8" s="77">
        <f aca="true" t="shared" si="98" ref="FA8:FA15">EX$6*$G8</f>
        <v>0</v>
      </c>
      <c r="FB8" s="79"/>
      <c r="FC8" s="78"/>
      <c r="FD8" s="78">
        <f aca="true" t="shared" si="99" ref="FD8:FD15">D8*0.25327/100</f>
        <v>0</v>
      </c>
      <c r="FE8" s="78">
        <f aca="true" t="shared" si="100" ref="FE8:FE15">FC8+FD8</f>
        <v>0</v>
      </c>
      <c r="FF8" s="79">
        <f aca="true" t="shared" si="101" ref="FF8:FF15">FD$6*$F8</f>
        <v>0</v>
      </c>
      <c r="FG8" s="77">
        <f aca="true" t="shared" si="102" ref="FG8:FG15">FD$6*$G8</f>
        <v>0</v>
      </c>
      <c r="FH8" s="79"/>
      <c r="FI8" s="78"/>
      <c r="FJ8" s="78">
        <f aca="true" t="shared" si="103" ref="FJ8:FJ15">D8*0.09887/100</f>
        <v>0</v>
      </c>
      <c r="FK8" s="78">
        <f aca="true" t="shared" si="104" ref="FK8:FK15">FI8+FJ8</f>
        <v>0</v>
      </c>
      <c r="FL8" s="79">
        <f aca="true" t="shared" si="105" ref="FL8:FL15">FJ$6*$F8</f>
        <v>0</v>
      </c>
      <c r="FM8" s="77">
        <f aca="true" t="shared" si="106" ref="FM8:FM15">FJ$6*$G8</f>
        <v>0</v>
      </c>
      <c r="FN8" s="79"/>
      <c r="FO8" s="78"/>
      <c r="FP8" s="78">
        <f aca="true" t="shared" si="107" ref="FP8:FP15">D8*1.11111/100</f>
        <v>0</v>
      </c>
      <c r="FQ8" s="78">
        <f aca="true" t="shared" si="108" ref="FQ8:FQ15">FO8+FP8</f>
        <v>0</v>
      </c>
      <c r="FR8" s="79">
        <f aca="true" t="shared" si="109" ref="FR8:FR15">FP$6*$F8</f>
        <v>0</v>
      </c>
      <c r="FS8" s="77">
        <f aca="true" t="shared" si="110" ref="FS8:FS15">FP$6*$G8</f>
        <v>0</v>
      </c>
      <c r="FT8" s="79"/>
      <c r="FU8" s="78"/>
      <c r="FV8" s="78">
        <f aca="true" t="shared" si="111" ref="FV8:FV15">D8*2.50422/100</f>
        <v>0</v>
      </c>
      <c r="FW8" s="78">
        <f aca="true" t="shared" si="112" ref="FW8:FW15">FU8+FV8</f>
        <v>0</v>
      </c>
      <c r="FX8" s="79">
        <f aca="true" t="shared" si="113" ref="FX8:FX15">FV$6*$F8</f>
        <v>0</v>
      </c>
      <c r="FY8" s="77">
        <f aca="true" t="shared" si="114" ref="FY8:FY15">FV$6*$G8</f>
        <v>0</v>
      </c>
      <c r="FZ8" s="79"/>
      <c r="GA8" s="78"/>
      <c r="GB8" s="78">
        <f aca="true" t="shared" si="115" ref="GB8:GB15">D8*0.31957/100</f>
        <v>0</v>
      </c>
      <c r="GC8" s="78">
        <f aca="true" t="shared" si="116" ref="GC8:GC15">GA8+GB8</f>
        <v>0</v>
      </c>
      <c r="GD8" s="79">
        <f aca="true" t="shared" si="117" ref="GD8:GD15">GB$6*$F8</f>
        <v>0</v>
      </c>
      <c r="GE8" s="77">
        <f aca="true" t="shared" si="118" ref="GE8:GE15">GB$6*$G8</f>
        <v>0</v>
      </c>
      <c r="GF8" s="79"/>
      <c r="GG8" s="78"/>
      <c r="GH8" s="78">
        <f aca="true" t="shared" si="119" ref="GH8:GH15">D8*0.50748/100</f>
        <v>0</v>
      </c>
      <c r="GI8" s="78">
        <f aca="true" t="shared" si="120" ref="GI8:GI15">GG8+GH8</f>
        <v>0</v>
      </c>
      <c r="GJ8" s="79">
        <f aca="true" t="shared" si="121" ref="GJ8:GJ15">GH$6*$F8</f>
        <v>0</v>
      </c>
      <c r="GK8" s="77">
        <f aca="true" t="shared" si="122" ref="GK8:GK15">GH$6*$G8</f>
        <v>0</v>
      </c>
      <c r="GL8" s="79"/>
      <c r="GM8" s="78"/>
      <c r="GN8" s="78">
        <f aca="true" t="shared" si="123" ref="GN8:GN15">D8*2.35189/100</f>
        <v>0</v>
      </c>
      <c r="GO8" s="78">
        <f aca="true" t="shared" si="124" ref="GO8:GO15">GM8+GN8</f>
        <v>0</v>
      </c>
      <c r="GP8" s="79">
        <f aca="true" t="shared" si="125" ref="GP8:GP15">GN$6*$F8</f>
        <v>0</v>
      </c>
      <c r="GQ8" s="77">
        <f aca="true" t="shared" si="126" ref="GQ8:GQ15">GN$6*$G8</f>
        <v>0</v>
      </c>
      <c r="GR8" s="79"/>
      <c r="GS8" s="78"/>
      <c r="GT8" s="78">
        <f aca="true" t="shared" si="127" ref="GT8:GT15">D8*0.12482/100</f>
        <v>0</v>
      </c>
      <c r="GU8" s="78">
        <f aca="true" t="shared" si="128" ref="GU8:GU15">GS8+GT8</f>
        <v>0</v>
      </c>
      <c r="GV8" s="79">
        <f aca="true" t="shared" si="129" ref="GV8:GV15">GT$6*$F8</f>
        <v>0</v>
      </c>
      <c r="GW8" s="77">
        <f aca="true" t="shared" si="130" ref="GW8:GW15">GT$6*$G8</f>
        <v>0</v>
      </c>
      <c r="GX8" s="79"/>
      <c r="GY8" s="78"/>
      <c r="GZ8" s="78">
        <f aca="true" t="shared" si="131" ref="GZ8:GZ15">D8*0.71564/100</f>
        <v>0</v>
      </c>
      <c r="HA8" s="78">
        <f aca="true" t="shared" si="132" ref="HA8:HA15">GY8+GZ8</f>
        <v>0</v>
      </c>
      <c r="HB8" s="79">
        <f aca="true" t="shared" si="133" ref="HB8:HB15">GZ$6*$F8</f>
        <v>0</v>
      </c>
      <c r="HC8" s="77">
        <f aca="true" t="shared" si="134" ref="HC8:HC15">GZ$6*$G8</f>
        <v>0</v>
      </c>
      <c r="HD8" s="79"/>
      <c r="HE8" s="79"/>
      <c r="HF8" s="79"/>
      <c r="HG8" s="79"/>
      <c r="HH8" s="79"/>
      <c r="HI8" s="79"/>
    </row>
    <row r="9" spans="1:217" s="52" customFormat="1" ht="12.75">
      <c r="A9" s="51">
        <v>44287</v>
      </c>
      <c r="C9" s="42"/>
      <c r="D9" s="42"/>
      <c r="E9" s="77"/>
      <c r="F9" s="77"/>
      <c r="G9" s="77"/>
      <c r="H9" s="79"/>
      <c r="I9" s="79">
        <f>O9+U9+AA9+AG9+AM9+AS9+AY9+BE9+BK9+BQ9+BW9+CC9+CI9+CO9+CU9+DA9+DG9+DM9+DS9+DY9+EE9+EK9+EQ9+EW9+FC9+FI9+FO9+FU9+GA9+GG9+GM9+GS9+GY9</f>
        <v>0</v>
      </c>
      <c r="J9" s="79">
        <f t="shared" si="0"/>
        <v>0</v>
      </c>
      <c r="K9" s="79">
        <f t="shared" si="1"/>
        <v>0</v>
      </c>
      <c r="L9" s="79">
        <f t="shared" si="2"/>
        <v>0</v>
      </c>
      <c r="M9" s="79">
        <f t="shared" si="2"/>
        <v>0</v>
      </c>
      <c r="N9" s="79"/>
      <c r="O9" s="78">
        <f aca="true" t="shared" si="135" ref="O9:O15">C9*6.61452/100</f>
        <v>0</v>
      </c>
      <c r="P9" s="78">
        <f t="shared" si="3"/>
        <v>0</v>
      </c>
      <c r="Q9" s="79">
        <f t="shared" si="4"/>
        <v>0</v>
      </c>
      <c r="R9" s="79">
        <f t="shared" si="5"/>
        <v>0</v>
      </c>
      <c r="S9" s="77">
        <f t="shared" si="6"/>
        <v>0</v>
      </c>
      <c r="T9" s="79"/>
      <c r="U9" s="78">
        <f aca="true" t="shared" si="136" ref="U9:U15">C9*0.11296/100</f>
        <v>0</v>
      </c>
      <c r="V9" s="78">
        <f t="shared" si="7"/>
        <v>0</v>
      </c>
      <c r="W9" s="78">
        <f t="shared" si="8"/>
        <v>0</v>
      </c>
      <c r="X9" s="79">
        <f t="shared" si="9"/>
        <v>0</v>
      </c>
      <c r="Y9" s="77">
        <f t="shared" si="10"/>
        <v>0</v>
      </c>
      <c r="Z9" s="79"/>
      <c r="AA9" s="79">
        <f aca="true" t="shared" si="137" ref="AA9:AA15">C9*0.50994/100</f>
        <v>0</v>
      </c>
      <c r="AB9" s="78">
        <f t="shared" si="11"/>
        <v>0</v>
      </c>
      <c r="AC9" s="78">
        <f t="shared" si="12"/>
        <v>0</v>
      </c>
      <c r="AD9" s="79">
        <f t="shared" si="13"/>
        <v>0</v>
      </c>
      <c r="AE9" s="77">
        <f t="shared" si="14"/>
        <v>0</v>
      </c>
      <c r="AF9" s="79"/>
      <c r="AG9" s="78">
        <f aca="true" t="shared" si="138" ref="AG9:AG15">C9*8.86797/100</f>
        <v>0</v>
      </c>
      <c r="AH9" s="78">
        <f t="shared" si="15"/>
        <v>0</v>
      </c>
      <c r="AI9" s="78">
        <f t="shared" si="16"/>
        <v>0</v>
      </c>
      <c r="AJ9" s="79">
        <f t="shared" si="17"/>
        <v>0</v>
      </c>
      <c r="AK9" s="77">
        <f t="shared" si="18"/>
        <v>0</v>
      </c>
      <c r="AL9" s="79"/>
      <c r="AM9" s="78">
        <f aca="true" t="shared" si="139" ref="AM9:AM15">C9*0.10742/100</f>
        <v>0</v>
      </c>
      <c r="AN9" s="78">
        <f t="shared" si="19"/>
        <v>0</v>
      </c>
      <c r="AO9" s="78">
        <f t="shared" si="20"/>
        <v>0</v>
      </c>
      <c r="AP9" s="79">
        <f t="shared" si="21"/>
        <v>0</v>
      </c>
      <c r="AQ9" s="77">
        <f t="shared" si="22"/>
        <v>0</v>
      </c>
      <c r="AR9" s="78"/>
      <c r="AS9" s="78">
        <f aca="true" t="shared" si="140" ref="AS9:AS15">C9*0.09059/100</f>
        <v>0</v>
      </c>
      <c r="AT9" s="78">
        <f t="shared" si="23"/>
        <v>0</v>
      </c>
      <c r="AU9" s="78">
        <f t="shared" si="24"/>
        <v>0</v>
      </c>
      <c r="AV9" s="79">
        <f t="shared" si="25"/>
        <v>0</v>
      </c>
      <c r="AW9" s="77">
        <f t="shared" si="26"/>
        <v>0</v>
      </c>
      <c r="AX9" s="79"/>
      <c r="AY9" s="78">
        <f aca="true" t="shared" si="141" ref="AY9:AY15">C9*3.71668/100</f>
        <v>0</v>
      </c>
      <c r="AZ9" s="78">
        <f t="shared" si="27"/>
        <v>0</v>
      </c>
      <c r="BA9" s="78">
        <f t="shared" si="28"/>
        <v>0</v>
      </c>
      <c r="BB9" s="79">
        <f t="shared" si="29"/>
        <v>0</v>
      </c>
      <c r="BC9" s="77">
        <f t="shared" si="30"/>
        <v>0</v>
      </c>
      <c r="BD9" s="79"/>
      <c r="BE9" s="78">
        <f aca="true" t="shared" si="142" ref="BE9:BE15">C9*7.62623/100</f>
        <v>0</v>
      </c>
      <c r="BF9" s="78">
        <f t="shared" si="31"/>
        <v>0</v>
      </c>
      <c r="BG9" s="78">
        <f t="shared" si="32"/>
        <v>0</v>
      </c>
      <c r="BH9" s="79">
        <f t="shared" si="33"/>
        <v>0</v>
      </c>
      <c r="BI9" s="77">
        <f t="shared" si="34"/>
        <v>0</v>
      </c>
      <c r="BJ9" s="79"/>
      <c r="BK9" s="78">
        <f aca="true" t="shared" si="143" ref="BK9:BK15">C9*0.08804/100</f>
        <v>0</v>
      </c>
      <c r="BL9" s="78">
        <f t="shared" si="35"/>
        <v>0</v>
      </c>
      <c r="BM9" s="78">
        <f t="shared" si="36"/>
        <v>0</v>
      </c>
      <c r="BN9" s="79">
        <f t="shared" si="37"/>
        <v>0</v>
      </c>
      <c r="BO9" s="77">
        <f t="shared" si="38"/>
        <v>0</v>
      </c>
      <c r="BP9" s="79"/>
      <c r="BQ9" s="78">
        <f aca="true" t="shared" si="144" ref="BQ9:BQ15">C9*0.05914/100</f>
        <v>0</v>
      </c>
      <c r="BR9" s="78">
        <f t="shared" si="39"/>
        <v>0</v>
      </c>
      <c r="BS9" s="78">
        <f t="shared" si="40"/>
        <v>0</v>
      </c>
      <c r="BT9" s="79">
        <f t="shared" si="41"/>
        <v>0</v>
      </c>
      <c r="BU9" s="77">
        <f t="shared" si="42"/>
        <v>0</v>
      </c>
      <c r="BV9" s="79"/>
      <c r="BW9" s="78">
        <f aca="true" t="shared" si="145" ref="BW9:BW15">C9*-0.00881/100</f>
        <v>0</v>
      </c>
      <c r="BX9" s="78">
        <f t="shared" si="43"/>
        <v>0</v>
      </c>
      <c r="BY9" s="78">
        <f t="shared" si="44"/>
        <v>0</v>
      </c>
      <c r="BZ9" s="79">
        <f t="shared" si="45"/>
        <v>0</v>
      </c>
      <c r="CA9" s="77">
        <f t="shared" si="46"/>
        <v>0</v>
      </c>
      <c r="CB9" s="78"/>
      <c r="CC9" s="78">
        <f aca="true" t="shared" si="146" ref="CC9:CC15">C9*-0.00574/100</f>
        <v>0</v>
      </c>
      <c r="CD9" s="78">
        <f t="shared" si="47"/>
        <v>0</v>
      </c>
      <c r="CE9" s="78">
        <f t="shared" si="48"/>
        <v>0</v>
      </c>
      <c r="CF9" s="79">
        <f t="shared" si="49"/>
        <v>0</v>
      </c>
      <c r="CG9" s="77">
        <f t="shared" si="50"/>
        <v>0</v>
      </c>
      <c r="CH9" s="79"/>
      <c r="CI9" s="78">
        <f aca="true" t="shared" si="147" ref="CI9:CI15">C9*0.21346/100</f>
        <v>0</v>
      </c>
      <c r="CJ9" s="78">
        <f t="shared" si="51"/>
        <v>0</v>
      </c>
      <c r="CK9" s="78">
        <f t="shared" si="52"/>
        <v>0</v>
      </c>
      <c r="CL9" s="79">
        <f t="shared" si="53"/>
        <v>0</v>
      </c>
      <c r="CM9" s="77">
        <f t="shared" si="54"/>
        <v>0</v>
      </c>
      <c r="CN9" s="79"/>
      <c r="CO9" s="78">
        <f aca="true" t="shared" si="148" ref="CO9:CO15">C9*1.3127/100</f>
        <v>0</v>
      </c>
      <c r="CP9" s="78">
        <f t="shared" si="55"/>
        <v>0</v>
      </c>
      <c r="CQ9" s="78">
        <f t="shared" si="56"/>
        <v>0</v>
      </c>
      <c r="CR9" s="79">
        <f t="shared" si="57"/>
        <v>0</v>
      </c>
      <c r="CS9" s="77">
        <f t="shared" si="58"/>
        <v>0</v>
      </c>
      <c r="CT9" s="79"/>
      <c r="CU9" s="78">
        <f aca="true" t="shared" si="149" ref="CU9:CU15">C9*8.81851/100</f>
        <v>0</v>
      </c>
      <c r="CV9" s="78">
        <f t="shared" si="59"/>
        <v>0</v>
      </c>
      <c r="CW9" s="78">
        <f t="shared" si="60"/>
        <v>0</v>
      </c>
      <c r="CX9" s="79">
        <f t="shared" si="61"/>
        <v>0</v>
      </c>
      <c r="CY9" s="77">
        <f t="shared" si="62"/>
        <v>0</v>
      </c>
      <c r="CZ9" s="79"/>
      <c r="DA9" s="78">
        <f aca="true" t="shared" si="150" ref="DA9:DA15">C9*1.27232/100</f>
        <v>0</v>
      </c>
      <c r="DB9" s="78">
        <f t="shared" si="63"/>
        <v>0</v>
      </c>
      <c r="DC9" s="78">
        <f t="shared" si="64"/>
        <v>0</v>
      </c>
      <c r="DD9" s="79">
        <f t="shared" si="65"/>
        <v>0</v>
      </c>
      <c r="DE9" s="77">
        <f t="shared" si="66"/>
        <v>0</v>
      </c>
      <c r="DF9" s="79"/>
      <c r="DG9" s="78">
        <f aca="true" t="shared" si="151" ref="DG9:DG15">C9*2.59972/100</f>
        <v>0</v>
      </c>
      <c r="DH9" s="78">
        <f t="shared" si="67"/>
        <v>0</v>
      </c>
      <c r="DI9" s="78">
        <f t="shared" si="68"/>
        <v>0</v>
      </c>
      <c r="DJ9" s="79">
        <f t="shared" si="69"/>
        <v>0</v>
      </c>
      <c r="DK9" s="77">
        <f t="shared" si="70"/>
        <v>0</v>
      </c>
      <c r="DL9" s="79"/>
      <c r="DM9" s="78">
        <f aca="true" t="shared" si="152" ref="DM9:DM15">C9*0.42162/100</f>
        <v>0</v>
      </c>
      <c r="DN9" s="78">
        <f t="shared" si="71"/>
        <v>0</v>
      </c>
      <c r="DO9" s="78">
        <f t="shared" si="72"/>
        <v>0</v>
      </c>
      <c r="DP9" s="79">
        <f t="shared" si="73"/>
        <v>0</v>
      </c>
      <c r="DQ9" s="77">
        <f t="shared" si="74"/>
        <v>0</v>
      </c>
      <c r="DR9" s="79"/>
      <c r="DS9" s="78">
        <f aca="true" t="shared" si="153" ref="DS9:DS15">C9*2.16282/100</f>
        <v>0</v>
      </c>
      <c r="DT9" s="78">
        <f t="shared" si="75"/>
        <v>0</v>
      </c>
      <c r="DU9" s="78">
        <f t="shared" si="76"/>
        <v>0</v>
      </c>
      <c r="DV9" s="79">
        <f t="shared" si="77"/>
        <v>0</v>
      </c>
      <c r="DW9" s="77">
        <f t="shared" si="78"/>
        <v>0</v>
      </c>
      <c r="DX9" s="79"/>
      <c r="DY9" s="78">
        <f aca="true" t="shared" si="154" ref="DY9:DY15">C9*0.01933/100</f>
        <v>0</v>
      </c>
      <c r="DZ9" s="78">
        <f t="shared" si="79"/>
        <v>0</v>
      </c>
      <c r="EA9" s="78">
        <f t="shared" si="80"/>
        <v>0</v>
      </c>
      <c r="EB9" s="79">
        <f t="shared" si="81"/>
        <v>0</v>
      </c>
      <c r="EC9" s="77">
        <f t="shared" si="82"/>
        <v>0</v>
      </c>
      <c r="ED9" s="79"/>
      <c r="EE9" s="78">
        <f aca="true" t="shared" si="155" ref="EE9:EE15">C9*0.02544/100</f>
        <v>0</v>
      </c>
      <c r="EF9" s="78">
        <f t="shared" si="83"/>
        <v>0</v>
      </c>
      <c r="EG9" s="78">
        <f t="shared" si="84"/>
        <v>0</v>
      </c>
      <c r="EH9" s="79">
        <f t="shared" si="85"/>
        <v>0</v>
      </c>
      <c r="EI9" s="77">
        <f t="shared" si="86"/>
        <v>0</v>
      </c>
      <c r="EJ9" s="79"/>
      <c r="EK9" s="78">
        <f aca="true" t="shared" si="156" ref="EK9:EK15">C9*1.28187/100</f>
        <v>0</v>
      </c>
      <c r="EL9" s="78">
        <f t="shared" si="87"/>
        <v>0</v>
      </c>
      <c r="EM9" s="78">
        <f t="shared" si="88"/>
        <v>0</v>
      </c>
      <c r="EN9" s="79">
        <f t="shared" si="89"/>
        <v>0</v>
      </c>
      <c r="EO9" s="77">
        <f t="shared" si="90"/>
        <v>0</v>
      </c>
      <c r="EP9" s="79"/>
      <c r="EQ9" s="78">
        <f aca="true" t="shared" si="157" ref="EQ9:EQ15">C9*0.0244/100</f>
        <v>0</v>
      </c>
      <c r="ER9" s="78">
        <f t="shared" si="91"/>
        <v>0</v>
      </c>
      <c r="ES9" s="78">
        <f t="shared" si="92"/>
        <v>0</v>
      </c>
      <c r="ET9" s="79">
        <f t="shared" si="93"/>
        <v>0</v>
      </c>
      <c r="EU9" s="77">
        <f t="shared" si="94"/>
        <v>0</v>
      </c>
      <c r="EV9" s="79"/>
      <c r="EW9" s="78">
        <f aca="true" t="shared" si="158" ref="EW9:EW15">C9*0.36459/100</f>
        <v>0</v>
      </c>
      <c r="EX9" s="78">
        <f t="shared" si="95"/>
        <v>0</v>
      </c>
      <c r="EY9" s="78">
        <f t="shared" si="96"/>
        <v>0</v>
      </c>
      <c r="EZ9" s="79">
        <f t="shared" si="97"/>
        <v>0</v>
      </c>
      <c r="FA9" s="77">
        <f t="shared" si="98"/>
        <v>0</v>
      </c>
      <c r="FB9" s="79"/>
      <c r="FC9" s="78">
        <f aca="true" t="shared" si="159" ref="FC9:FC15">C9*0.25327/100</f>
        <v>0</v>
      </c>
      <c r="FD9" s="78">
        <f t="shared" si="99"/>
        <v>0</v>
      </c>
      <c r="FE9" s="78">
        <f t="shared" si="100"/>
        <v>0</v>
      </c>
      <c r="FF9" s="79">
        <f t="shared" si="101"/>
        <v>0</v>
      </c>
      <c r="FG9" s="77">
        <f t="shared" si="102"/>
        <v>0</v>
      </c>
      <c r="FH9" s="79"/>
      <c r="FI9" s="78">
        <f aca="true" t="shared" si="160" ref="FI9:FI15">C9*0.09887/100</f>
        <v>0</v>
      </c>
      <c r="FJ9" s="78">
        <f t="shared" si="103"/>
        <v>0</v>
      </c>
      <c r="FK9" s="78">
        <f t="shared" si="104"/>
        <v>0</v>
      </c>
      <c r="FL9" s="79">
        <f t="shared" si="105"/>
        <v>0</v>
      </c>
      <c r="FM9" s="77">
        <f t="shared" si="106"/>
        <v>0</v>
      </c>
      <c r="FN9" s="79"/>
      <c r="FO9" s="78">
        <f aca="true" t="shared" si="161" ref="FO9:FO15">C9*1.11111/100</f>
        <v>0</v>
      </c>
      <c r="FP9" s="78">
        <f t="shared" si="107"/>
        <v>0</v>
      </c>
      <c r="FQ9" s="78">
        <f t="shared" si="108"/>
        <v>0</v>
      </c>
      <c r="FR9" s="79">
        <f t="shared" si="109"/>
        <v>0</v>
      </c>
      <c r="FS9" s="77">
        <f t="shared" si="110"/>
        <v>0</v>
      </c>
      <c r="FT9" s="79"/>
      <c r="FU9" s="78">
        <f aca="true" t="shared" si="162" ref="FU9:FU15">C9*2.50422/100</f>
        <v>0</v>
      </c>
      <c r="FV9" s="78">
        <f t="shared" si="111"/>
        <v>0</v>
      </c>
      <c r="FW9" s="78">
        <f t="shared" si="112"/>
        <v>0</v>
      </c>
      <c r="FX9" s="79">
        <f t="shared" si="113"/>
        <v>0</v>
      </c>
      <c r="FY9" s="77">
        <f t="shared" si="114"/>
        <v>0</v>
      </c>
      <c r="FZ9" s="79"/>
      <c r="GA9" s="78">
        <f aca="true" t="shared" si="163" ref="GA9:GA15">C9*0.31957/100</f>
        <v>0</v>
      </c>
      <c r="GB9" s="78">
        <f t="shared" si="115"/>
        <v>0</v>
      </c>
      <c r="GC9" s="78">
        <f t="shared" si="116"/>
        <v>0</v>
      </c>
      <c r="GD9" s="79">
        <f t="shared" si="117"/>
        <v>0</v>
      </c>
      <c r="GE9" s="77">
        <f t="shared" si="118"/>
        <v>0</v>
      </c>
      <c r="GF9" s="79"/>
      <c r="GG9" s="78">
        <f aca="true" t="shared" si="164" ref="GG9:GG15">C9*0.50748/100</f>
        <v>0</v>
      </c>
      <c r="GH9" s="78">
        <f t="shared" si="119"/>
        <v>0</v>
      </c>
      <c r="GI9" s="78">
        <f t="shared" si="120"/>
        <v>0</v>
      </c>
      <c r="GJ9" s="79">
        <f t="shared" si="121"/>
        <v>0</v>
      </c>
      <c r="GK9" s="77">
        <f t="shared" si="122"/>
        <v>0</v>
      </c>
      <c r="GL9" s="79"/>
      <c r="GM9" s="78">
        <f aca="true" t="shared" si="165" ref="GM9:GM15">C9*2.35189/100</f>
        <v>0</v>
      </c>
      <c r="GN9" s="78">
        <f t="shared" si="123"/>
        <v>0</v>
      </c>
      <c r="GO9" s="78">
        <f t="shared" si="124"/>
        <v>0</v>
      </c>
      <c r="GP9" s="79">
        <f t="shared" si="125"/>
        <v>0</v>
      </c>
      <c r="GQ9" s="77">
        <f t="shared" si="126"/>
        <v>0</v>
      </c>
      <c r="GR9" s="79"/>
      <c r="GS9" s="78">
        <f aca="true" t="shared" si="166" ref="GS9:GS15">C9*0.12482/100</f>
        <v>0</v>
      </c>
      <c r="GT9" s="78">
        <f t="shared" si="127"/>
        <v>0</v>
      </c>
      <c r="GU9" s="78">
        <f t="shared" si="128"/>
        <v>0</v>
      </c>
      <c r="GV9" s="79">
        <f t="shared" si="129"/>
        <v>0</v>
      </c>
      <c r="GW9" s="77">
        <f t="shared" si="130"/>
        <v>0</v>
      </c>
      <c r="GX9" s="79"/>
      <c r="GY9" s="78">
        <f aca="true" t="shared" si="167" ref="GY9:GY15">C9*0.71564/100</f>
        <v>0</v>
      </c>
      <c r="GZ9" s="78">
        <f t="shared" si="131"/>
        <v>0</v>
      </c>
      <c r="HA9" s="78">
        <f t="shared" si="132"/>
        <v>0</v>
      </c>
      <c r="HB9" s="79">
        <f t="shared" si="133"/>
        <v>0</v>
      </c>
      <c r="HC9" s="77">
        <f t="shared" si="134"/>
        <v>0</v>
      </c>
      <c r="HD9" s="79"/>
      <c r="HE9" s="79"/>
      <c r="HF9" s="79"/>
      <c r="HG9" s="79"/>
      <c r="HH9" s="79"/>
      <c r="HI9" s="79"/>
    </row>
    <row r="10" spans="1:217" s="52" customFormat="1" ht="12.75">
      <c r="A10" s="51">
        <v>44470</v>
      </c>
      <c r="C10" s="36"/>
      <c r="D10" s="36">
        <v>528485</v>
      </c>
      <c r="E10" s="77">
        <f aca="true" t="shared" si="168" ref="E10:E15">SUM(C10:D10)</f>
        <v>528485</v>
      </c>
      <c r="F10" s="77">
        <v>564789</v>
      </c>
      <c r="G10" s="77">
        <v>87471</v>
      </c>
      <c r="H10" s="79"/>
      <c r="I10" s="79"/>
      <c r="J10" s="79">
        <f t="shared" si="0"/>
        <v>286875.34576149995</v>
      </c>
      <c r="K10" s="79">
        <f t="shared" si="1"/>
        <v>286875.34576149995</v>
      </c>
      <c r="L10" s="79">
        <f t="shared" si="2"/>
        <v>306582.09723510005</v>
      </c>
      <c r="M10" s="79">
        <f t="shared" si="2"/>
        <v>47481.52429889999</v>
      </c>
      <c r="N10" s="79"/>
      <c r="O10" s="78"/>
      <c r="P10" s="78">
        <f t="shared" si="3"/>
        <v>34956.746022</v>
      </c>
      <c r="Q10" s="79">
        <f t="shared" si="4"/>
        <v>34956.746022</v>
      </c>
      <c r="R10" s="79">
        <f t="shared" si="5"/>
        <v>37358.0813628</v>
      </c>
      <c r="S10" s="77">
        <f t="shared" si="6"/>
        <v>5785.7867892</v>
      </c>
      <c r="T10" s="79"/>
      <c r="U10" s="78"/>
      <c r="V10" s="78">
        <f t="shared" si="7"/>
        <v>596.976656</v>
      </c>
      <c r="W10" s="78">
        <f t="shared" si="8"/>
        <v>596.976656</v>
      </c>
      <c r="X10" s="79">
        <f t="shared" si="9"/>
        <v>637.9856543999999</v>
      </c>
      <c r="Y10" s="77">
        <f t="shared" si="10"/>
        <v>98.8072416</v>
      </c>
      <c r="Z10" s="79"/>
      <c r="AA10" s="79"/>
      <c r="AB10" s="78">
        <f t="shared" si="11"/>
        <v>2694.956409</v>
      </c>
      <c r="AC10" s="78">
        <f t="shared" si="12"/>
        <v>2694.956409</v>
      </c>
      <c r="AD10" s="79">
        <f t="shared" si="13"/>
        <v>2880.0850265999998</v>
      </c>
      <c r="AE10" s="77">
        <f t="shared" si="14"/>
        <v>446.0496174</v>
      </c>
      <c r="AF10" s="79"/>
      <c r="AG10" s="78"/>
      <c r="AH10" s="78">
        <f t="shared" si="15"/>
        <v>46865.8912545</v>
      </c>
      <c r="AI10" s="78">
        <f t="shared" si="16"/>
        <v>46865.8912545</v>
      </c>
      <c r="AJ10" s="79">
        <f t="shared" si="17"/>
        <v>50085.3190833</v>
      </c>
      <c r="AK10" s="77">
        <f t="shared" si="18"/>
        <v>7756.9020387</v>
      </c>
      <c r="AL10" s="79"/>
      <c r="AM10" s="78"/>
      <c r="AN10" s="78">
        <f t="shared" si="19"/>
        <v>567.6985870000001</v>
      </c>
      <c r="AO10" s="78">
        <f t="shared" si="20"/>
        <v>567.6985870000001</v>
      </c>
      <c r="AP10" s="79">
        <f t="shared" si="21"/>
        <v>606.6963438</v>
      </c>
      <c r="AQ10" s="77">
        <f t="shared" si="22"/>
        <v>93.9613482</v>
      </c>
      <c r="AR10" s="78"/>
      <c r="AS10" s="78"/>
      <c r="AT10" s="78">
        <f t="shared" si="23"/>
        <v>478.7545615000001</v>
      </c>
      <c r="AU10" s="78">
        <f t="shared" si="24"/>
        <v>478.7545615000001</v>
      </c>
      <c r="AV10" s="79">
        <f t="shared" si="25"/>
        <v>511.6423551</v>
      </c>
      <c r="AW10" s="77">
        <f t="shared" si="26"/>
        <v>79.2399789</v>
      </c>
      <c r="AX10" s="79"/>
      <c r="AY10" s="78"/>
      <c r="AZ10" s="78">
        <f t="shared" si="27"/>
        <v>19642.096298</v>
      </c>
      <c r="BA10" s="78">
        <f t="shared" si="28"/>
        <v>19642.096298</v>
      </c>
      <c r="BB10" s="79">
        <f t="shared" si="29"/>
        <v>20991.3998052</v>
      </c>
      <c r="BC10" s="77">
        <f t="shared" si="30"/>
        <v>3251.0171628</v>
      </c>
      <c r="BD10" s="79"/>
      <c r="BE10" s="78"/>
      <c r="BF10" s="78">
        <f t="shared" si="31"/>
        <v>40303.4816155</v>
      </c>
      <c r="BG10" s="78">
        <f t="shared" si="32"/>
        <v>40303.4816155</v>
      </c>
      <c r="BH10" s="79">
        <f t="shared" si="33"/>
        <v>43072.1081547</v>
      </c>
      <c r="BI10" s="77">
        <f t="shared" si="34"/>
        <v>6670.7396433</v>
      </c>
      <c r="BJ10" s="79"/>
      <c r="BK10" s="78"/>
      <c r="BL10" s="78">
        <f t="shared" si="35"/>
        <v>465.2781939999999</v>
      </c>
      <c r="BM10" s="78">
        <f t="shared" si="36"/>
        <v>465.2781939999999</v>
      </c>
      <c r="BN10" s="79">
        <f t="shared" si="37"/>
        <v>497.2402356</v>
      </c>
      <c r="BO10" s="77">
        <f t="shared" si="38"/>
        <v>77.0094684</v>
      </c>
      <c r="BP10" s="79"/>
      <c r="BQ10" s="78"/>
      <c r="BR10" s="78">
        <f t="shared" si="39"/>
        <v>312.546029</v>
      </c>
      <c r="BS10" s="78">
        <f t="shared" si="40"/>
        <v>312.546029</v>
      </c>
      <c r="BT10" s="79">
        <f t="shared" si="41"/>
        <v>334.01621459999996</v>
      </c>
      <c r="BU10" s="77">
        <f t="shared" si="42"/>
        <v>51.730349399999994</v>
      </c>
      <c r="BV10" s="79"/>
      <c r="BW10" s="78"/>
      <c r="BX10" s="78">
        <f t="shared" si="43"/>
        <v>-46.5595285</v>
      </c>
      <c r="BY10" s="78">
        <f t="shared" si="44"/>
        <v>-46.5595285</v>
      </c>
      <c r="BZ10" s="79">
        <f t="shared" si="45"/>
        <v>-49.7579109</v>
      </c>
      <c r="CA10" s="77">
        <f t="shared" si="46"/>
        <v>-7.7061951</v>
      </c>
      <c r="CB10" s="78"/>
      <c r="CC10" s="78"/>
      <c r="CD10" s="78">
        <f t="shared" si="47"/>
        <v>-30.335039000000002</v>
      </c>
      <c r="CE10" s="78">
        <f t="shared" si="48"/>
        <v>-30.335039000000002</v>
      </c>
      <c r="CF10" s="79">
        <f t="shared" si="49"/>
        <v>-32.4188886</v>
      </c>
      <c r="CG10" s="77">
        <f t="shared" si="50"/>
        <v>-5.0208354</v>
      </c>
      <c r="CH10" s="79"/>
      <c r="CI10" s="78"/>
      <c r="CJ10" s="78">
        <f t="shared" si="51"/>
        <v>1128.104081</v>
      </c>
      <c r="CK10" s="78">
        <f t="shared" si="52"/>
        <v>1128.104081</v>
      </c>
      <c r="CL10" s="79">
        <f t="shared" si="53"/>
        <v>1205.5985994</v>
      </c>
      <c r="CM10" s="77">
        <f t="shared" si="54"/>
        <v>186.7155966</v>
      </c>
      <c r="CN10" s="79"/>
      <c r="CO10" s="78"/>
      <c r="CP10" s="78">
        <f t="shared" si="55"/>
        <v>6937.422595</v>
      </c>
      <c r="CQ10" s="78">
        <f t="shared" si="56"/>
        <v>6937.422595</v>
      </c>
      <c r="CR10" s="79">
        <f t="shared" si="57"/>
        <v>7413.985203</v>
      </c>
      <c r="CS10" s="77">
        <f t="shared" si="58"/>
        <v>1148.231817</v>
      </c>
      <c r="CT10" s="79"/>
      <c r="CU10" s="78"/>
      <c r="CV10" s="78">
        <f t="shared" si="59"/>
        <v>46604.502573499994</v>
      </c>
      <c r="CW10" s="78">
        <f t="shared" si="60"/>
        <v>46604.502573499994</v>
      </c>
      <c r="CX10" s="79">
        <f t="shared" si="61"/>
        <v>49805.9744439</v>
      </c>
      <c r="CY10" s="77">
        <f t="shared" si="62"/>
        <v>7713.6388821</v>
      </c>
      <c r="CZ10" s="79"/>
      <c r="DA10" s="78"/>
      <c r="DB10" s="78">
        <f t="shared" si="63"/>
        <v>6724.020352</v>
      </c>
      <c r="DC10" s="78">
        <f t="shared" si="64"/>
        <v>6724.020352</v>
      </c>
      <c r="DD10" s="79">
        <f t="shared" si="65"/>
        <v>7185.9234048</v>
      </c>
      <c r="DE10" s="77">
        <f t="shared" si="66"/>
        <v>1112.9110272</v>
      </c>
      <c r="DF10" s="79"/>
      <c r="DG10" s="78"/>
      <c r="DH10" s="78">
        <f t="shared" si="67"/>
        <v>13739.130242000001</v>
      </c>
      <c r="DI10" s="78">
        <f t="shared" si="68"/>
        <v>13739.130242000001</v>
      </c>
      <c r="DJ10" s="79">
        <f t="shared" si="69"/>
        <v>14682.932590800001</v>
      </c>
      <c r="DK10" s="77">
        <f t="shared" si="70"/>
        <v>2274.0010812</v>
      </c>
      <c r="DL10" s="79"/>
      <c r="DM10" s="78"/>
      <c r="DN10" s="78">
        <f t="shared" si="71"/>
        <v>2228.198457</v>
      </c>
      <c r="DO10" s="78">
        <f t="shared" si="72"/>
        <v>2228.198457</v>
      </c>
      <c r="DP10" s="79">
        <f t="shared" si="73"/>
        <v>2381.2633818</v>
      </c>
      <c r="DQ10" s="77">
        <f t="shared" si="74"/>
        <v>368.7952302</v>
      </c>
      <c r="DR10" s="79"/>
      <c r="DS10" s="78"/>
      <c r="DT10" s="78">
        <f t="shared" si="75"/>
        <v>11430.179277</v>
      </c>
      <c r="DU10" s="78">
        <f t="shared" si="76"/>
        <v>11430.179277</v>
      </c>
      <c r="DV10" s="79">
        <f t="shared" si="77"/>
        <v>12215.3694498</v>
      </c>
      <c r="DW10" s="77">
        <f t="shared" si="78"/>
        <v>1891.8402822</v>
      </c>
      <c r="DX10" s="79"/>
      <c r="DY10" s="78"/>
      <c r="DZ10" s="78">
        <f t="shared" si="79"/>
        <v>102.15615050000001</v>
      </c>
      <c r="EA10" s="78">
        <f t="shared" si="80"/>
        <v>102.15615050000001</v>
      </c>
      <c r="EB10" s="79">
        <f t="shared" si="81"/>
        <v>109.17371370000001</v>
      </c>
      <c r="EC10" s="77">
        <f t="shared" si="82"/>
        <v>16.9081443</v>
      </c>
      <c r="ED10" s="79"/>
      <c r="EE10" s="78"/>
      <c r="EF10" s="78">
        <f t="shared" si="83"/>
        <v>134.446584</v>
      </c>
      <c r="EG10" s="78">
        <f t="shared" si="84"/>
        <v>134.446584</v>
      </c>
      <c r="EH10" s="79">
        <f t="shared" si="85"/>
        <v>143.6823216</v>
      </c>
      <c r="EI10" s="77">
        <f t="shared" si="86"/>
        <v>22.2526224</v>
      </c>
      <c r="EJ10" s="79"/>
      <c r="EK10" s="78"/>
      <c r="EL10" s="78">
        <f t="shared" si="87"/>
        <v>6774.4906695</v>
      </c>
      <c r="EM10" s="78">
        <f t="shared" si="88"/>
        <v>6774.4906695</v>
      </c>
      <c r="EN10" s="79">
        <f t="shared" si="89"/>
        <v>7239.860754300001</v>
      </c>
      <c r="EO10" s="77">
        <f t="shared" si="90"/>
        <v>1121.2645077</v>
      </c>
      <c r="EP10" s="79"/>
      <c r="EQ10" s="78"/>
      <c r="ER10" s="78">
        <f t="shared" si="91"/>
        <v>128.95034</v>
      </c>
      <c r="ES10" s="78">
        <f t="shared" si="92"/>
        <v>128.95034</v>
      </c>
      <c r="ET10" s="79">
        <f t="shared" si="93"/>
        <v>137.808516</v>
      </c>
      <c r="EU10" s="77">
        <f t="shared" si="94"/>
        <v>21.342924</v>
      </c>
      <c r="EV10" s="79"/>
      <c r="EW10" s="78"/>
      <c r="EX10" s="78">
        <f t="shared" si="95"/>
        <v>1926.8034615000004</v>
      </c>
      <c r="EY10" s="78">
        <f t="shared" si="96"/>
        <v>1926.8034615000004</v>
      </c>
      <c r="EZ10" s="79">
        <f t="shared" si="97"/>
        <v>2059.1642151</v>
      </c>
      <c r="FA10" s="77">
        <f t="shared" si="98"/>
        <v>318.9105189</v>
      </c>
      <c r="FB10" s="79"/>
      <c r="FC10" s="78"/>
      <c r="FD10" s="78">
        <f t="shared" si="99"/>
        <v>1338.4939595</v>
      </c>
      <c r="FE10" s="78">
        <f t="shared" si="100"/>
        <v>1338.4939595</v>
      </c>
      <c r="FF10" s="79">
        <f t="shared" si="101"/>
        <v>1430.4411003</v>
      </c>
      <c r="FG10" s="77">
        <f t="shared" si="102"/>
        <v>221.53780170000002</v>
      </c>
      <c r="FH10" s="79"/>
      <c r="FI10" s="78"/>
      <c r="FJ10" s="78">
        <f t="shared" si="103"/>
        <v>522.5131195</v>
      </c>
      <c r="FK10" s="78">
        <f t="shared" si="104"/>
        <v>522.5131195</v>
      </c>
      <c r="FL10" s="79">
        <f t="shared" si="105"/>
        <v>558.4068843</v>
      </c>
      <c r="FM10" s="77">
        <f t="shared" si="106"/>
        <v>86.4825777</v>
      </c>
      <c r="FN10" s="79"/>
      <c r="FO10" s="78"/>
      <c r="FP10" s="78">
        <f t="shared" si="107"/>
        <v>5872.049683499999</v>
      </c>
      <c r="FQ10" s="78">
        <f t="shared" si="108"/>
        <v>5872.049683499999</v>
      </c>
      <c r="FR10" s="79">
        <f t="shared" si="109"/>
        <v>6275.4270579</v>
      </c>
      <c r="FS10" s="77">
        <f t="shared" si="110"/>
        <v>971.8990281</v>
      </c>
      <c r="FT10" s="79"/>
      <c r="FU10" s="78"/>
      <c r="FV10" s="78">
        <f t="shared" si="111"/>
        <v>13234.427067</v>
      </c>
      <c r="FW10" s="78">
        <f t="shared" si="112"/>
        <v>13234.427067</v>
      </c>
      <c r="FX10" s="79">
        <f t="shared" si="113"/>
        <v>14143.559095800001</v>
      </c>
      <c r="FY10" s="77">
        <f t="shared" si="114"/>
        <v>2190.4662762000003</v>
      </c>
      <c r="FZ10" s="79"/>
      <c r="GA10" s="78"/>
      <c r="GB10" s="78">
        <f t="shared" si="115"/>
        <v>1688.8795145000001</v>
      </c>
      <c r="GC10" s="78">
        <f t="shared" si="116"/>
        <v>1688.8795145000001</v>
      </c>
      <c r="GD10" s="79">
        <f t="shared" si="117"/>
        <v>1804.8962073</v>
      </c>
      <c r="GE10" s="77">
        <f t="shared" si="118"/>
        <v>279.53107470000003</v>
      </c>
      <c r="GF10" s="79"/>
      <c r="GG10" s="78"/>
      <c r="GH10" s="78">
        <f t="shared" si="119"/>
        <v>2681.9556780000003</v>
      </c>
      <c r="GI10" s="78">
        <f t="shared" si="120"/>
        <v>2681.9556780000003</v>
      </c>
      <c r="GJ10" s="79">
        <f t="shared" si="121"/>
        <v>2866.1912172</v>
      </c>
      <c r="GK10" s="77">
        <f t="shared" si="122"/>
        <v>443.8978308</v>
      </c>
      <c r="GL10" s="79"/>
      <c r="GM10" s="78"/>
      <c r="GN10" s="78">
        <f t="shared" si="123"/>
        <v>12429.385866499999</v>
      </c>
      <c r="GO10" s="78">
        <f t="shared" si="124"/>
        <v>12429.385866499999</v>
      </c>
      <c r="GP10" s="79">
        <f t="shared" si="125"/>
        <v>13283.2160121</v>
      </c>
      <c r="GQ10" s="77">
        <f t="shared" si="126"/>
        <v>2057.2217019</v>
      </c>
      <c r="GR10" s="79"/>
      <c r="GS10" s="78"/>
      <c r="GT10" s="78">
        <f t="shared" si="127"/>
        <v>659.654977</v>
      </c>
      <c r="GU10" s="78">
        <f t="shared" si="128"/>
        <v>659.654977</v>
      </c>
      <c r="GV10" s="79">
        <f t="shared" si="129"/>
        <v>704.9696298</v>
      </c>
      <c r="GW10" s="77">
        <f t="shared" si="130"/>
        <v>109.1813022</v>
      </c>
      <c r="GX10" s="79"/>
      <c r="GY10" s="78"/>
      <c r="GZ10" s="78">
        <f t="shared" si="131"/>
        <v>3782.0500540000003</v>
      </c>
      <c r="HA10" s="78">
        <f t="shared" si="132"/>
        <v>3782.0500540000003</v>
      </c>
      <c r="HB10" s="79">
        <f t="shared" si="133"/>
        <v>4041.8559996000004</v>
      </c>
      <c r="HC10" s="77">
        <f t="shared" si="134"/>
        <v>625.9774644</v>
      </c>
      <c r="HD10" s="79"/>
      <c r="HE10" s="79"/>
      <c r="HF10" s="79"/>
      <c r="HG10" s="79"/>
      <c r="HH10" s="79"/>
      <c r="HI10" s="79"/>
    </row>
    <row r="11" spans="1:217" s="52" customFormat="1" ht="12.75">
      <c r="A11" s="51">
        <v>44652</v>
      </c>
      <c r="C11" s="36">
        <v>5095000</v>
      </c>
      <c r="D11" s="36">
        <v>438375</v>
      </c>
      <c r="E11" s="77">
        <f t="shared" si="168"/>
        <v>5533375</v>
      </c>
      <c r="F11" s="77">
        <v>564792</v>
      </c>
      <c r="G11" s="77">
        <v>87474</v>
      </c>
      <c r="H11" s="79"/>
      <c r="I11" s="79">
        <f>O11+U11+AA11+AG11+AM11+AS11+AY11+BE11+BK11+BQ11+BW11+CC11+CI11+CO11+CU11+DA11+DG11+DM11+DS11+DY11+EE11+EK11+EQ11+EW11+FC11+FI11+FO11+FU11+GA11+GG11+GM11+GS11+GY11</f>
        <v>2765697.9605000005</v>
      </c>
      <c r="J11" s="79">
        <f t="shared" si="0"/>
        <v>237961.30391249998</v>
      </c>
      <c r="K11" s="79">
        <f t="shared" si="1"/>
        <v>3003659.2644125004</v>
      </c>
      <c r="L11" s="79">
        <f t="shared" si="2"/>
        <v>306583.7257128</v>
      </c>
      <c r="M11" s="79">
        <f t="shared" si="2"/>
        <v>47483.1527766</v>
      </c>
      <c r="N11" s="79"/>
      <c r="O11" s="78">
        <f t="shared" si="135"/>
        <v>337009.794</v>
      </c>
      <c r="P11" s="78">
        <f t="shared" si="3"/>
        <v>28996.40205</v>
      </c>
      <c r="Q11" s="79">
        <f t="shared" si="4"/>
        <v>366006.19604999997</v>
      </c>
      <c r="R11" s="79">
        <f t="shared" si="5"/>
        <v>37358.2797984</v>
      </c>
      <c r="S11" s="77">
        <f t="shared" si="6"/>
        <v>5785.9852248</v>
      </c>
      <c r="T11" s="79"/>
      <c r="U11" s="78">
        <f t="shared" si="136"/>
        <v>5755.312000000001</v>
      </c>
      <c r="V11" s="78">
        <f t="shared" si="7"/>
        <v>495.18840000000006</v>
      </c>
      <c r="W11" s="78">
        <f t="shared" si="8"/>
        <v>6250.500400000001</v>
      </c>
      <c r="X11" s="79">
        <f t="shared" si="9"/>
        <v>637.9890432</v>
      </c>
      <c r="Y11" s="77">
        <f t="shared" si="10"/>
        <v>98.8106304</v>
      </c>
      <c r="Z11" s="79"/>
      <c r="AA11" s="79">
        <f t="shared" si="137"/>
        <v>25981.443</v>
      </c>
      <c r="AB11" s="78">
        <f t="shared" si="11"/>
        <v>2235.449475</v>
      </c>
      <c r="AC11" s="78">
        <f t="shared" si="12"/>
        <v>28216.892475</v>
      </c>
      <c r="AD11" s="79">
        <f t="shared" si="13"/>
        <v>2880.1003247999997</v>
      </c>
      <c r="AE11" s="77">
        <f t="shared" si="14"/>
        <v>446.06491559999995</v>
      </c>
      <c r="AF11" s="79"/>
      <c r="AG11" s="78">
        <f t="shared" si="138"/>
        <v>451823.07149999996</v>
      </c>
      <c r="AH11" s="78">
        <f t="shared" si="15"/>
        <v>38874.9634875</v>
      </c>
      <c r="AI11" s="78">
        <f t="shared" si="16"/>
        <v>490698.03498749994</v>
      </c>
      <c r="AJ11" s="79">
        <f t="shared" si="17"/>
        <v>50085.5851224</v>
      </c>
      <c r="AK11" s="77">
        <f t="shared" si="18"/>
        <v>7757.1680778</v>
      </c>
      <c r="AL11" s="79"/>
      <c r="AM11" s="78">
        <f t="shared" si="139"/>
        <v>5473.049</v>
      </c>
      <c r="AN11" s="78">
        <f t="shared" si="19"/>
        <v>470.902425</v>
      </c>
      <c r="AO11" s="78">
        <f t="shared" si="20"/>
        <v>5943.951425</v>
      </c>
      <c r="AP11" s="79">
        <f t="shared" si="21"/>
        <v>606.6995664</v>
      </c>
      <c r="AQ11" s="77">
        <f t="shared" si="22"/>
        <v>93.9645708</v>
      </c>
      <c r="AR11" s="78"/>
      <c r="AS11" s="78">
        <f t="shared" si="140"/>
        <v>4615.5605000000005</v>
      </c>
      <c r="AT11" s="78">
        <f t="shared" si="23"/>
        <v>397.1239125</v>
      </c>
      <c r="AU11" s="78">
        <f t="shared" si="24"/>
        <v>5012.684412500001</v>
      </c>
      <c r="AV11" s="79">
        <f t="shared" si="25"/>
        <v>511.6450728</v>
      </c>
      <c r="AW11" s="77">
        <f t="shared" si="26"/>
        <v>79.2426966</v>
      </c>
      <c r="AX11" s="79"/>
      <c r="AY11" s="78">
        <f t="shared" si="141"/>
        <v>189364.84600000002</v>
      </c>
      <c r="AZ11" s="78">
        <f t="shared" si="27"/>
        <v>16292.995950000002</v>
      </c>
      <c r="BA11" s="78">
        <f t="shared" si="28"/>
        <v>205657.84195000003</v>
      </c>
      <c r="BB11" s="79">
        <f t="shared" si="29"/>
        <v>20991.5113056</v>
      </c>
      <c r="BC11" s="77">
        <f t="shared" si="30"/>
        <v>3251.1286632</v>
      </c>
      <c r="BD11" s="79"/>
      <c r="BE11" s="78">
        <f t="shared" si="142"/>
        <v>388556.4185</v>
      </c>
      <c r="BF11" s="78">
        <f t="shared" si="31"/>
        <v>33431.4857625</v>
      </c>
      <c r="BG11" s="78">
        <f t="shared" si="32"/>
        <v>421987.9042625</v>
      </c>
      <c r="BH11" s="79">
        <f t="shared" si="33"/>
        <v>43072.336941600006</v>
      </c>
      <c r="BI11" s="77">
        <f t="shared" si="34"/>
        <v>6670.9684302000005</v>
      </c>
      <c r="BJ11" s="79"/>
      <c r="BK11" s="78">
        <f t="shared" si="143"/>
        <v>4485.638</v>
      </c>
      <c r="BL11" s="78">
        <f t="shared" si="35"/>
        <v>385.94534999999996</v>
      </c>
      <c r="BM11" s="78">
        <f t="shared" si="36"/>
        <v>4871.58335</v>
      </c>
      <c r="BN11" s="79">
        <f t="shared" si="37"/>
        <v>497.24287680000003</v>
      </c>
      <c r="BO11" s="77">
        <f t="shared" si="38"/>
        <v>77.0121096</v>
      </c>
      <c r="BP11" s="79"/>
      <c r="BQ11" s="78">
        <f t="shared" si="144"/>
        <v>3013.183</v>
      </c>
      <c r="BR11" s="78">
        <f t="shared" si="39"/>
        <v>259.254975</v>
      </c>
      <c r="BS11" s="78">
        <f t="shared" si="40"/>
        <v>3272.437975</v>
      </c>
      <c r="BT11" s="79">
        <f t="shared" si="41"/>
        <v>334.01798879999996</v>
      </c>
      <c r="BU11" s="77">
        <f t="shared" si="42"/>
        <v>51.732123599999994</v>
      </c>
      <c r="BV11" s="79"/>
      <c r="BW11" s="78">
        <f t="shared" si="145"/>
        <v>-448.86949999999996</v>
      </c>
      <c r="BX11" s="78">
        <f t="shared" si="43"/>
        <v>-38.6208375</v>
      </c>
      <c r="BY11" s="78">
        <f t="shared" si="44"/>
        <v>-487.49033749999995</v>
      </c>
      <c r="BZ11" s="79">
        <f t="shared" si="45"/>
        <v>-49.7581752</v>
      </c>
      <c r="CA11" s="77">
        <f t="shared" si="46"/>
        <v>-7.7064594</v>
      </c>
      <c r="CB11" s="78"/>
      <c r="CC11" s="78">
        <f t="shared" si="146"/>
        <v>-292.45300000000003</v>
      </c>
      <c r="CD11" s="78">
        <f t="shared" si="47"/>
        <v>-25.162725000000002</v>
      </c>
      <c r="CE11" s="78">
        <f t="shared" si="48"/>
        <v>-317.61572500000005</v>
      </c>
      <c r="CF11" s="79">
        <f t="shared" si="49"/>
        <v>-32.4190608</v>
      </c>
      <c r="CG11" s="77">
        <f t="shared" si="50"/>
        <v>-5.0210076</v>
      </c>
      <c r="CH11" s="79"/>
      <c r="CI11" s="78">
        <f t="shared" si="147"/>
        <v>10875.787</v>
      </c>
      <c r="CJ11" s="78">
        <f t="shared" si="51"/>
        <v>935.7552750000001</v>
      </c>
      <c r="CK11" s="78">
        <f t="shared" si="52"/>
        <v>11811.542275</v>
      </c>
      <c r="CL11" s="79">
        <f t="shared" si="53"/>
        <v>1205.6050032</v>
      </c>
      <c r="CM11" s="77">
        <f t="shared" si="54"/>
        <v>186.72200039999998</v>
      </c>
      <c r="CN11" s="79"/>
      <c r="CO11" s="78">
        <f t="shared" si="148"/>
        <v>66882.065</v>
      </c>
      <c r="CP11" s="78">
        <f t="shared" si="55"/>
        <v>5754.548625</v>
      </c>
      <c r="CQ11" s="78">
        <f t="shared" si="56"/>
        <v>72636.613625</v>
      </c>
      <c r="CR11" s="79">
        <f t="shared" si="57"/>
        <v>7414.024584</v>
      </c>
      <c r="CS11" s="77">
        <f t="shared" si="58"/>
        <v>1148.271198</v>
      </c>
      <c r="CT11" s="79"/>
      <c r="CU11" s="78">
        <f t="shared" si="149"/>
        <v>449303.08449999994</v>
      </c>
      <c r="CV11" s="78">
        <f t="shared" si="59"/>
        <v>38658.1432125</v>
      </c>
      <c r="CW11" s="78">
        <f t="shared" si="60"/>
        <v>487961.2277124999</v>
      </c>
      <c r="CX11" s="79">
        <f t="shared" si="61"/>
        <v>49806.2389992</v>
      </c>
      <c r="CY11" s="77">
        <f t="shared" si="62"/>
        <v>7713.9034374</v>
      </c>
      <c r="CZ11" s="79"/>
      <c r="DA11" s="78">
        <f t="shared" si="150"/>
        <v>64824.704</v>
      </c>
      <c r="DB11" s="78">
        <f t="shared" si="63"/>
        <v>5577.532799999999</v>
      </c>
      <c r="DC11" s="78">
        <f t="shared" si="64"/>
        <v>70402.2368</v>
      </c>
      <c r="DD11" s="79">
        <f t="shared" si="65"/>
        <v>7185.9615744</v>
      </c>
      <c r="DE11" s="77">
        <f t="shared" si="66"/>
        <v>1112.9491968</v>
      </c>
      <c r="DF11" s="79"/>
      <c r="DG11" s="78">
        <f t="shared" si="151"/>
        <v>132455.734</v>
      </c>
      <c r="DH11" s="78">
        <f t="shared" si="67"/>
        <v>11396.522550000002</v>
      </c>
      <c r="DI11" s="78">
        <f t="shared" si="68"/>
        <v>143852.25655</v>
      </c>
      <c r="DJ11" s="79">
        <f t="shared" si="69"/>
        <v>14683.0105824</v>
      </c>
      <c r="DK11" s="77">
        <f t="shared" si="70"/>
        <v>2274.0790728</v>
      </c>
      <c r="DL11" s="79"/>
      <c r="DM11" s="78">
        <f t="shared" si="152"/>
        <v>21481.539</v>
      </c>
      <c r="DN11" s="78">
        <f t="shared" si="71"/>
        <v>1848.276675</v>
      </c>
      <c r="DO11" s="78">
        <f t="shared" si="72"/>
        <v>23329.815675</v>
      </c>
      <c r="DP11" s="79">
        <f t="shared" si="73"/>
        <v>2381.2760304</v>
      </c>
      <c r="DQ11" s="77">
        <f t="shared" si="74"/>
        <v>368.80787879999997</v>
      </c>
      <c r="DR11" s="79"/>
      <c r="DS11" s="78">
        <f t="shared" si="153"/>
        <v>110195.679</v>
      </c>
      <c r="DT11" s="78">
        <f t="shared" si="75"/>
        <v>9481.262175</v>
      </c>
      <c r="DU11" s="78">
        <f t="shared" si="76"/>
        <v>119676.941175</v>
      </c>
      <c r="DV11" s="79">
        <f t="shared" si="77"/>
        <v>12215.4343344</v>
      </c>
      <c r="DW11" s="77">
        <f t="shared" si="78"/>
        <v>1891.9051668</v>
      </c>
      <c r="DX11" s="79"/>
      <c r="DY11" s="78">
        <f t="shared" si="154"/>
        <v>984.8635</v>
      </c>
      <c r="DZ11" s="78">
        <f t="shared" si="79"/>
        <v>84.7378875</v>
      </c>
      <c r="EA11" s="78">
        <f t="shared" si="80"/>
        <v>1069.6013875</v>
      </c>
      <c r="EB11" s="79">
        <f t="shared" si="81"/>
        <v>109.1742936</v>
      </c>
      <c r="EC11" s="77">
        <f t="shared" si="82"/>
        <v>16.9087242</v>
      </c>
      <c r="ED11" s="79"/>
      <c r="EE11" s="78">
        <f t="shared" si="155"/>
        <v>1296.1680000000001</v>
      </c>
      <c r="EF11" s="78">
        <f t="shared" si="83"/>
        <v>111.5226</v>
      </c>
      <c r="EG11" s="78">
        <f t="shared" si="84"/>
        <v>1407.6906000000001</v>
      </c>
      <c r="EH11" s="79">
        <f t="shared" si="85"/>
        <v>143.6830848</v>
      </c>
      <c r="EI11" s="77">
        <f t="shared" si="86"/>
        <v>22.2533856</v>
      </c>
      <c r="EJ11" s="79"/>
      <c r="EK11" s="78">
        <f t="shared" si="156"/>
        <v>65311.27650000001</v>
      </c>
      <c r="EL11" s="78">
        <f t="shared" si="87"/>
        <v>5619.3976125</v>
      </c>
      <c r="EM11" s="78">
        <f t="shared" si="88"/>
        <v>70930.67411250001</v>
      </c>
      <c r="EN11" s="79">
        <f t="shared" si="89"/>
        <v>7239.8992104</v>
      </c>
      <c r="EO11" s="77">
        <f t="shared" si="90"/>
        <v>1121.3029638</v>
      </c>
      <c r="EP11" s="79"/>
      <c r="EQ11" s="78">
        <f t="shared" si="157"/>
        <v>1243.18</v>
      </c>
      <c r="ER11" s="78">
        <f t="shared" si="91"/>
        <v>106.96350000000001</v>
      </c>
      <c r="ES11" s="78">
        <f t="shared" si="92"/>
        <v>1350.1435000000001</v>
      </c>
      <c r="ET11" s="79">
        <f t="shared" si="93"/>
        <v>137.809248</v>
      </c>
      <c r="EU11" s="77">
        <f t="shared" si="94"/>
        <v>21.343656</v>
      </c>
      <c r="EV11" s="79"/>
      <c r="EW11" s="78">
        <f t="shared" si="158"/>
        <v>18575.8605</v>
      </c>
      <c r="EX11" s="78">
        <f t="shared" si="95"/>
        <v>1598.2714125000002</v>
      </c>
      <c r="EY11" s="78">
        <f t="shared" si="96"/>
        <v>20174.1319125</v>
      </c>
      <c r="EZ11" s="79">
        <f t="shared" si="97"/>
        <v>2059.1751528</v>
      </c>
      <c r="FA11" s="77">
        <f t="shared" si="98"/>
        <v>318.9214566</v>
      </c>
      <c r="FB11" s="79"/>
      <c r="FC11" s="78">
        <f t="shared" si="159"/>
        <v>12904.1065</v>
      </c>
      <c r="FD11" s="78">
        <f t="shared" si="99"/>
        <v>1110.2723625</v>
      </c>
      <c r="FE11" s="78">
        <f t="shared" si="100"/>
        <v>14014.3788625</v>
      </c>
      <c r="FF11" s="79">
        <f t="shared" si="101"/>
        <v>1430.4486984</v>
      </c>
      <c r="FG11" s="77">
        <f t="shared" si="102"/>
        <v>221.5453998</v>
      </c>
      <c r="FH11" s="79"/>
      <c r="FI11" s="78">
        <f t="shared" si="160"/>
        <v>5037.4265000000005</v>
      </c>
      <c r="FJ11" s="78">
        <f t="shared" si="103"/>
        <v>433.42136250000004</v>
      </c>
      <c r="FK11" s="78">
        <f t="shared" si="104"/>
        <v>5470.847862500001</v>
      </c>
      <c r="FL11" s="79">
        <f t="shared" si="105"/>
        <v>558.4098504</v>
      </c>
      <c r="FM11" s="77">
        <f t="shared" si="106"/>
        <v>86.48554379999999</v>
      </c>
      <c r="FN11" s="79"/>
      <c r="FO11" s="78">
        <f t="shared" si="161"/>
        <v>56611.0545</v>
      </c>
      <c r="FP11" s="78">
        <f t="shared" si="107"/>
        <v>4870.8284625</v>
      </c>
      <c r="FQ11" s="78">
        <f t="shared" si="108"/>
        <v>61481.8829625</v>
      </c>
      <c r="FR11" s="79">
        <f t="shared" si="109"/>
        <v>6275.4603912</v>
      </c>
      <c r="FS11" s="77">
        <f t="shared" si="110"/>
        <v>971.9323614</v>
      </c>
      <c r="FT11" s="79"/>
      <c r="FU11" s="78">
        <f t="shared" si="162"/>
        <v>127590.009</v>
      </c>
      <c r="FV11" s="78">
        <f t="shared" si="111"/>
        <v>10977.874425000002</v>
      </c>
      <c r="FW11" s="78">
        <f t="shared" si="112"/>
        <v>138567.883425</v>
      </c>
      <c r="FX11" s="79">
        <f t="shared" si="113"/>
        <v>14143.6342224</v>
      </c>
      <c r="FY11" s="77">
        <f t="shared" si="114"/>
        <v>2190.5414028</v>
      </c>
      <c r="FZ11" s="79"/>
      <c r="GA11" s="78">
        <f t="shared" si="163"/>
        <v>16282.091500000002</v>
      </c>
      <c r="GB11" s="78">
        <f t="shared" si="115"/>
        <v>1400.9149875</v>
      </c>
      <c r="GC11" s="78">
        <f t="shared" si="116"/>
        <v>17683.006487500003</v>
      </c>
      <c r="GD11" s="79">
        <f t="shared" si="117"/>
        <v>1804.9057944</v>
      </c>
      <c r="GE11" s="77">
        <f t="shared" si="118"/>
        <v>279.5406618</v>
      </c>
      <c r="GF11" s="79"/>
      <c r="GG11" s="78">
        <f t="shared" si="164"/>
        <v>25856.106</v>
      </c>
      <c r="GH11" s="78">
        <f t="shared" si="119"/>
        <v>2224.66545</v>
      </c>
      <c r="GI11" s="78">
        <f t="shared" si="120"/>
        <v>28080.77145</v>
      </c>
      <c r="GJ11" s="79">
        <f t="shared" si="121"/>
        <v>2866.2064416</v>
      </c>
      <c r="GK11" s="77">
        <f t="shared" si="122"/>
        <v>443.9130552</v>
      </c>
      <c r="GL11" s="79"/>
      <c r="GM11" s="78">
        <f t="shared" si="165"/>
        <v>119828.79550000001</v>
      </c>
      <c r="GN11" s="78">
        <f t="shared" si="123"/>
        <v>10310.0977875</v>
      </c>
      <c r="GO11" s="78">
        <f t="shared" si="124"/>
        <v>130138.8932875</v>
      </c>
      <c r="GP11" s="79">
        <f t="shared" si="125"/>
        <v>13283.2865688</v>
      </c>
      <c r="GQ11" s="77">
        <f t="shared" si="126"/>
        <v>2057.2922586</v>
      </c>
      <c r="GR11" s="79"/>
      <c r="GS11" s="78">
        <f t="shared" si="166"/>
        <v>6359.579000000001</v>
      </c>
      <c r="GT11" s="78">
        <f t="shared" si="127"/>
        <v>547.179675</v>
      </c>
      <c r="GU11" s="78">
        <f t="shared" si="128"/>
        <v>6906.758675000001</v>
      </c>
      <c r="GV11" s="79">
        <f t="shared" si="129"/>
        <v>704.9733744</v>
      </c>
      <c r="GW11" s="77">
        <f t="shared" si="130"/>
        <v>109.18504680000001</v>
      </c>
      <c r="GX11" s="79"/>
      <c r="GY11" s="78">
        <f t="shared" si="167"/>
        <v>36461.858</v>
      </c>
      <c r="GZ11" s="78">
        <f t="shared" si="131"/>
        <v>3137.18685</v>
      </c>
      <c r="HA11" s="78">
        <f t="shared" si="132"/>
        <v>39599.04485</v>
      </c>
      <c r="HB11" s="79">
        <f t="shared" si="133"/>
        <v>4041.8774688000003</v>
      </c>
      <c r="HC11" s="77">
        <f t="shared" si="134"/>
        <v>625.9989336</v>
      </c>
      <c r="HD11" s="79"/>
      <c r="HE11" s="79"/>
      <c r="HF11" s="79"/>
      <c r="HG11" s="79"/>
      <c r="HH11" s="79"/>
      <c r="HI11" s="79"/>
    </row>
    <row r="12" spans="1:217" s="52" customFormat="1" ht="12.75">
      <c r="A12" s="51">
        <v>44835</v>
      </c>
      <c r="C12" s="36"/>
      <c r="D12" s="36">
        <v>311000</v>
      </c>
      <c r="E12" s="77">
        <f t="shared" si="168"/>
        <v>311000</v>
      </c>
      <c r="F12" s="77">
        <v>564792</v>
      </c>
      <c r="G12" s="77">
        <v>87474</v>
      </c>
      <c r="H12" s="79"/>
      <c r="I12" s="79"/>
      <c r="J12" s="79">
        <f t="shared" si="0"/>
        <v>168818.85489999998</v>
      </c>
      <c r="K12" s="79">
        <f t="shared" si="1"/>
        <v>168818.85489999998</v>
      </c>
      <c r="L12" s="79">
        <f t="shared" si="2"/>
        <v>306583.7257128</v>
      </c>
      <c r="M12" s="79">
        <f t="shared" si="2"/>
        <v>47483.1527766</v>
      </c>
      <c r="N12" s="79"/>
      <c r="O12" s="78"/>
      <c r="P12" s="78">
        <f t="shared" si="3"/>
        <v>20571.1572</v>
      </c>
      <c r="Q12" s="79">
        <f t="shared" si="4"/>
        <v>20571.1572</v>
      </c>
      <c r="R12" s="79">
        <f t="shared" si="5"/>
        <v>37358.2797984</v>
      </c>
      <c r="S12" s="77">
        <f t="shared" si="6"/>
        <v>5785.9852248</v>
      </c>
      <c r="T12" s="79"/>
      <c r="U12" s="78"/>
      <c r="V12" s="78">
        <f t="shared" si="7"/>
        <v>351.3056</v>
      </c>
      <c r="W12" s="78">
        <f t="shared" si="8"/>
        <v>351.3056</v>
      </c>
      <c r="X12" s="79">
        <f t="shared" si="9"/>
        <v>637.9890432</v>
      </c>
      <c r="Y12" s="77">
        <f t="shared" si="10"/>
        <v>98.8106304</v>
      </c>
      <c r="Z12" s="79"/>
      <c r="AA12" s="79"/>
      <c r="AB12" s="78">
        <f t="shared" si="11"/>
        <v>1585.9134</v>
      </c>
      <c r="AC12" s="78">
        <f t="shared" si="12"/>
        <v>1585.9134</v>
      </c>
      <c r="AD12" s="79">
        <f t="shared" si="13"/>
        <v>2880.1003247999997</v>
      </c>
      <c r="AE12" s="77">
        <f t="shared" si="14"/>
        <v>446.06491559999995</v>
      </c>
      <c r="AF12" s="79"/>
      <c r="AG12" s="78"/>
      <c r="AH12" s="78">
        <f t="shared" si="15"/>
        <v>27579.3867</v>
      </c>
      <c r="AI12" s="78">
        <f t="shared" si="16"/>
        <v>27579.3867</v>
      </c>
      <c r="AJ12" s="79">
        <f t="shared" si="17"/>
        <v>50085.5851224</v>
      </c>
      <c r="AK12" s="77">
        <f t="shared" si="18"/>
        <v>7757.1680778</v>
      </c>
      <c r="AL12" s="79"/>
      <c r="AM12" s="78"/>
      <c r="AN12" s="78">
        <f t="shared" si="19"/>
        <v>334.07620000000003</v>
      </c>
      <c r="AO12" s="78">
        <f t="shared" si="20"/>
        <v>334.07620000000003</v>
      </c>
      <c r="AP12" s="79">
        <f t="shared" si="21"/>
        <v>606.6995664</v>
      </c>
      <c r="AQ12" s="77">
        <f t="shared" si="22"/>
        <v>93.9645708</v>
      </c>
      <c r="AR12" s="78"/>
      <c r="AS12" s="78"/>
      <c r="AT12" s="78">
        <f t="shared" si="23"/>
        <v>281.73490000000004</v>
      </c>
      <c r="AU12" s="78">
        <f t="shared" si="24"/>
        <v>281.73490000000004</v>
      </c>
      <c r="AV12" s="79">
        <f t="shared" si="25"/>
        <v>511.6450728</v>
      </c>
      <c r="AW12" s="77">
        <f t="shared" si="26"/>
        <v>79.2426966</v>
      </c>
      <c r="AX12" s="79"/>
      <c r="AY12" s="78"/>
      <c r="AZ12" s="78">
        <f t="shared" si="27"/>
        <v>11558.8748</v>
      </c>
      <c r="BA12" s="78">
        <f t="shared" si="28"/>
        <v>11558.8748</v>
      </c>
      <c r="BB12" s="79">
        <f t="shared" si="29"/>
        <v>20991.5113056</v>
      </c>
      <c r="BC12" s="77">
        <f t="shared" si="30"/>
        <v>3251.1286632</v>
      </c>
      <c r="BD12" s="79"/>
      <c r="BE12" s="78"/>
      <c r="BF12" s="78">
        <f t="shared" si="31"/>
        <v>23717.575299999997</v>
      </c>
      <c r="BG12" s="78">
        <f t="shared" si="32"/>
        <v>23717.575299999997</v>
      </c>
      <c r="BH12" s="79">
        <f t="shared" si="33"/>
        <v>43072.336941600006</v>
      </c>
      <c r="BI12" s="77">
        <f t="shared" si="34"/>
        <v>6670.9684302000005</v>
      </c>
      <c r="BJ12" s="79"/>
      <c r="BK12" s="78"/>
      <c r="BL12" s="78">
        <f t="shared" si="35"/>
        <v>273.8044</v>
      </c>
      <c r="BM12" s="78">
        <f t="shared" si="36"/>
        <v>273.8044</v>
      </c>
      <c r="BN12" s="79">
        <f t="shared" si="37"/>
        <v>497.24287680000003</v>
      </c>
      <c r="BO12" s="77">
        <f t="shared" si="38"/>
        <v>77.0121096</v>
      </c>
      <c r="BP12" s="79"/>
      <c r="BQ12" s="78"/>
      <c r="BR12" s="78">
        <f t="shared" si="39"/>
        <v>183.9254</v>
      </c>
      <c r="BS12" s="78">
        <f t="shared" si="40"/>
        <v>183.9254</v>
      </c>
      <c r="BT12" s="79">
        <f t="shared" si="41"/>
        <v>334.01798879999996</v>
      </c>
      <c r="BU12" s="77">
        <f t="shared" si="42"/>
        <v>51.732123599999994</v>
      </c>
      <c r="BV12" s="79"/>
      <c r="BW12" s="78"/>
      <c r="BX12" s="78">
        <f t="shared" si="43"/>
        <v>-27.399099999999997</v>
      </c>
      <c r="BY12" s="78">
        <f t="shared" si="44"/>
        <v>-27.399099999999997</v>
      </c>
      <c r="BZ12" s="79">
        <f t="shared" si="45"/>
        <v>-49.7581752</v>
      </c>
      <c r="CA12" s="77">
        <f t="shared" si="46"/>
        <v>-7.7064594</v>
      </c>
      <c r="CB12" s="78"/>
      <c r="CC12" s="78"/>
      <c r="CD12" s="78">
        <f t="shared" si="47"/>
        <v>-17.8514</v>
      </c>
      <c r="CE12" s="78">
        <f t="shared" si="48"/>
        <v>-17.8514</v>
      </c>
      <c r="CF12" s="79">
        <f t="shared" si="49"/>
        <v>-32.4190608</v>
      </c>
      <c r="CG12" s="77">
        <f t="shared" si="50"/>
        <v>-5.0210076</v>
      </c>
      <c r="CH12" s="79"/>
      <c r="CI12" s="78"/>
      <c r="CJ12" s="78">
        <f t="shared" si="51"/>
        <v>663.8606</v>
      </c>
      <c r="CK12" s="78">
        <f t="shared" si="52"/>
        <v>663.8606</v>
      </c>
      <c r="CL12" s="79">
        <f t="shared" si="53"/>
        <v>1205.6050032</v>
      </c>
      <c r="CM12" s="77">
        <f t="shared" si="54"/>
        <v>186.72200039999998</v>
      </c>
      <c r="CN12" s="79"/>
      <c r="CO12" s="78"/>
      <c r="CP12" s="78">
        <f t="shared" si="55"/>
        <v>4082.4970000000003</v>
      </c>
      <c r="CQ12" s="78">
        <f t="shared" si="56"/>
        <v>4082.4970000000003</v>
      </c>
      <c r="CR12" s="79">
        <f t="shared" si="57"/>
        <v>7414.024584</v>
      </c>
      <c r="CS12" s="77">
        <f t="shared" si="58"/>
        <v>1148.271198</v>
      </c>
      <c r="CT12" s="79"/>
      <c r="CU12" s="78"/>
      <c r="CV12" s="78">
        <f t="shared" si="59"/>
        <v>27425.5661</v>
      </c>
      <c r="CW12" s="78">
        <f t="shared" si="60"/>
        <v>27425.5661</v>
      </c>
      <c r="CX12" s="79">
        <f t="shared" si="61"/>
        <v>49806.2389992</v>
      </c>
      <c r="CY12" s="77">
        <f t="shared" si="62"/>
        <v>7713.9034374</v>
      </c>
      <c r="CZ12" s="79"/>
      <c r="DA12" s="78"/>
      <c r="DB12" s="78">
        <f t="shared" si="63"/>
        <v>3956.9151999999995</v>
      </c>
      <c r="DC12" s="78">
        <f t="shared" si="64"/>
        <v>3956.9151999999995</v>
      </c>
      <c r="DD12" s="79">
        <f t="shared" si="65"/>
        <v>7185.9615744</v>
      </c>
      <c r="DE12" s="77">
        <f t="shared" si="66"/>
        <v>1112.9491968</v>
      </c>
      <c r="DF12" s="79"/>
      <c r="DG12" s="78"/>
      <c r="DH12" s="78">
        <f t="shared" si="67"/>
        <v>8085.1292</v>
      </c>
      <c r="DI12" s="78">
        <f t="shared" si="68"/>
        <v>8085.1292</v>
      </c>
      <c r="DJ12" s="79">
        <f t="shared" si="69"/>
        <v>14683.0105824</v>
      </c>
      <c r="DK12" s="77">
        <f t="shared" si="70"/>
        <v>2274.0790728</v>
      </c>
      <c r="DL12" s="79"/>
      <c r="DM12" s="78"/>
      <c r="DN12" s="78">
        <f t="shared" si="71"/>
        <v>1311.2382</v>
      </c>
      <c r="DO12" s="78">
        <f t="shared" si="72"/>
        <v>1311.2382</v>
      </c>
      <c r="DP12" s="79">
        <f t="shared" si="73"/>
        <v>2381.2760304</v>
      </c>
      <c r="DQ12" s="77">
        <f t="shared" si="74"/>
        <v>368.80787879999997</v>
      </c>
      <c r="DR12" s="79"/>
      <c r="DS12" s="78"/>
      <c r="DT12" s="78">
        <f t="shared" si="75"/>
        <v>6726.3702</v>
      </c>
      <c r="DU12" s="78">
        <f t="shared" si="76"/>
        <v>6726.3702</v>
      </c>
      <c r="DV12" s="79">
        <f t="shared" si="77"/>
        <v>12215.4343344</v>
      </c>
      <c r="DW12" s="77">
        <f t="shared" si="78"/>
        <v>1891.9051668</v>
      </c>
      <c r="DX12" s="79"/>
      <c r="DY12" s="78"/>
      <c r="DZ12" s="78">
        <f t="shared" si="79"/>
        <v>60.1163</v>
      </c>
      <c r="EA12" s="78">
        <f t="shared" si="80"/>
        <v>60.1163</v>
      </c>
      <c r="EB12" s="79">
        <f t="shared" si="81"/>
        <v>109.1742936</v>
      </c>
      <c r="EC12" s="77">
        <f t="shared" si="82"/>
        <v>16.9087242</v>
      </c>
      <c r="ED12" s="79"/>
      <c r="EE12" s="78"/>
      <c r="EF12" s="78">
        <f t="shared" si="83"/>
        <v>79.11840000000001</v>
      </c>
      <c r="EG12" s="78">
        <f t="shared" si="84"/>
        <v>79.11840000000001</v>
      </c>
      <c r="EH12" s="79">
        <f t="shared" si="85"/>
        <v>143.6830848</v>
      </c>
      <c r="EI12" s="77">
        <f t="shared" si="86"/>
        <v>22.2533856</v>
      </c>
      <c r="EJ12" s="79"/>
      <c r="EK12" s="78"/>
      <c r="EL12" s="78">
        <f t="shared" si="87"/>
        <v>3986.6157000000003</v>
      </c>
      <c r="EM12" s="78">
        <f t="shared" si="88"/>
        <v>3986.6157000000003</v>
      </c>
      <c r="EN12" s="79">
        <f t="shared" si="89"/>
        <v>7239.8992104</v>
      </c>
      <c r="EO12" s="77">
        <f t="shared" si="90"/>
        <v>1121.3029638</v>
      </c>
      <c r="EP12" s="79"/>
      <c r="EQ12" s="78"/>
      <c r="ER12" s="78">
        <f t="shared" si="91"/>
        <v>75.884</v>
      </c>
      <c r="ES12" s="78">
        <f t="shared" si="92"/>
        <v>75.884</v>
      </c>
      <c r="ET12" s="79">
        <f t="shared" si="93"/>
        <v>137.809248</v>
      </c>
      <c r="EU12" s="77">
        <f t="shared" si="94"/>
        <v>21.343656</v>
      </c>
      <c r="EV12" s="79"/>
      <c r="EW12" s="78"/>
      <c r="EX12" s="78">
        <f t="shared" si="95"/>
        <v>1133.8749</v>
      </c>
      <c r="EY12" s="78">
        <f t="shared" si="96"/>
        <v>1133.8749</v>
      </c>
      <c r="EZ12" s="79">
        <f t="shared" si="97"/>
        <v>2059.1751528</v>
      </c>
      <c r="FA12" s="77">
        <f t="shared" si="98"/>
        <v>318.9214566</v>
      </c>
      <c r="FB12" s="79"/>
      <c r="FC12" s="78"/>
      <c r="FD12" s="78">
        <f t="shared" si="99"/>
        <v>787.6697</v>
      </c>
      <c r="FE12" s="78">
        <f t="shared" si="100"/>
        <v>787.6697</v>
      </c>
      <c r="FF12" s="79">
        <f t="shared" si="101"/>
        <v>1430.4486984</v>
      </c>
      <c r="FG12" s="77">
        <f t="shared" si="102"/>
        <v>221.5453998</v>
      </c>
      <c r="FH12" s="79"/>
      <c r="FI12" s="78"/>
      <c r="FJ12" s="78">
        <f t="shared" si="103"/>
        <v>307.4857</v>
      </c>
      <c r="FK12" s="78">
        <f t="shared" si="104"/>
        <v>307.4857</v>
      </c>
      <c r="FL12" s="79">
        <f t="shared" si="105"/>
        <v>558.4098504</v>
      </c>
      <c r="FM12" s="77">
        <f t="shared" si="106"/>
        <v>86.48554379999999</v>
      </c>
      <c r="FN12" s="79"/>
      <c r="FO12" s="78"/>
      <c r="FP12" s="78">
        <f t="shared" si="107"/>
        <v>3455.5521000000003</v>
      </c>
      <c r="FQ12" s="78">
        <f t="shared" si="108"/>
        <v>3455.5521000000003</v>
      </c>
      <c r="FR12" s="79">
        <f t="shared" si="109"/>
        <v>6275.4603912</v>
      </c>
      <c r="FS12" s="77">
        <f t="shared" si="110"/>
        <v>971.9323614</v>
      </c>
      <c r="FT12" s="79"/>
      <c r="FU12" s="78"/>
      <c r="FV12" s="78">
        <f t="shared" si="111"/>
        <v>7788.1242</v>
      </c>
      <c r="FW12" s="78">
        <f t="shared" si="112"/>
        <v>7788.1242</v>
      </c>
      <c r="FX12" s="79">
        <f t="shared" si="113"/>
        <v>14143.6342224</v>
      </c>
      <c r="FY12" s="77">
        <f t="shared" si="114"/>
        <v>2190.5414028</v>
      </c>
      <c r="FZ12" s="79"/>
      <c r="GA12" s="78"/>
      <c r="GB12" s="78">
        <f t="shared" si="115"/>
        <v>993.8627</v>
      </c>
      <c r="GC12" s="78">
        <f t="shared" si="116"/>
        <v>993.8627</v>
      </c>
      <c r="GD12" s="79">
        <f t="shared" si="117"/>
        <v>1804.9057944</v>
      </c>
      <c r="GE12" s="77">
        <f t="shared" si="118"/>
        <v>279.5406618</v>
      </c>
      <c r="GF12" s="79"/>
      <c r="GG12" s="78"/>
      <c r="GH12" s="78">
        <f t="shared" si="119"/>
        <v>1578.2628</v>
      </c>
      <c r="GI12" s="78">
        <f t="shared" si="120"/>
        <v>1578.2628</v>
      </c>
      <c r="GJ12" s="79">
        <f t="shared" si="121"/>
        <v>2866.2064416</v>
      </c>
      <c r="GK12" s="77">
        <f t="shared" si="122"/>
        <v>443.9130552</v>
      </c>
      <c r="GL12" s="79"/>
      <c r="GM12" s="78"/>
      <c r="GN12" s="78">
        <f t="shared" si="123"/>
        <v>7314.3779</v>
      </c>
      <c r="GO12" s="78">
        <f t="shared" si="124"/>
        <v>7314.3779</v>
      </c>
      <c r="GP12" s="79">
        <f t="shared" si="125"/>
        <v>13283.2865688</v>
      </c>
      <c r="GQ12" s="77">
        <f t="shared" si="126"/>
        <v>2057.2922586</v>
      </c>
      <c r="GR12" s="79"/>
      <c r="GS12" s="78"/>
      <c r="GT12" s="78">
        <f t="shared" si="127"/>
        <v>388.19019999999995</v>
      </c>
      <c r="GU12" s="78">
        <f t="shared" si="128"/>
        <v>388.19019999999995</v>
      </c>
      <c r="GV12" s="79">
        <f t="shared" si="129"/>
        <v>704.9733744</v>
      </c>
      <c r="GW12" s="77">
        <f t="shared" si="130"/>
        <v>109.18504680000001</v>
      </c>
      <c r="GX12" s="79"/>
      <c r="GY12" s="78"/>
      <c r="GZ12" s="78">
        <f t="shared" si="131"/>
        <v>2225.6404</v>
      </c>
      <c r="HA12" s="78">
        <f t="shared" si="132"/>
        <v>2225.6404</v>
      </c>
      <c r="HB12" s="79">
        <f t="shared" si="133"/>
        <v>4041.8774688000003</v>
      </c>
      <c r="HC12" s="77">
        <f t="shared" si="134"/>
        <v>625.9989336</v>
      </c>
      <c r="HD12" s="79"/>
      <c r="HE12" s="79"/>
      <c r="HF12" s="79"/>
      <c r="HG12" s="79"/>
      <c r="HH12" s="79"/>
      <c r="HI12" s="79"/>
    </row>
    <row r="13" spans="1:217" s="52" customFormat="1" ht="12.75">
      <c r="A13" s="51">
        <v>45017</v>
      </c>
      <c r="C13" s="36">
        <v>5470000</v>
      </c>
      <c r="D13" s="36">
        <v>311000</v>
      </c>
      <c r="E13" s="77">
        <f t="shared" si="168"/>
        <v>5781000</v>
      </c>
      <c r="F13" s="77">
        <v>564792</v>
      </c>
      <c r="G13" s="77">
        <v>87474</v>
      </c>
      <c r="H13" s="79"/>
      <c r="I13" s="79">
        <f>O13+U13+AA13+AG13+AM13+AS13+AY13+BE13+BK13+BQ13+BW13+CC13+CI13+CO13+CU13+DA13+DG13+DM13+DS13+DY13+EE13+EK13+EQ13+EW13+FC13+FI13+FO13+FU13+GA13+GG13+GM13+GS13+GY13</f>
        <v>2969257.6729999995</v>
      </c>
      <c r="J13" s="79">
        <f t="shared" si="0"/>
        <v>168818.85489999998</v>
      </c>
      <c r="K13" s="79">
        <f t="shared" si="1"/>
        <v>3138076.5278999996</v>
      </c>
      <c r="L13" s="79">
        <f t="shared" si="2"/>
        <v>306583.7257128</v>
      </c>
      <c r="M13" s="79">
        <f t="shared" si="2"/>
        <v>47483.1527766</v>
      </c>
      <c r="N13" s="79"/>
      <c r="O13" s="78">
        <f t="shared" si="135"/>
        <v>361814.244</v>
      </c>
      <c r="P13" s="78">
        <f t="shared" si="3"/>
        <v>20571.1572</v>
      </c>
      <c r="Q13" s="79">
        <f t="shared" si="4"/>
        <v>382385.4012</v>
      </c>
      <c r="R13" s="79">
        <f t="shared" si="5"/>
        <v>37358.2797984</v>
      </c>
      <c r="S13" s="77">
        <f t="shared" si="6"/>
        <v>5785.9852248</v>
      </c>
      <c r="T13" s="79"/>
      <c r="U13" s="78">
        <f t="shared" si="136"/>
        <v>6178.912</v>
      </c>
      <c r="V13" s="78">
        <f t="shared" si="7"/>
        <v>351.3056</v>
      </c>
      <c r="W13" s="78">
        <f t="shared" si="8"/>
        <v>6530.2176</v>
      </c>
      <c r="X13" s="79">
        <f t="shared" si="9"/>
        <v>637.9890432</v>
      </c>
      <c r="Y13" s="77">
        <f t="shared" si="10"/>
        <v>98.8106304</v>
      </c>
      <c r="Z13" s="79"/>
      <c r="AA13" s="79">
        <f t="shared" si="137"/>
        <v>27893.717999999997</v>
      </c>
      <c r="AB13" s="78">
        <f t="shared" si="11"/>
        <v>1585.9134</v>
      </c>
      <c r="AC13" s="78">
        <f t="shared" si="12"/>
        <v>29479.6314</v>
      </c>
      <c r="AD13" s="79">
        <f t="shared" si="13"/>
        <v>2880.1003247999997</v>
      </c>
      <c r="AE13" s="77">
        <f t="shared" si="14"/>
        <v>446.06491559999995</v>
      </c>
      <c r="AF13" s="79"/>
      <c r="AG13" s="78">
        <f t="shared" si="138"/>
        <v>485077.959</v>
      </c>
      <c r="AH13" s="78">
        <f t="shared" si="15"/>
        <v>27579.3867</v>
      </c>
      <c r="AI13" s="78">
        <f t="shared" si="16"/>
        <v>512657.34569999995</v>
      </c>
      <c r="AJ13" s="79">
        <f t="shared" si="17"/>
        <v>50085.5851224</v>
      </c>
      <c r="AK13" s="77">
        <f t="shared" si="18"/>
        <v>7757.1680778</v>
      </c>
      <c r="AL13" s="79"/>
      <c r="AM13" s="78">
        <f t="shared" si="139"/>
        <v>5875.874</v>
      </c>
      <c r="AN13" s="78">
        <f t="shared" si="19"/>
        <v>334.07620000000003</v>
      </c>
      <c r="AO13" s="78">
        <f t="shared" si="20"/>
        <v>6209.9502</v>
      </c>
      <c r="AP13" s="79">
        <f t="shared" si="21"/>
        <v>606.6995664</v>
      </c>
      <c r="AQ13" s="77">
        <f t="shared" si="22"/>
        <v>93.9645708</v>
      </c>
      <c r="AR13" s="78"/>
      <c r="AS13" s="78">
        <f t="shared" si="140"/>
        <v>4955.273</v>
      </c>
      <c r="AT13" s="78">
        <f t="shared" si="23"/>
        <v>281.73490000000004</v>
      </c>
      <c r="AU13" s="78">
        <f t="shared" si="24"/>
        <v>5237.0079000000005</v>
      </c>
      <c r="AV13" s="79">
        <f t="shared" si="25"/>
        <v>511.6450728</v>
      </c>
      <c r="AW13" s="77">
        <f t="shared" si="26"/>
        <v>79.2426966</v>
      </c>
      <c r="AX13" s="79"/>
      <c r="AY13" s="78">
        <f t="shared" si="141"/>
        <v>203302.396</v>
      </c>
      <c r="AZ13" s="78">
        <f t="shared" si="27"/>
        <v>11558.8748</v>
      </c>
      <c r="BA13" s="78">
        <f t="shared" si="28"/>
        <v>214861.2708</v>
      </c>
      <c r="BB13" s="79">
        <f t="shared" si="29"/>
        <v>20991.5113056</v>
      </c>
      <c r="BC13" s="77">
        <f t="shared" si="30"/>
        <v>3251.1286632</v>
      </c>
      <c r="BD13" s="79"/>
      <c r="BE13" s="78">
        <f t="shared" si="142"/>
        <v>417154.781</v>
      </c>
      <c r="BF13" s="78">
        <f t="shared" si="31"/>
        <v>23717.575299999997</v>
      </c>
      <c r="BG13" s="78">
        <f t="shared" si="32"/>
        <v>440872.3563</v>
      </c>
      <c r="BH13" s="79">
        <f t="shared" si="33"/>
        <v>43072.336941600006</v>
      </c>
      <c r="BI13" s="77">
        <f t="shared" si="34"/>
        <v>6670.9684302000005</v>
      </c>
      <c r="BJ13" s="79"/>
      <c r="BK13" s="78">
        <f t="shared" si="143"/>
        <v>4815.788</v>
      </c>
      <c r="BL13" s="78">
        <f t="shared" si="35"/>
        <v>273.8044</v>
      </c>
      <c r="BM13" s="78">
        <f t="shared" si="36"/>
        <v>5089.5923999999995</v>
      </c>
      <c r="BN13" s="79">
        <f t="shared" si="37"/>
        <v>497.24287680000003</v>
      </c>
      <c r="BO13" s="77">
        <f t="shared" si="38"/>
        <v>77.0121096</v>
      </c>
      <c r="BP13" s="79"/>
      <c r="BQ13" s="78">
        <f t="shared" si="144"/>
        <v>3234.958</v>
      </c>
      <c r="BR13" s="78">
        <f t="shared" si="39"/>
        <v>183.9254</v>
      </c>
      <c r="BS13" s="78">
        <f t="shared" si="40"/>
        <v>3418.8834</v>
      </c>
      <c r="BT13" s="79">
        <f t="shared" si="41"/>
        <v>334.01798879999996</v>
      </c>
      <c r="BU13" s="77">
        <f t="shared" si="42"/>
        <v>51.732123599999994</v>
      </c>
      <c r="BV13" s="79"/>
      <c r="BW13" s="78">
        <f t="shared" si="145"/>
        <v>-481.907</v>
      </c>
      <c r="BX13" s="78">
        <f t="shared" si="43"/>
        <v>-27.399099999999997</v>
      </c>
      <c r="BY13" s="78">
        <f t="shared" si="44"/>
        <v>-509.30609999999996</v>
      </c>
      <c r="BZ13" s="79">
        <f t="shared" si="45"/>
        <v>-49.7581752</v>
      </c>
      <c r="CA13" s="77">
        <f t="shared" si="46"/>
        <v>-7.7064594</v>
      </c>
      <c r="CB13" s="78"/>
      <c r="CC13" s="78">
        <f t="shared" si="146"/>
        <v>-313.978</v>
      </c>
      <c r="CD13" s="78">
        <f t="shared" si="47"/>
        <v>-17.8514</v>
      </c>
      <c r="CE13" s="78">
        <f t="shared" si="48"/>
        <v>-331.8294</v>
      </c>
      <c r="CF13" s="79">
        <f t="shared" si="49"/>
        <v>-32.4190608</v>
      </c>
      <c r="CG13" s="77">
        <f t="shared" si="50"/>
        <v>-5.0210076</v>
      </c>
      <c r="CH13" s="79"/>
      <c r="CI13" s="78">
        <f t="shared" si="147"/>
        <v>11676.261999999999</v>
      </c>
      <c r="CJ13" s="78">
        <f t="shared" si="51"/>
        <v>663.8606</v>
      </c>
      <c r="CK13" s="78">
        <f t="shared" si="52"/>
        <v>12340.122599999999</v>
      </c>
      <c r="CL13" s="79">
        <f t="shared" si="53"/>
        <v>1205.6050032</v>
      </c>
      <c r="CM13" s="77">
        <f t="shared" si="54"/>
        <v>186.72200039999998</v>
      </c>
      <c r="CN13" s="79"/>
      <c r="CO13" s="78">
        <f t="shared" si="148"/>
        <v>71804.69</v>
      </c>
      <c r="CP13" s="78">
        <f t="shared" si="55"/>
        <v>4082.4970000000003</v>
      </c>
      <c r="CQ13" s="78">
        <f t="shared" si="56"/>
        <v>75887.187</v>
      </c>
      <c r="CR13" s="79">
        <f t="shared" si="57"/>
        <v>7414.024584</v>
      </c>
      <c r="CS13" s="77">
        <f t="shared" si="58"/>
        <v>1148.271198</v>
      </c>
      <c r="CT13" s="79"/>
      <c r="CU13" s="78">
        <f t="shared" si="149"/>
        <v>482372.497</v>
      </c>
      <c r="CV13" s="78">
        <f t="shared" si="59"/>
        <v>27425.5661</v>
      </c>
      <c r="CW13" s="78">
        <f t="shared" si="60"/>
        <v>509798.06309999997</v>
      </c>
      <c r="CX13" s="79">
        <f t="shared" si="61"/>
        <v>49806.2389992</v>
      </c>
      <c r="CY13" s="77">
        <f t="shared" si="62"/>
        <v>7713.9034374</v>
      </c>
      <c r="CZ13" s="79"/>
      <c r="DA13" s="78">
        <f t="shared" si="150"/>
        <v>69595.904</v>
      </c>
      <c r="DB13" s="78">
        <f t="shared" si="63"/>
        <v>3956.9151999999995</v>
      </c>
      <c r="DC13" s="78">
        <f t="shared" si="64"/>
        <v>73552.8192</v>
      </c>
      <c r="DD13" s="79">
        <f t="shared" si="65"/>
        <v>7185.9615744</v>
      </c>
      <c r="DE13" s="77">
        <f t="shared" si="66"/>
        <v>1112.9491968</v>
      </c>
      <c r="DF13" s="79"/>
      <c r="DG13" s="78">
        <f t="shared" si="151"/>
        <v>142204.684</v>
      </c>
      <c r="DH13" s="78">
        <f t="shared" si="67"/>
        <v>8085.1292</v>
      </c>
      <c r="DI13" s="78">
        <f t="shared" si="68"/>
        <v>150289.8132</v>
      </c>
      <c r="DJ13" s="79">
        <f t="shared" si="69"/>
        <v>14683.0105824</v>
      </c>
      <c r="DK13" s="77">
        <f t="shared" si="70"/>
        <v>2274.0790728</v>
      </c>
      <c r="DL13" s="79"/>
      <c r="DM13" s="78">
        <f t="shared" si="152"/>
        <v>23062.613999999998</v>
      </c>
      <c r="DN13" s="78">
        <f t="shared" si="71"/>
        <v>1311.2382</v>
      </c>
      <c r="DO13" s="78">
        <f t="shared" si="72"/>
        <v>24373.852199999998</v>
      </c>
      <c r="DP13" s="79">
        <f t="shared" si="73"/>
        <v>2381.2760304</v>
      </c>
      <c r="DQ13" s="77">
        <f t="shared" si="74"/>
        <v>368.80787879999997</v>
      </c>
      <c r="DR13" s="79"/>
      <c r="DS13" s="78">
        <f t="shared" si="153"/>
        <v>118306.254</v>
      </c>
      <c r="DT13" s="78">
        <f t="shared" si="75"/>
        <v>6726.3702</v>
      </c>
      <c r="DU13" s="78">
        <f t="shared" si="76"/>
        <v>125032.6242</v>
      </c>
      <c r="DV13" s="79">
        <f t="shared" si="77"/>
        <v>12215.4343344</v>
      </c>
      <c r="DW13" s="77">
        <f t="shared" si="78"/>
        <v>1891.9051668</v>
      </c>
      <c r="DX13" s="79"/>
      <c r="DY13" s="78">
        <f t="shared" si="154"/>
        <v>1057.351</v>
      </c>
      <c r="DZ13" s="78">
        <f t="shared" si="79"/>
        <v>60.1163</v>
      </c>
      <c r="EA13" s="78">
        <f t="shared" si="80"/>
        <v>1117.4673</v>
      </c>
      <c r="EB13" s="79">
        <f t="shared" si="81"/>
        <v>109.1742936</v>
      </c>
      <c r="EC13" s="77">
        <f t="shared" si="82"/>
        <v>16.9087242</v>
      </c>
      <c r="ED13" s="79"/>
      <c r="EE13" s="78">
        <f t="shared" si="155"/>
        <v>1391.5680000000002</v>
      </c>
      <c r="EF13" s="78">
        <f t="shared" si="83"/>
        <v>79.11840000000001</v>
      </c>
      <c r="EG13" s="78">
        <f t="shared" si="84"/>
        <v>1470.6864000000003</v>
      </c>
      <c r="EH13" s="79">
        <f t="shared" si="85"/>
        <v>143.6830848</v>
      </c>
      <c r="EI13" s="77">
        <f t="shared" si="86"/>
        <v>22.2533856</v>
      </c>
      <c r="EJ13" s="79"/>
      <c r="EK13" s="78">
        <f t="shared" si="156"/>
        <v>70118.289</v>
      </c>
      <c r="EL13" s="78">
        <f t="shared" si="87"/>
        <v>3986.6157000000003</v>
      </c>
      <c r="EM13" s="78">
        <f t="shared" si="88"/>
        <v>74104.9047</v>
      </c>
      <c r="EN13" s="79">
        <f t="shared" si="89"/>
        <v>7239.8992104</v>
      </c>
      <c r="EO13" s="77">
        <f t="shared" si="90"/>
        <v>1121.3029638</v>
      </c>
      <c r="EP13" s="79"/>
      <c r="EQ13" s="78">
        <f t="shared" si="157"/>
        <v>1334.68</v>
      </c>
      <c r="ER13" s="78">
        <f t="shared" si="91"/>
        <v>75.884</v>
      </c>
      <c r="ES13" s="78">
        <f t="shared" si="92"/>
        <v>1410.564</v>
      </c>
      <c r="ET13" s="79">
        <f t="shared" si="93"/>
        <v>137.809248</v>
      </c>
      <c r="EU13" s="77">
        <f t="shared" si="94"/>
        <v>21.343656</v>
      </c>
      <c r="EV13" s="79"/>
      <c r="EW13" s="78">
        <f t="shared" si="158"/>
        <v>19943.073</v>
      </c>
      <c r="EX13" s="78">
        <f t="shared" si="95"/>
        <v>1133.8749</v>
      </c>
      <c r="EY13" s="78">
        <f t="shared" si="96"/>
        <v>21076.9479</v>
      </c>
      <c r="EZ13" s="79">
        <f t="shared" si="97"/>
        <v>2059.1751528</v>
      </c>
      <c r="FA13" s="77">
        <f t="shared" si="98"/>
        <v>318.9214566</v>
      </c>
      <c r="FB13" s="79"/>
      <c r="FC13" s="78">
        <f t="shared" si="159"/>
        <v>13853.868999999999</v>
      </c>
      <c r="FD13" s="78">
        <f t="shared" si="99"/>
        <v>787.6697</v>
      </c>
      <c r="FE13" s="78">
        <f t="shared" si="100"/>
        <v>14641.5387</v>
      </c>
      <c r="FF13" s="79">
        <f t="shared" si="101"/>
        <v>1430.4486984</v>
      </c>
      <c r="FG13" s="77">
        <f t="shared" si="102"/>
        <v>221.5453998</v>
      </c>
      <c r="FH13" s="79"/>
      <c r="FI13" s="78">
        <f t="shared" si="160"/>
        <v>5408.189</v>
      </c>
      <c r="FJ13" s="78">
        <f t="shared" si="103"/>
        <v>307.4857</v>
      </c>
      <c r="FK13" s="78">
        <f t="shared" si="104"/>
        <v>5715.6747000000005</v>
      </c>
      <c r="FL13" s="79">
        <f t="shared" si="105"/>
        <v>558.4098504</v>
      </c>
      <c r="FM13" s="77">
        <f t="shared" si="106"/>
        <v>86.48554379999999</v>
      </c>
      <c r="FN13" s="79"/>
      <c r="FO13" s="78">
        <f t="shared" si="161"/>
        <v>60777.717000000004</v>
      </c>
      <c r="FP13" s="78">
        <f t="shared" si="107"/>
        <v>3455.5521000000003</v>
      </c>
      <c r="FQ13" s="78">
        <f t="shared" si="108"/>
        <v>64233.269100000005</v>
      </c>
      <c r="FR13" s="79">
        <f t="shared" si="109"/>
        <v>6275.4603912</v>
      </c>
      <c r="FS13" s="77">
        <f t="shared" si="110"/>
        <v>971.9323614</v>
      </c>
      <c r="FT13" s="79"/>
      <c r="FU13" s="78">
        <f t="shared" si="162"/>
        <v>136980.834</v>
      </c>
      <c r="FV13" s="78">
        <f t="shared" si="111"/>
        <v>7788.1242</v>
      </c>
      <c r="FW13" s="78">
        <f t="shared" si="112"/>
        <v>144768.9582</v>
      </c>
      <c r="FX13" s="79">
        <f t="shared" si="113"/>
        <v>14143.6342224</v>
      </c>
      <c r="FY13" s="77">
        <f t="shared" si="114"/>
        <v>2190.5414028</v>
      </c>
      <c r="FZ13" s="79"/>
      <c r="GA13" s="78">
        <f t="shared" si="163"/>
        <v>17480.479000000003</v>
      </c>
      <c r="GB13" s="78">
        <f t="shared" si="115"/>
        <v>993.8627</v>
      </c>
      <c r="GC13" s="78">
        <f t="shared" si="116"/>
        <v>18474.341700000004</v>
      </c>
      <c r="GD13" s="79">
        <f t="shared" si="117"/>
        <v>1804.9057944</v>
      </c>
      <c r="GE13" s="77">
        <f t="shared" si="118"/>
        <v>279.5406618</v>
      </c>
      <c r="GF13" s="79"/>
      <c r="GG13" s="78">
        <f t="shared" si="164"/>
        <v>27759.156000000003</v>
      </c>
      <c r="GH13" s="78">
        <f t="shared" si="119"/>
        <v>1578.2628</v>
      </c>
      <c r="GI13" s="78">
        <f t="shared" si="120"/>
        <v>29337.418800000003</v>
      </c>
      <c r="GJ13" s="79">
        <f t="shared" si="121"/>
        <v>2866.2064416</v>
      </c>
      <c r="GK13" s="77">
        <f t="shared" si="122"/>
        <v>443.9130552</v>
      </c>
      <c r="GL13" s="79"/>
      <c r="GM13" s="78">
        <f t="shared" si="165"/>
        <v>128648.383</v>
      </c>
      <c r="GN13" s="78">
        <f t="shared" si="123"/>
        <v>7314.3779</v>
      </c>
      <c r="GO13" s="78">
        <f t="shared" si="124"/>
        <v>135962.7609</v>
      </c>
      <c r="GP13" s="79">
        <f t="shared" si="125"/>
        <v>13283.2865688</v>
      </c>
      <c r="GQ13" s="77">
        <f t="shared" si="126"/>
        <v>2057.2922586</v>
      </c>
      <c r="GR13" s="79"/>
      <c r="GS13" s="78">
        <f t="shared" si="166"/>
        <v>6827.654</v>
      </c>
      <c r="GT13" s="78">
        <f t="shared" si="127"/>
        <v>388.19019999999995</v>
      </c>
      <c r="GU13" s="78">
        <f t="shared" si="128"/>
        <v>7215.8442000000005</v>
      </c>
      <c r="GV13" s="79">
        <f t="shared" si="129"/>
        <v>704.9733744</v>
      </c>
      <c r="GW13" s="77">
        <f t="shared" si="130"/>
        <v>109.18504680000001</v>
      </c>
      <c r="GX13" s="79"/>
      <c r="GY13" s="78">
        <f t="shared" si="167"/>
        <v>39145.508</v>
      </c>
      <c r="GZ13" s="78">
        <f t="shared" si="131"/>
        <v>2225.6404</v>
      </c>
      <c r="HA13" s="78">
        <f t="shared" si="132"/>
        <v>41371.148400000005</v>
      </c>
      <c r="HB13" s="79">
        <f t="shared" si="133"/>
        <v>4041.8774688000003</v>
      </c>
      <c r="HC13" s="77">
        <f t="shared" si="134"/>
        <v>625.9989336</v>
      </c>
      <c r="HD13" s="79"/>
      <c r="HE13" s="79"/>
      <c r="HF13" s="79"/>
      <c r="HG13" s="79"/>
      <c r="HH13" s="79"/>
      <c r="HI13" s="79"/>
    </row>
    <row r="14" spans="1:217" s="52" customFormat="1" ht="12.75">
      <c r="A14" s="51">
        <v>45200</v>
      </c>
      <c r="C14" s="36"/>
      <c r="D14" s="36">
        <v>174250</v>
      </c>
      <c r="E14" s="77">
        <f t="shared" si="168"/>
        <v>174250</v>
      </c>
      <c r="F14" s="77">
        <v>564792</v>
      </c>
      <c r="G14" s="77">
        <v>87474</v>
      </c>
      <c r="H14" s="79"/>
      <c r="I14" s="79"/>
      <c r="J14" s="79">
        <f t="shared" si="0"/>
        <v>94587.41307500002</v>
      </c>
      <c r="K14" s="79">
        <f t="shared" si="1"/>
        <v>94587.41307500002</v>
      </c>
      <c r="L14" s="79">
        <f t="shared" si="2"/>
        <v>306583.7257128</v>
      </c>
      <c r="M14" s="79">
        <f t="shared" si="2"/>
        <v>47483.1527766</v>
      </c>
      <c r="N14" s="79"/>
      <c r="O14" s="78"/>
      <c r="P14" s="78">
        <f t="shared" si="3"/>
        <v>11525.801099999999</v>
      </c>
      <c r="Q14" s="79">
        <f t="shared" si="4"/>
        <v>11525.801099999999</v>
      </c>
      <c r="R14" s="79">
        <f t="shared" si="5"/>
        <v>37358.2797984</v>
      </c>
      <c r="S14" s="77">
        <f t="shared" si="6"/>
        <v>5785.9852248</v>
      </c>
      <c r="T14" s="79"/>
      <c r="U14" s="78"/>
      <c r="V14" s="78">
        <f t="shared" si="7"/>
        <v>196.83280000000002</v>
      </c>
      <c r="W14" s="78">
        <f t="shared" si="8"/>
        <v>196.83280000000002</v>
      </c>
      <c r="X14" s="79">
        <f t="shared" si="9"/>
        <v>637.9890432</v>
      </c>
      <c r="Y14" s="77">
        <f t="shared" si="10"/>
        <v>98.8106304</v>
      </c>
      <c r="Z14" s="79"/>
      <c r="AA14" s="79"/>
      <c r="AB14" s="78">
        <f t="shared" si="11"/>
        <v>888.5704499999999</v>
      </c>
      <c r="AC14" s="78">
        <f t="shared" si="12"/>
        <v>888.5704499999999</v>
      </c>
      <c r="AD14" s="79">
        <f t="shared" si="13"/>
        <v>2880.1003247999997</v>
      </c>
      <c r="AE14" s="77">
        <f t="shared" si="14"/>
        <v>446.06491559999995</v>
      </c>
      <c r="AF14" s="79"/>
      <c r="AG14" s="78"/>
      <c r="AH14" s="78">
        <f t="shared" si="15"/>
        <v>15452.437725</v>
      </c>
      <c r="AI14" s="78">
        <f t="shared" si="16"/>
        <v>15452.437725</v>
      </c>
      <c r="AJ14" s="79">
        <f t="shared" si="17"/>
        <v>50085.5851224</v>
      </c>
      <c r="AK14" s="77">
        <f t="shared" si="18"/>
        <v>7757.1680778</v>
      </c>
      <c r="AL14" s="79"/>
      <c r="AM14" s="78"/>
      <c r="AN14" s="78">
        <f t="shared" si="19"/>
        <v>187.17935</v>
      </c>
      <c r="AO14" s="78">
        <f t="shared" si="20"/>
        <v>187.17935</v>
      </c>
      <c r="AP14" s="79">
        <f t="shared" si="21"/>
        <v>606.6995664</v>
      </c>
      <c r="AQ14" s="77">
        <f t="shared" si="22"/>
        <v>93.9645708</v>
      </c>
      <c r="AR14" s="78"/>
      <c r="AS14" s="78"/>
      <c r="AT14" s="78">
        <f t="shared" si="23"/>
        <v>157.85307500000002</v>
      </c>
      <c r="AU14" s="78">
        <f t="shared" si="24"/>
        <v>157.85307500000002</v>
      </c>
      <c r="AV14" s="79">
        <f t="shared" si="25"/>
        <v>511.6450728</v>
      </c>
      <c r="AW14" s="77">
        <f t="shared" si="26"/>
        <v>79.2426966</v>
      </c>
      <c r="AX14" s="79"/>
      <c r="AY14" s="78"/>
      <c r="AZ14" s="78">
        <f t="shared" si="27"/>
        <v>6476.3149</v>
      </c>
      <c r="BA14" s="78">
        <f t="shared" si="28"/>
        <v>6476.3149</v>
      </c>
      <c r="BB14" s="79">
        <f t="shared" si="29"/>
        <v>20991.5113056</v>
      </c>
      <c r="BC14" s="77">
        <f t="shared" si="30"/>
        <v>3251.1286632</v>
      </c>
      <c r="BD14" s="79"/>
      <c r="BE14" s="78"/>
      <c r="BF14" s="78">
        <f t="shared" si="31"/>
        <v>13288.705774999999</v>
      </c>
      <c r="BG14" s="78">
        <f t="shared" si="32"/>
        <v>13288.705774999999</v>
      </c>
      <c r="BH14" s="79">
        <f t="shared" si="33"/>
        <v>43072.336941600006</v>
      </c>
      <c r="BI14" s="77">
        <f t="shared" si="34"/>
        <v>6670.9684302000005</v>
      </c>
      <c r="BJ14" s="79"/>
      <c r="BK14" s="78"/>
      <c r="BL14" s="78">
        <f t="shared" si="35"/>
        <v>153.4097</v>
      </c>
      <c r="BM14" s="78">
        <f t="shared" si="36"/>
        <v>153.4097</v>
      </c>
      <c r="BN14" s="79">
        <f t="shared" si="37"/>
        <v>497.24287680000003</v>
      </c>
      <c r="BO14" s="77">
        <f t="shared" si="38"/>
        <v>77.0121096</v>
      </c>
      <c r="BP14" s="79"/>
      <c r="BQ14" s="78"/>
      <c r="BR14" s="78">
        <f t="shared" si="39"/>
        <v>103.05145</v>
      </c>
      <c r="BS14" s="78">
        <f t="shared" si="40"/>
        <v>103.05145</v>
      </c>
      <c r="BT14" s="79">
        <f t="shared" si="41"/>
        <v>334.01798879999996</v>
      </c>
      <c r="BU14" s="77">
        <f t="shared" si="42"/>
        <v>51.732123599999994</v>
      </c>
      <c r="BV14" s="79"/>
      <c r="BW14" s="78"/>
      <c r="BX14" s="78">
        <f t="shared" si="43"/>
        <v>-15.351424999999999</v>
      </c>
      <c r="BY14" s="78">
        <f t="shared" si="44"/>
        <v>-15.351424999999999</v>
      </c>
      <c r="BZ14" s="79">
        <f t="shared" si="45"/>
        <v>-49.7581752</v>
      </c>
      <c r="CA14" s="77">
        <f t="shared" si="46"/>
        <v>-7.7064594</v>
      </c>
      <c r="CB14" s="78"/>
      <c r="CC14" s="78"/>
      <c r="CD14" s="78">
        <f t="shared" si="47"/>
        <v>-10.00195</v>
      </c>
      <c r="CE14" s="78">
        <f t="shared" si="48"/>
        <v>-10.00195</v>
      </c>
      <c r="CF14" s="79">
        <f t="shared" si="49"/>
        <v>-32.4190608</v>
      </c>
      <c r="CG14" s="77">
        <f t="shared" si="50"/>
        <v>-5.0210076</v>
      </c>
      <c r="CH14" s="79"/>
      <c r="CI14" s="78"/>
      <c r="CJ14" s="78">
        <f t="shared" si="51"/>
        <v>371.95405</v>
      </c>
      <c r="CK14" s="78">
        <f t="shared" si="52"/>
        <v>371.95405</v>
      </c>
      <c r="CL14" s="79">
        <f t="shared" si="53"/>
        <v>1205.6050032</v>
      </c>
      <c r="CM14" s="77">
        <f t="shared" si="54"/>
        <v>186.72200039999998</v>
      </c>
      <c r="CN14" s="79"/>
      <c r="CO14" s="78"/>
      <c r="CP14" s="78">
        <f t="shared" si="55"/>
        <v>2287.37975</v>
      </c>
      <c r="CQ14" s="78">
        <f t="shared" si="56"/>
        <v>2287.37975</v>
      </c>
      <c r="CR14" s="79">
        <f t="shared" si="57"/>
        <v>7414.024584</v>
      </c>
      <c r="CS14" s="77">
        <f t="shared" si="58"/>
        <v>1148.271198</v>
      </c>
      <c r="CT14" s="79"/>
      <c r="CU14" s="78"/>
      <c r="CV14" s="78">
        <f t="shared" si="59"/>
        <v>15366.253675</v>
      </c>
      <c r="CW14" s="78">
        <f t="shared" si="60"/>
        <v>15366.253675</v>
      </c>
      <c r="CX14" s="79">
        <f t="shared" si="61"/>
        <v>49806.2389992</v>
      </c>
      <c r="CY14" s="77">
        <f t="shared" si="62"/>
        <v>7713.9034374</v>
      </c>
      <c r="CZ14" s="79"/>
      <c r="DA14" s="78"/>
      <c r="DB14" s="78">
        <f t="shared" si="63"/>
        <v>2217.0175999999997</v>
      </c>
      <c r="DC14" s="78">
        <f t="shared" si="64"/>
        <v>2217.0175999999997</v>
      </c>
      <c r="DD14" s="79">
        <f t="shared" si="65"/>
        <v>7185.9615744</v>
      </c>
      <c r="DE14" s="77">
        <f t="shared" si="66"/>
        <v>1112.9491968</v>
      </c>
      <c r="DF14" s="79"/>
      <c r="DG14" s="78"/>
      <c r="DH14" s="78">
        <f t="shared" si="67"/>
        <v>4530.0121</v>
      </c>
      <c r="DI14" s="78">
        <f t="shared" si="68"/>
        <v>4530.0121</v>
      </c>
      <c r="DJ14" s="79">
        <f t="shared" si="69"/>
        <v>14683.0105824</v>
      </c>
      <c r="DK14" s="77">
        <f t="shared" si="70"/>
        <v>2274.0790728</v>
      </c>
      <c r="DL14" s="79"/>
      <c r="DM14" s="78"/>
      <c r="DN14" s="78">
        <f t="shared" si="71"/>
        <v>734.67285</v>
      </c>
      <c r="DO14" s="78">
        <f t="shared" si="72"/>
        <v>734.67285</v>
      </c>
      <c r="DP14" s="79">
        <f t="shared" si="73"/>
        <v>2381.2760304</v>
      </c>
      <c r="DQ14" s="77">
        <f t="shared" si="74"/>
        <v>368.80787879999997</v>
      </c>
      <c r="DR14" s="79"/>
      <c r="DS14" s="78"/>
      <c r="DT14" s="78">
        <f t="shared" si="75"/>
        <v>3768.71385</v>
      </c>
      <c r="DU14" s="78">
        <f t="shared" si="76"/>
        <v>3768.71385</v>
      </c>
      <c r="DV14" s="79">
        <f t="shared" si="77"/>
        <v>12215.4343344</v>
      </c>
      <c r="DW14" s="77">
        <f t="shared" si="78"/>
        <v>1891.9051668</v>
      </c>
      <c r="DX14" s="79"/>
      <c r="DY14" s="78"/>
      <c r="DZ14" s="78">
        <f t="shared" si="79"/>
        <v>33.682525</v>
      </c>
      <c r="EA14" s="78">
        <f t="shared" si="80"/>
        <v>33.682525</v>
      </c>
      <c r="EB14" s="79">
        <f t="shared" si="81"/>
        <v>109.1742936</v>
      </c>
      <c r="EC14" s="77">
        <f t="shared" si="82"/>
        <v>16.9087242</v>
      </c>
      <c r="ED14" s="79"/>
      <c r="EE14" s="78"/>
      <c r="EF14" s="78">
        <f t="shared" si="83"/>
        <v>44.3292</v>
      </c>
      <c r="EG14" s="78">
        <f t="shared" si="84"/>
        <v>44.3292</v>
      </c>
      <c r="EH14" s="79">
        <f t="shared" si="85"/>
        <v>143.6830848</v>
      </c>
      <c r="EI14" s="77">
        <f t="shared" si="86"/>
        <v>22.2533856</v>
      </c>
      <c r="EJ14" s="79"/>
      <c r="EK14" s="78"/>
      <c r="EL14" s="78">
        <f t="shared" si="87"/>
        <v>2233.658475</v>
      </c>
      <c r="EM14" s="78">
        <f t="shared" si="88"/>
        <v>2233.658475</v>
      </c>
      <c r="EN14" s="79">
        <f t="shared" si="89"/>
        <v>7239.8992104</v>
      </c>
      <c r="EO14" s="77">
        <f t="shared" si="90"/>
        <v>1121.3029638</v>
      </c>
      <c r="EP14" s="79"/>
      <c r="EQ14" s="78"/>
      <c r="ER14" s="78">
        <f t="shared" si="91"/>
        <v>42.516999999999996</v>
      </c>
      <c r="ES14" s="78">
        <f t="shared" si="92"/>
        <v>42.516999999999996</v>
      </c>
      <c r="ET14" s="79">
        <f t="shared" si="93"/>
        <v>137.809248</v>
      </c>
      <c r="EU14" s="77">
        <f t="shared" si="94"/>
        <v>21.343656</v>
      </c>
      <c r="EV14" s="79"/>
      <c r="EW14" s="78"/>
      <c r="EX14" s="78">
        <f t="shared" si="95"/>
        <v>635.298075</v>
      </c>
      <c r="EY14" s="78">
        <f t="shared" si="96"/>
        <v>635.298075</v>
      </c>
      <c r="EZ14" s="79">
        <f t="shared" si="97"/>
        <v>2059.1751528</v>
      </c>
      <c r="FA14" s="77">
        <f t="shared" si="98"/>
        <v>318.9214566</v>
      </c>
      <c r="FB14" s="79"/>
      <c r="FC14" s="78"/>
      <c r="FD14" s="78">
        <f t="shared" si="99"/>
        <v>441.322975</v>
      </c>
      <c r="FE14" s="78">
        <f t="shared" si="100"/>
        <v>441.322975</v>
      </c>
      <c r="FF14" s="79">
        <f t="shared" si="101"/>
        <v>1430.4486984</v>
      </c>
      <c r="FG14" s="77">
        <f t="shared" si="102"/>
        <v>221.5453998</v>
      </c>
      <c r="FH14" s="79"/>
      <c r="FI14" s="78"/>
      <c r="FJ14" s="78">
        <f t="shared" si="103"/>
        <v>172.280975</v>
      </c>
      <c r="FK14" s="78">
        <f t="shared" si="104"/>
        <v>172.280975</v>
      </c>
      <c r="FL14" s="79">
        <f t="shared" si="105"/>
        <v>558.4098504</v>
      </c>
      <c r="FM14" s="77">
        <f t="shared" si="106"/>
        <v>86.48554379999999</v>
      </c>
      <c r="FN14" s="79"/>
      <c r="FO14" s="78"/>
      <c r="FP14" s="78">
        <f t="shared" si="107"/>
        <v>1936.109175</v>
      </c>
      <c r="FQ14" s="78">
        <f t="shared" si="108"/>
        <v>1936.109175</v>
      </c>
      <c r="FR14" s="79">
        <f t="shared" si="109"/>
        <v>6275.4603912</v>
      </c>
      <c r="FS14" s="77">
        <f t="shared" si="110"/>
        <v>971.9323614</v>
      </c>
      <c r="FT14" s="79"/>
      <c r="FU14" s="78"/>
      <c r="FV14" s="78">
        <f t="shared" si="111"/>
        <v>4363.60335</v>
      </c>
      <c r="FW14" s="78">
        <f t="shared" si="112"/>
        <v>4363.60335</v>
      </c>
      <c r="FX14" s="79">
        <f t="shared" si="113"/>
        <v>14143.6342224</v>
      </c>
      <c r="FY14" s="77">
        <f t="shared" si="114"/>
        <v>2190.5414028</v>
      </c>
      <c r="FZ14" s="79"/>
      <c r="GA14" s="78"/>
      <c r="GB14" s="78">
        <f t="shared" si="115"/>
        <v>556.850725</v>
      </c>
      <c r="GC14" s="78">
        <f t="shared" si="116"/>
        <v>556.850725</v>
      </c>
      <c r="GD14" s="79">
        <f t="shared" si="117"/>
        <v>1804.9057944</v>
      </c>
      <c r="GE14" s="77">
        <f t="shared" si="118"/>
        <v>279.5406618</v>
      </c>
      <c r="GF14" s="79"/>
      <c r="GG14" s="78"/>
      <c r="GH14" s="78">
        <f t="shared" si="119"/>
        <v>884.2839000000001</v>
      </c>
      <c r="GI14" s="78">
        <f t="shared" si="120"/>
        <v>884.2839000000001</v>
      </c>
      <c r="GJ14" s="79">
        <f t="shared" si="121"/>
        <v>2866.2064416</v>
      </c>
      <c r="GK14" s="77">
        <f t="shared" si="122"/>
        <v>443.9130552</v>
      </c>
      <c r="GL14" s="79"/>
      <c r="GM14" s="78"/>
      <c r="GN14" s="78">
        <f t="shared" si="123"/>
        <v>4098.168325000001</v>
      </c>
      <c r="GO14" s="78">
        <f t="shared" si="124"/>
        <v>4098.168325000001</v>
      </c>
      <c r="GP14" s="79">
        <f t="shared" si="125"/>
        <v>13283.2865688</v>
      </c>
      <c r="GQ14" s="77">
        <f t="shared" si="126"/>
        <v>2057.2922586</v>
      </c>
      <c r="GR14" s="79"/>
      <c r="GS14" s="78"/>
      <c r="GT14" s="78">
        <f t="shared" si="127"/>
        <v>217.49884999999998</v>
      </c>
      <c r="GU14" s="78">
        <f t="shared" si="128"/>
        <v>217.49884999999998</v>
      </c>
      <c r="GV14" s="79">
        <f t="shared" si="129"/>
        <v>704.9733744</v>
      </c>
      <c r="GW14" s="77">
        <f t="shared" si="130"/>
        <v>109.18504680000001</v>
      </c>
      <c r="GX14" s="79"/>
      <c r="GY14" s="78"/>
      <c r="GZ14" s="78">
        <f t="shared" si="131"/>
        <v>1247.0027</v>
      </c>
      <c r="HA14" s="78">
        <f t="shared" si="132"/>
        <v>1247.0027</v>
      </c>
      <c r="HB14" s="79">
        <f t="shared" si="133"/>
        <v>4041.8774688000003</v>
      </c>
      <c r="HC14" s="77">
        <f t="shared" si="134"/>
        <v>625.9989336</v>
      </c>
      <c r="HD14" s="79"/>
      <c r="HE14" s="79"/>
      <c r="HF14" s="79"/>
      <c r="HG14" s="79"/>
      <c r="HH14" s="79"/>
      <c r="HI14" s="79"/>
    </row>
    <row r="15" spans="1:217" s="52" customFormat="1" ht="12.75">
      <c r="A15" s="51">
        <v>45383</v>
      </c>
      <c r="C15" s="36">
        <v>6970000</v>
      </c>
      <c r="D15" s="36">
        <v>174250</v>
      </c>
      <c r="E15" s="77">
        <f t="shared" si="168"/>
        <v>7144250</v>
      </c>
      <c r="F15" s="77">
        <v>564792</v>
      </c>
      <c r="G15" s="77">
        <v>87474</v>
      </c>
      <c r="H15" s="79"/>
      <c r="I15" s="79">
        <f>O15+U15+AA15+AG15+AM15+AS15+AY15+BE15+BK15+BQ15+BW15+CC15+CI15+CO15+CU15+DA15+DG15+DM15+DS15+DY15+EE15+EK15+EQ15+EW15+FC15+FI15+FO15+FU15+GA15+GG15+GM15+GS15+GY15</f>
        <v>3783496.5230000005</v>
      </c>
      <c r="J15" s="79">
        <f t="shared" si="0"/>
        <v>94587.41307500002</v>
      </c>
      <c r="K15" s="79">
        <f t="shared" si="1"/>
        <v>3878083.9360750006</v>
      </c>
      <c r="L15" s="79">
        <f t="shared" si="2"/>
        <v>306583.7257128</v>
      </c>
      <c r="M15" s="79">
        <f t="shared" si="2"/>
        <v>47483.1527766</v>
      </c>
      <c r="N15" s="79"/>
      <c r="O15" s="78">
        <f t="shared" si="135"/>
        <v>461032.044</v>
      </c>
      <c r="P15" s="78">
        <f t="shared" si="3"/>
        <v>11525.801099999999</v>
      </c>
      <c r="Q15" s="79">
        <f>O15+P15</f>
        <v>472557.8451</v>
      </c>
      <c r="R15" s="79">
        <f t="shared" si="5"/>
        <v>37358.2797984</v>
      </c>
      <c r="S15" s="77">
        <f t="shared" si="6"/>
        <v>5785.9852248</v>
      </c>
      <c r="T15" s="79"/>
      <c r="U15" s="78">
        <f t="shared" si="136"/>
        <v>7873.312000000001</v>
      </c>
      <c r="V15" s="78">
        <f t="shared" si="7"/>
        <v>196.83280000000002</v>
      </c>
      <c r="W15" s="78">
        <f t="shared" si="8"/>
        <v>8070.144800000001</v>
      </c>
      <c r="X15" s="79">
        <f t="shared" si="9"/>
        <v>637.9890432</v>
      </c>
      <c r="Y15" s="77">
        <f t="shared" si="10"/>
        <v>98.8106304</v>
      </c>
      <c r="Z15" s="79"/>
      <c r="AA15" s="79">
        <f t="shared" si="137"/>
        <v>35542.818</v>
      </c>
      <c r="AB15" s="78">
        <f t="shared" si="11"/>
        <v>888.5704499999999</v>
      </c>
      <c r="AC15" s="78">
        <f t="shared" si="12"/>
        <v>36431.38845</v>
      </c>
      <c r="AD15" s="79">
        <f t="shared" si="13"/>
        <v>2880.1003247999997</v>
      </c>
      <c r="AE15" s="77">
        <f t="shared" si="14"/>
        <v>446.06491559999995</v>
      </c>
      <c r="AF15" s="79"/>
      <c r="AG15" s="78">
        <f t="shared" si="138"/>
        <v>618097.509</v>
      </c>
      <c r="AH15" s="78">
        <f t="shared" si="15"/>
        <v>15452.437725</v>
      </c>
      <c r="AI15" s="78">
        <f t="shared" si="16"/>
        <v>633549.9467249999</v>
      </c>
      <c r="AJ15" s="79">
        <f t="shared" si="17"/>
        <v>50085.5851224</v>
      </c>
      <c r="AK15" s="77">
        <f t="shared" si="18"/>
        <v>7757.1680778</v>
      </c>
      <c r="AL15" s="79"/>
      <c r="AM15" s="78">
        <f t="shared" si="139"/>
        <v>7487.174</v>
      </c>
      <c r="AN15" s="78">
        <f t="shared" si="19"/>
        <v>187.17935</v>
      </c>
      <c r="AO15" s="78">
        <f t="shared" si="20"/>
        <v>7674.35335</v>
      </c>
      <c r="AP15" s="79">
        <f t="shared" si="21"/>
        <v>606.6995664</v>
      </c>
      <c r="AQ15" s="77">
        <f t="shared" si="22"/>
        <v>93.9645708</v>
      </c>
      <c r="AR15" s="78"/>
      <c r="AS15" s="78">
        <f t="shared" si="140"/>
        <v>6314.1230000000005</v>
      </c>
      <c r="AT15" s="78">
        <f t="shared" si="23"/>
        <v>157.85307500000002</v>
      </c>
      <c r="AU15" s="78">
        <f t="shared" si="24"/>
        <v>6471.9760750000005</v>
      </c>
      <c r="AV15" s="79">
        <f t="shared" si="25"/>
        <v>511.6450728</v>
      </c>
      <c r="AW15" s="77">
        <f t="shared" si="26"/>
        <v>79.2426966</v>
      </c>
      <c r="AX15" s="79"/>
      <c r="AY15" s="78">
        <f t="shared" si="141"/>
        <v>259052.59600000002</v>
      </c>
      <c r="AZ15" s="78">
        <f t="shared" si="27"/>
        <v>6476.3149</v>
      </c>
      <c r="BA15" s="78">
        <f t="shared" si="28"/>
        <v>265528.9109</v>
      </c>
      <c r="BB15" s="79">
        <f t="shared" si="29"/>
        <v>20991.5113056</v>
      </c>
      <c r="BC15" s="77">
        <f t="shared" si="30"/>
        <v>3251.1286632</v>
      </c>
      <c r="BD15" s="79"/>
      <c r="BE15" s="78">
        <f t="shared" si="142"/>
        <v>531548.2309999999</v>
      </c>
      <c r="BF15" s="78">
        <f t="shared" si="31"/>
        <v>13288.705774999999</v>
      </c>
      <c r="BG15" s="78">
        <f t="shared" si="32"/>
        <v>544836.936775</v>
      </c>
      <c r="BH15" s="79">
        <f t="shared" si="33"/>
        <v>43072.336941600006</v>
      </c>
      <c r="BI15" s="77">
        <f t="shared" si="34"/>
        <v>6670.9684302000005</v>
      </c>
      <c r="BJ15" s="79"/>
      <c r="BK15" s="78">
        <f t="shared" si="143"/>
        <v>6136.387999999999</v>
      </c>
      <c r="BL15" s="78">
        <f t="shared" si="35"/>
        <v>153.4097</v>
      </c>
      <c r="BM15" s="78">
        <f t="shared" si="36"/>
        <v>6289.797699999999</v>
      </c>
      <c r="BN15" s="79">
        <f t="shared" si="37"/>
        <v>497.24287680000003</v>
      </c>
      <c r="BO15" s="77">
        <f t="shared" si="38"/>
        <v>77.0121096</v>
      </c>
      <c r="BP15" s="79"/>
      <c r="BQ15" s="78">
        <f t="shared" si="144"/>
        <v>4122.058</v>
      </c>
      <c r="BR15" s="78">
        <f t="shared" si="39"/>
        <v>103.05145</v>
      </c>
      <c r="BS15" s="78">
        <f t="shared" si="40"/>
        <v>4225.10945</v>
      </c>
      <c r="BT15" s="79">
        <f t="shared" si="41"/>
        <v>334.01798879999996</v>
      </c>
      <c r="BU15" s="77">
        <f t="shared" si="42"/>
        <v>51.732123599999994</v>
      </c>
      <c r="BV15" s="79"/>
      <c r="BW15" s="78">
        <f t="shared" si="145"/>
        <v>-614.057</v>
      </c>
      <c r="BX15" s="78">
        <f t="shared" si="43"/>
        <v>-15.351424999999999</v>
      </c>
      <c r="BY15" s="78">
        <f t="shared" si="44"/>
        <v>-629.408425</v>
      </c>
      <c r="BZ15" s="79">
        <f t="shared" si="45"/>
        <v>-49.7581752</v>
      </c>
      <c r="CA15" s="77">
        <f t="shared" si="46"/>
        <v>-7.7064594</v>
      </c>
      <c r="CB15" s="78"/>
      <c r="CC15" s="78">
        <f t="shared" si="146"/>
        <v>-400.07800000000003</v>
      </c>
      <c r="CD15" s="78">
        <f t="shared" si="47"/>
        <v>-10.00195</v>
      </c>
      <c r="CE15" s="78">
        <f t="shared" si="48"/>
        <v>-410.07995000000005</v>
      </c>
      <c r="CF15" s="79">
        <f t="shared" si="49"/>
        <v>-32.4190608</v>
      </c>
      <c r="CG15" s="77">
        <f t="shared" si="50"/>
        <v>-5.0210076</v>
      </c>
      <c r="CH15" s="79"/>
      <c r="CI15" s="78">
        <f t="shared" si="147"/>
        <v>14878.162000000002</v>
      </c>
      <c r="CJ15" s="78">
        <f t="shared" si="51"/>
        <v>371.95405</v>
      </c>
      <c r="CK15" s="78">
        <f t="shared" si="52"/>
        <v>15250.116050000002</v>
      </c>
      <c r="CL15" s="79">
        <f t="shared" si="53"/>
        <v>1205.6050032</v>
      </c>
      <c r="CM15" s="77">
        <f t="shared" si="54"/>
        <v>186.72200039999998</v>
      </c>
      <c r="CN15" s="79"/>
      <c r="CO15" s="78">
        <f t="shared" si="148"/>
        <v>91495.19</v>
      </c>
      <c r="CP15" s="78">
        <f t="shared" si="55"/>
        <v>2287.37975</v>
      </c>
      <c r="CQ15" s="78">
        <f t="shared" si="56"/>
        <v>93782.56975</v>
      </c>
      <c r="CR15" s="79">
        <f t="shared" si="57"/>
        <v>7414.024584</v>
      </c>
      <c r="CS15" s="77">
        <f t="shared" si="58"/>
        <v>1148.271198</v>
      </c>
      <c r="CT15" s="79"/>
      <c r="CU15" s="78">
        <f t="shared" si="149"/>
        <v>614650.147</v>
      </c>
      <c r="CV15" s="78">
        <f t="shared" si="59"/>
        <v>15366.253675</v>
      </c>
      <c r="CW15" s="78">
        <f t="shared" si="60"/>
        <v>630016.400675</v>
      </c>
      <c r="CX15" s="79">
        <f t="shared" si="61"/>
        <v>49806.2389992</v>
      </c>
      <c r="CY15" s="77">
        <f t="shared" si="62"/>
        <v>7713.9034374</v>
      </c>
      <c r="CZ15" s="79"/>
      <c r="DA15" s="78">
        <f t="shared" si="150"/>
        <v>88680.70399999998</v>
      </c>
      <c r="DB15" s="78">
        <f t="shared" si="63"/>
        <v>2217.0175999999997</v>
      </c>
      <c r="DC15" s="78">
        <f t="shared" si="64"/>
        <v>90897.72159999999</v>
      </c>
      <c r="DD15" s="79">
        <f t="shared" si="65"/>
        <v>7185.9615744</v>
      </c>
      <c r="DE15" s="77">
        <f t="shared" si="66"/>
        <v>1112.9491968</v>
      </c>
      <c r="DF15" s="79"/>
      <c r="DG15" s="78">
        <f t="shared" si="151"/>
        <v>181200.484</v>
      </c>
      <c r="DH15" s="78">
        <f t="shared" si="67"/>
        <v>4530.0121</v>
      </c>
      <c r="DI15" s="78">
        <f t="shared" si="68"/>
        <v>185730.4961</v>
      </c>
      <c r="DJ15" s="79">
        <f t="shared" si="69"/>
        <v>14683.0105824</v>
      </c>
      <c r="DK15" s="77">
        <f t="shared" si="70"/>
        <v>2274.0790728</v>
      </c>
      <c r="DL15" s="79"/>
      <c r="DM15" s="78">
        <f t="shared" si="152"/>
        <v>29386.914</v>
      </c>
      <c r="DN15" s="78">
        <f t="shared" si="71"/>
        <v>734.67285</v>
      </c>
      <c r="DO15" s="78">
        <f t="shared" si="72"/>
        <v>30121.58685</v>
      </c>
      <c r="DP15" s="79">
        <f t="shared" si="73"/>
        <v>2381.2760304</v>
      </c>
      <c r="DQ15" s="77">
        <f t="shared" si="74"/>
        <v>368.80787879999997</v>
      </c>
      <c r="DR15" s="79"/>
      <c r="DS15" s="78">
        <f t="shared" si="153"/>
        <v>150748.554</v>
      </c>
      <c r="DT15" s="78">
        <f t="shared" si="75"/>
        <v>3768.71385</v>
      </c>
      <c r="DU15" s="78">
        <f t="shared" si="76"/>
        <v>154517.26785</v>
      </c>
      <c r="DV15" s="79">
        <f t="shared" si="77"/>
        <v>12215.4343344</v>
      </c>
      <c r="DW15" s="77">
        <f t="shared" si="78"/>
        <v>1891.9051668</v>
      </c>
      <c r="DX15" s="79"/>
      <c r="DY15" s="78">
        <f t="shared" si="154"/>
        <v>1347.3010000000002</v>
      </c>
      <c r="DZ15" s="78">
        <f t="shared" si="79"/>
        <v>33.682525</v>
      </c>
      <c r="EA15" s="78">
        <f t="shared" si="80"/>
        <v>1380.983525</v>
      </c>
      <c r="EB15" s="79">
        <f t="shared" si="81"/>
        <v>109.1742936</v>
      </c>
      <c r="EC15" s="77">
        <f t="shared" si="82"/>
        <v>16.9087242</v>
      </c>
      <c r="ED15" s="79"/>
      <c r="EE15" s="78">
        <f t="shared" si="155"/>
        <v>1773.1680000000001</v>
      </c>
      <c r="EF15" s="78">
        <f t="shared" si="83"/>
        <v>44.3292</v>
      </c>
      <c r="EG15" s="78">
        <f t="shared" si="84"/>
        <v>1817.4972</v>
      </c>
      <c r="EH15" s="79">
        <f t="shared" si="85"/>
        <v>143.6830848</v>
      </c>
      <c r="EI15" s="77">
        <f t="shared" si="86"/>
        <v>22.2533856</v>
      </c>
      <c r="EJ15" s="79"/>
      <c r="EK15" s="78">
        <f t="shared" si="156"/>
        <v>89346.339</v>
      </c>
      <c r="EL15" s="78">
        <f t="shared" si="87"/>
        <v>2233.658475</v>
      </c>
      <c r="EM15" s="78">
        <f t="shared" si="88"/>
        <v>91579.99747500001</v>
      </c>
      <c r="EN15" s="79">
        <f t="shared" si="89"/>
        <v>7239.8992104</v>
      </c>
      <c r="EO15" s="77">
        <f t="shared" si="90"/>
        <v>1121.3029638</v>
      </c>
      <c r="EP15" s="79"/>
      <c r="EQ15" s="78">
        <f t="shared" si="157"/>
        <v>1700.68</v>
      </c>
      <c r="ER15" s="78">
        <f t="shared" si="91"/>
        <v>42.516999999999996</v>
      </c>
      <c r="ES15" s="78">
        <f t="shared" si="92"/>
        <v>1743.1970000000001</v>
      </c>
      <c r="ET15" s="79">
        <f t="shared" si="93"/>
        <v>137.809248</v>
      </c>
      <c r="EU15" s="77">
        <f t="shared" si="94"/>
        <v>21.343656</v>
      </c>
      <c r="EV15" s="79"/>
      <c r="EW15" s="78">
        <f t="shared" si="158"/>
        <v>25411.923000000003</v>
      </c>
      <c r="EX15" s="78">
        <f t="shared" si="95"/>
        <v>635.298075</v>
      </c>
      <c r="EY15" s="78">
        <f t="shared" si="96"/>
        <v>26047.221075</v>
      </c>
      <c r="EZ15" s="79">
        <f t="shared" si="97"/>
        <v>2059.1751528</v>
      </c>
      <c r="FA15" s="77">
        <f t="shared" si="98"/>
        <v>318.9214566</v>
      </c>
      <c r="FB15" s="79"/>
      <c r="FC15" s="78">
        <f t="shared" si="159"/>
        <v>17652.918999999998</v>
      </c>
      <c r="FD15" s="78">
        <f t="shared" si="99"/>
        <v>441.322975</v>
      </c>
      <c r="FE15" s="78">
        <f t="shared" si="100"/>
        <v>18094.241974999997</v>
      </c>
      <c r="FF15" s="79">
        <f t="shared" si="101"/>
        <v>1430.4486984</v>
      </c>
      <c r="FG15" s="77">
        <f t="shared" si="102"/>
        <v>221.5453998</v>
      </c>
      <c r="FH15" s="79"/>
      <c r="FI15" s="78">
        <f t="shared" si="160"/>
        <v>6891.2390000000005</v>
      </c>
      <c r="FJ15" s="78">
        <f t="shared" si="103"/>
        <v>172.280975</v>
      </c>
      <c r="FK15" s="78">
        <f t="shared" si="104"/>
        <v>7063.519975</v>
      </c>
      <c r="FL15" s="79">
        <f t="shared" si="105"/>
        <v>558.4098504</v>
      </c>
      <c r="FM15" s="77">
        <f t="shared" si="106"/>
        <v>86.48554379999999</v>
      </c>
      <c r="FN15" s="79"/>
      <c r="FO15" s="78">
        <f t="shared" si="161"/>
        <v>77444.367</v>
      </c>
      <c r="FP15" s="78">
        <f t="shared" si="107"/>
        <v>1936.109175</v>
      </c>
      <c r="FQ15" s="78">
        <f t="shared" si="108"/>
        <v>79380.476175</v>
      </c>
      <c r="FR15" s="79">
        <f t="shared" si="109"/>
        <v>6275.4603912</v>
      </c>
      <c r="FS15" s="77">
        <f t="shared" si="110"/>
        <v>971.9323614</v>
      </c>
      <c r="FT15" s="79"/>
      <c r="FU15" s="78">
        <f t="shared" si="162"/>
        <v>174544.13400000002</v>
      </c>
      <c r="FV15" s="78">
        <f t="shared" si="111"/>
        <v>4363.60335</v>
      </c>
      <c r="FW15" s="78">
        <f t="shared" si="112"/>
        <v>178907.73735</v>
      </c>
      <c r="FX15" s="79">
        <f t="shared" si="113"/>
        <v>14143.6342224</v>
      </c>
      <c r="FY15" s="77">
        <f t="shared" si="114"/>
        <v>2190.5414028</v>
      </c>
      <c r="FZ15" s="79"/>
      <c r="GA15" s="78">
        <f t="shared" si="163"/>
        <v>22274.029000000002</v>
      </c>
      <c r="GB15" s="78">
        <f t="shared" si="115"/>
        <v>556.850725</v>
      </c>
      <c r="GC15" s="78">
        <f t="shared" si="116"/>
        <v>22830.879725000003</v>
      </c>
      <c r="GD15" s="79">
        <f t="shared" si="117"/>
        <v>1804.9057944</v>
      </c>
      <c r="GE15" s="77">
        <f t="shared" si="118"/>
        <v>279.5406618</v>
      </c>
      <c r="GF15" s="79"/>
      <c r="GG15" s="78">
        <f t="shared" si="164"/>
        <v>35371.356</v>
      </c>
      <c r="GH15" s="78">
        <f t="shared" si="119"/>
        <v>884.2839000000001</v>
      </c>
      <c r="GI15" s="78">
        <f t="shared" si="120"/>
        <v>36255.6399</v>
      </c>
      <c r="GJ15" s="79">
        <f t="shared" si="121"/>
        <v>2866.2064416</v>
      </c>
      <c r="GK15" s="77">
        <f t="shared" si="122"/>
        <v>443.9130552</v>
      </c>
      <c r="GL15" s="79"/>
      <c r="GM15" s="78">
        <f t="shared" si="165"/>
        <v>163926.733</v>
      </c>
      <c r="GN15" s="78">
        <f t="shared" si="123"/>
        <v>4098.168325000001</v>
      </c>
      <c r="GO15" s="78">
        <f t="shared" si="124"/>
        <v>168024.901325</v>
      </c>
      <c r="GP15" s="79">
        <f t="shared" si="125"/>
        <v>13283.2865688</v>
      </c>
      <c r="GQ15" s="77">
        <f t="shared" si="126"/>
        <v>2057.2922586</v>
      </c>
      <c r="GR15" s="79"/>
      <c r="GS15" s="78">
        <f t="shared" si="166"/>
        <v>8699.954</v>
      </c>
      <c r="GT15" s="78">
        <f t="shared" si="127"/>
        <v>217.49884999999998</v>
      </c>
      <c r="GU15" s="78">
        <f t="shared" si="128"/>
        <v>8917.45285</v>
      </c>
      <c r="GV15" s="79">
        <f t="shared" si="129"/>
        <v>704.9733744</v>
      </c>
      <c r="GW15" s="77">
        <f t="shared" si="130"/>
        <v>109.18504680000001</v>
      </c>
      <c r="GX15" s="79"/>
      <c r="GY15" s="78">
        <f t="shared" si="167"/>
        <v>49880.10800000001</v>
      </c>
      <c r="GZ15" s="78">
        <f t="shared" si="131"/>
        <v>1247.0027</v>
      </c>
      <c r="HA15" s="78">
        <f t="shared" si="132"/>
        <v>51127.110700000005</v>
      </c>
      <c r="HB15" s="79">
        <f t="shared" si="133"/>
        <v>4041.8774688000003</v>
      </c>
      <c r="HC15" s="77">
        <f t="shared" si="134"/>
        <v>625.9989336</v>
      </c>
      <c r="HD15" s="79"/>
      <c r="HE15" s="79"/>
      <c r="HF15" s="79"/>
      <c r="HG15" s="79"/>
      <c r="HH15" s="79"/>
      <c r="HI15" s="79"/>
    </row>
    <row r="16" spans="3:217" ht="12.75">
      <c r="C16" s="80"/>
      <c r="D16" s="80"/>
      <c r="E16" s="80"/>
      <c r="F16" s="80"/>
      <c r="G16" s="80"/>
      <c r="H16" s="78"/>
      <c r="I16" s="78"/>
      <c r="J16" s="79"/>
      <c r="K16" s="78"/>
      <c r="L16" s="78"/>
      <c r="M16" s="80"/>
      <c r="N16" s="78"/>
      <c r="O16" s="78"/>
      <c r="P16" s="78"/>
      <c r="Q16" s="78"/>
      <c r="R16" s="78"/>
      <c r="S16" s="80"/>
      <c r="T16" s="78"/>
      <c r="U16" s="78"/>
      <c r="V16" s="78"/>
      <c r="W16" s="78"/>
      <c r="X16" s="78"/>
      <c r="Y16" s="80"/>
      <c r="Z16" s="78"/>
      <c r="AA16" s="79"/>
      <c r="AB16" s="78"/>
      <c r="AC16" s="78"/>
      <c r="AD16" s="78"/>
      <c r="AE16" s="80"/>
      <c r="AF16" s="78"/>
      <c r="AG16" s="78"/>
      <c r="AH16" s="78"/>
      <c r="AI16" s="78"/>
      <c r="AJ16" s="78"/>
      <c r="AK16" s="80"/>
      <c r="AL16" s="78"/>
      <c r="AM16" s="78"/>
      <c r="AN16" s="78"/>
      <c r="AO16" s="78"/>
      <c r="AP16" s="78"/>
      <c r="AQ16" s="80"/>
      <c r="AR16" s="78"/>
      <c r="AS16" s="78"/>
      <c r="AT16" s="78"/>
      <c r="AU16" s="78"/>
      <c r="AV16" s="78"/>
      <c r="AW16" s="80"/>
      <c r="AX16" s="78"/>
      <c r="AY16" s="78"/>
      <c r="AZ16" s="78"/>
      <c r="BA16" s="78"/>
      <c r="BB16" s="78"/>
      <c r="BC16" s="80"/>
      <c r="BD16" s="78"/>
      <c r="BE16" s="78"/>
      <c r="BF16" s="78"/>
      <c r="BG16" s="78"/>
      <c r="BH16" s="78"/>
      <c r="BI16" s="80"/>
      <c r="BJ16" s="78"/>
      <c r="BK16" s="78"/>
      <c r="BL16" s="78"/>
      <c r="BM16" s="78"/>
      <c r="BN16" s="78"/>
      <c r="BO16" s="80"/>
      <c r="BP16" s="78"/>
      <c r="BQ16" s="78"/>
      <c r="BR16" s="78"/>
      <c r="BS16" s="78"/>
      <c r="BT16" s="78"/>
      <c r="BU16" s="80"/>
      <c r="BV16" s="78"/>
      <c r="BW16" s="78"/>
      <c r="BX16" s="78"/>
      <c r="BY16" s="78"/>
      <c r="BZ16" s="78"/>
      <c r="CA16" s="80"/>
      <c r="CB16" s="78"/>
      <c r="CC16" s="78"/>
      <c r="CD16" s="78"/>
      <c r="CE16" s="78"/>
      <c r="CF16" s="78"/>
      <c r="CG16" s="80"/>
      <c r="CH16" s="78"/>
      <c r="CI16" s="78"/>
      <c r="CJ16" s="78"/>
      <c r="CK16" s="78"/>
      <c r="CL16" s="78"/>
      <c r="CM16" s="80"/>
      <c r="CN16" s="78"/>
      <c r="CO16" s="78"/>
      <c r="CP16" s="78"/>
      <c r="CQ16" s="78"/>
      <c r="CR16" s="78"/>
      <c r="CS16" s="80"/>
      <c r="CT16" s="78"/>
      <c r="CU16" s="78"/>
      <c r="CV16" s="78"/>
      <c r="CW16" s="78"/>
      <c r="CX16" s="78"/>
      <c r="CY16" s="80"/>
      <c r="CZ16" s="78"/>
      <c r="DA16" s="78"/>
      <c r="DB16" s="78"/>
      <c r="DC16" s="78"/>
      <c r="DD16" s="78"/>
      <c r="DE16" s="80"/>
      <c r="DF16" s="78"/>
      <c r="DG16" s="78"/>
      <c r="DH16" s="78"/>
      <c r="DI16" s="78"/>
      <c r="DJ16" s="78"/>
      <c r="DK16" s="80"/>
      <c r="DL16" s="78"/>
      <c r="DM16" s="78"/>
      <c r="DN16" s="78"/>
      <c r="DO16" s="78"/>
      <c r="DP16" s="78"/>
      <c r="DQ16" s="80"/>
      <c r="DR16" s="78"/>
      <c r="DS16" s="78"/>
      <c r="DT16" s="78"/>
      <c r="DU16" s="78"/>
      <c r="DV16" s="78"/>
      <c r="DW16" s="80"/>
      <c r="DX16" s="78"/>
      <c r="DY16" s="78"/>
      <c r="DZ16" s="78"/>
      <c r="EA16" s="78"/>
      <c r="EB16" s="78"/>
      <c r="EC16" s="80"/>
      <c r="ED16" s="78"/>
      <c r="EE16" s="78"/>
      <c r="EF16" s="78"/>
      <c r="EG16" s="78"/>
      <c r="EH16" s="78"/>
      <c r="EI16" s="80"/>
      <c r="EJ16" s="78"/>
      <c r="EK16" s="78"/>
      <c r="EL16" s="78"/>
      <c r="EM16" s="78"/>
      <c r="EN16" s="78"/>
      <c r="EO16" s="80"/>
      <c r="EP16" s="78"/>
      <c r="EQ16" s="78"/>
      <c r="ER16" s="78"/>
      <c r="ES16" s="78"/>
      <c r="ET16" s="78"/>
      <c r="EU16" s="80"/>
      <c r="EV16" s="78"/>
      <c r="EW16" s="78"/>
      <c r="EX16" s="78"/>
      <c r="EY16" s="78"/>
      <c r="EZ16" s="78"/>
      <c r="FA16" s="80"/>
      <c r="FB16" s="78"/>
      <c r="FC16" s="78"/>
      <c r="FD16" s="78"/>
      <c r="FE16" s="78"/>
      <c r="FF16" s="78"/>
      <c r="FG16" s="80"/>
      <c r="FH16" s="78"/>
      <c r="FI16" s="78"/>
      <c r="FJ16" s="78"/>
      <c r="FK16" s="78"/>
      <c r="FL16" s="78"/>
      <c r="FM16" s="80"/>
      <c r="FN16" s="78"/>
      <c r="FO16" s="78"/>
      <c r="FP16" s="78"/>
      <c r="FQ16" s="78"/>
      <c r="FR16" s="78"/>
      <c r="FS16" s="80"/>
      <c r="FT16" s="78"/>
      <c r="FU16" s="78"/>
      <c r="FV16" s="78"/>
      <c r="FW16" s="78"/>
      <c r="FX16" s="78"/>
      <c r="FY16" s="80"/>
      <c r="FZ16" s="78"/>
      <c r="GA16" s="78"/>
      <c r="GB16" s="78"/>
      <c r="GC16" s="78"/>
      <c r="GD16" s="78"/>
      <c r="GE16" s="80"/>
      <c r="GF16" s="78"/>
      <c r="GG16" s="78"/>
      <c r="GH16" s="78"/>
      <c r="GI16" s="78"/>
      <c r="GJ16" s="78"/>
      <c r="GK16" s="80"/>
      <c r="GL16" s="78"/>
      <c r="GM16" s="78"/>
      <c r="GN16" s="78"/>
      <c r="GO16" s="78"/>
      <c r="GP16" s="78"/>
      <c r="GQ16" s="80"/>
      <c r="GR16" s="78"/>
      <c r="GS16" s="78"/>
      <c r="GT16" s="78"/>
      <c r="GU16" s="78"/>
      <c r="GV16" s="78"/>
      <c r="GW16" s="80"/>
      <c r="GX16" s="78"/>
      <c r="GY16" s="78"/>
      <c r="GZ16" s="78"/>
      <c r="HA16" s="78"/>
      <c r="HB16" s="78"/>
      <c r="HC16" s="80"/>
      <c r="HD16" s="78"/>
      <c r="HE16" s="78"/>
      <c r="HF16" s="78"/>
      <c r="HG16" s="78"/>
      <c r="HH16" s="78"/>
      <c r="HI16" s="78"/>
    </row>
    <row r="17" spans="1:217" ht="13.5" thickBot="1">
      <c r="A17" s="31" t="s">
        <v>4</v>
      </c>
      <c r="C17" s="81">
        <f>SUM(C8:C16)</f>
        <v>17535000</v>
      </c>
      <c r="D17" s="81">
        <f>SUM(D8:D16)</f>
        <v>1937360</v>
      </c>
      <c r="E17" s="81">
        <f>SUM(E8:E16)</f>
        <v>19472360</v>
      </c>
      <c r="F17" s="81">
        <f>SUM(F8:F16)</f>
        <v>3388749</v>
      </c>
      <c r="G17" s="81">
        <f>SUM(G8:G16)</f>
        <v>524841</v>
      </c>
      <c r="H17" s="78"/>
      <c r="I17" s="81">
        <f>SUM(I8:I16)</f>
        <v>9518452.1565</v>
      </c>
      <c r="J17" s="81">
        <f>SUM(J8:J16)</f>
        <v>1051649.185624</v>
      </c>
      <c r="K17" s="81">
        <f>SUM(K8:K16)</f>
        <v>10570101.342124</v>
      </c>
      <c r="L17" s="81">
        <f>SUM(L8:L16)</f>
        <v>1839500.7257990998</v>
      </c>
      <c r="M17" s="81">
        <f>SUM(M8:M16)</f>
        <v>284897.2881819</v>
      </c>
      <c r="N17" s="78"/>
      <c r="O17" s="81">
        <f>SUM(O8:O16)</f>
        <v>1159856.082</v>
      </c>
      <c r="P17" s="81">
        <f>SUM(P8:P16)</f>
        <v>128147.064672</v>
      </c>
      <c r="Q17" s="81">
        <f>SUM(Q8:Q16)</f>
        <v>1288003.146672</v>
      </c>
      <c r="R17" s="81">
        <f>SUM(R8:R16)</f>
        <v>224149.48035480003</v>
      </c>
      <c r="S17" s="81">
        <f>SUM(S8:S16)</f>
        <v>34715.7129132</v>
      </c>
      <c r="T17" s="78"/>
      <c r="U17" s="81">
        <f>SUM(U8:U16)</f>
        <v>19807.536000000004</v>
      </c>
      <c r="V17" s="81">
        <f>SUM(V8:V16)</f>
        <v>2188.4418560000004</v>
      </c>
      <c r="W17" s="81">
        <f>SUM(W8:W16)</f>
        <v>21995.977856</v>
      </c>
      <c r="X17" s="81">
        <f>SUM(X8:X16)</f>
        <v>3827.9308704000005</v>
      </c>
      <c r="Y17" s="81">
        <f>SUM(Y8:Y16)</f>
        <v>592.8603936</v>
      </c>
      <c r="Z17" s="78"/>
      <c r="AA17" s="81">
        <f>SUM(AA8:AA16)</f>
        <v>89417.97899999999</v>
      </c>
      <c r="AB17" s="81">
        <f>SUM(AB8:AB16)</f>
        <v>9879.373583999997</v>
      </c>
      <c r="AC17" s="81">
        <f>SUM(AC8:AC16)</f>
        <v>99297.352584</v>
      </c>
      <c r="AD17" s="81">
        <f>SUM(AD8:AD16)</f>
        <v>17280.5866506</v>
      </c>
      <c r="AE17" s="81">
        <f>SUM(AE8:AE16)</f>
        <v>2676.3741953999997</v>
      </c>
      <c r="AF17" s="78"/>
      <c r="AG17" s="81">
        <f>SUM(AG8:AG16)</f>
        <v>1554998.5395</v>
      </c>
      <c r="AH17" s="81">
        <f>SUM(AH8:AH16)</f>
        <v>171804.503592</v>
      </c>
      <c r="AI17" s="81">
        <f>SUM(AI8:AI16)</f>
        <v>1726803.043092</v>
      </c>
      <c r="AJ17" s="81">
        <f>SUM(AJ8:AJ16)</f>
        <v>300513.2446953</v>
      </c>
      <c r="AK17" s="81">
        <f>SUM(AK8:AK16)</f>
        <v>46542.7424277</v>
      </c>
      <c r="AL17" s="78"/>
      <c r="AM17" s="81">
        <f>SUM(AM8:AM16)</f>
        <v>18836.096999999998</v>
      </c>
      <c r="AN17" s="81">
        <f>SUM(AN8:AN16)</f>
        <v>2081.112112</v>
      </c>
      <c r="AO17" s="81">
        <f>SUM(AO8:AO16)</f>
        <v>20917.209112</v>
      </c>
      <c r="AP17" s="81">
        <f>SUM(AP8:AP16)</f>
        <v>3640.1941758000003</v>
      </c>
      <c r="AQ17" s="81">
        <f>SUM(AQ8:AQ16)</f>
        <v>563.7842022</v>
      </c>
      <c r="AR17" s="78"/>
      <c r="AS17" s="81">
        <f>SUM(AS8:AS16)</f>
        <v>15884.9565</v>
      </c>
      <c r="AT17" s="81">
        <f>SUM(AT8:AT16)</f>
        <v>1755.054424</v>
      </c>
      <c r="AU17" s="81">
        <f>SUM(AU8:AU16)</f>
        <v>17640.010924000002</v>
      </c>
      <c r="AV17" s="81">
        <f>SUM(AV8:AV16)</f>
        <v>3069.8677190999997</v>
      </c>
      <c r="AW17" s="81">
        <f>SUM(AW8:AW16)</f>
        <v>475.4534619</v>
      </c>
      <c r="AX17" s="78"/>
      <c r="AY17" s="81">
        <f>SUM(AY8:AY16)</f>
        <v>651719.838</v>
      </c>
      <c r="AZ17" s="81">
        <f>SUM(AZ8:AZ16)</f>
        <v>72005.47164799999</v>
      </c>
      <c r="BA17" s="81">
        <f>SUM(BA8:BA16)</f>
        <v>723725.309648</v>
      </c>
      <c r="BB17" s="81">
        <f>SUM(BB8:BB16)</f>
        <v>125948.9563332</v>
      </c>
      <c r="BC17" s="81">
        <f>SUM(BC8:BC16)</f>
        <v>19506.660478800004</v>
      </c>
      <c r="BD17" s="78"/>
      <c r="BE17" s="81">
        <f>SUM(BE8:BE16)</f>
        <v>1337259.4305</v>
      </c>
      <c r="BF17" s="81">
        <f>SUM(BF8:BF16)</f>
        <v>147747.529528</v>
      </c>
      <c r="BG17" s="81">
        <f>SUM(BG8:BG16)</f>
        <v>1485006.960028</v>
      </c>
      <c r="BH17" s="81">
        <f>SUM(BH8:BH16)</f>
        <v>258433.79286270007</v>
      </c>
      <c r="BI17" s="81">
        <f>SUM(BI8:BI16)</f>
        <v>40025.58179430001</v>
      </c>
      <c r="BJ17" s="78"/>
      <c r="BK17" s="81">
        <f>SUM(BK8:BK16)</f>
        <v>15437.813999999998</v>
      </c>
      <c r="BL17" s="81">
        <f>SUM(BL8:BL16)</f>
        <v>1705.6517439999998</v>
      </c>
      <c r="BM17" s="81">
        <f>SUM(BM8:BM16)</f>
        <v>17143.465743999997</v>
      </c>
      <c r="BN17" s="81">
        <f>SUM(BN8:BN16)</f>
        <v>2983.4546196</v>
      </c>
      <c r="BO17" s="81">
        <f>SUM(BO8:BO16)</f>
        <v>462.0700164000001</v>
      </c>
      <c r="BP17" s="78"/>
      <c r="BQ17" s="81">
        <f>SUM(BQ8:BQ16)</f>
        <v>10370.199</v>
      </c>
      <c r="BR17" s="81">
        <f>SUM(BR8:BR16)</f>
        <v>1145.7547039999997</v>
      </c>
      <c r="BS17" s="81">
        <f>SUM(BS8:BS16)</f>
        <v>11515.953704</v>
      </c>
      <c r="BT17" s="81">
        <f>SUM(BT8:BT16)</f>
        <v>2004.1061585999998</v>
      </c>
      <c r="BU17" s="81">
        <f>SUM(BU8:BU16)</f>
        <v>310.3909674</v>
      </c>
      <c r="BV17" s="78"/>
      <c r="BW17" s="81">
        <f>SUM(BW8:BW16)</f>
        <v>-1544.8335</v>
      </c>
      <c r="BX17" s="81">
        <f>SUM(BX8:BX16)</f>
        <v>-170.681416</v>
      </c>
      <c r="BY17" s="81">
        <f>SUM(BY8:BY16)</f>
        <v>-1715.514916</v>
      </c>
      <c r="BZ17" s="81">
        <f>SUM(BZ8:BZ16)</f>
        <v>-298.5487868999999</v>
      </c>
      <c r="CA17" s="81">
        <f>SUM(CA8:CA16)</f>
        <v>-46.2384921</v>
      </c>
      <c r="CB17" s="80"/>
      <c r="CC17" s="81">
        <f>SUM(CC8:CC16)</f>
        <v>-1006.509</v>
      </c>
      <c r="CD17" s="81">
        <f>SUM(CD8:CD16)</f>
        <v>-111.204464</v>
      </c>
      <c r="CE17" s="81">
        <f>SUM(CE8:CE16)</f>
        <v>-1117.713464</v>
      </c>
      <c r="CF17" s="81">
        <f>SUM(CF8:CF16)</f>
        <v>-194.5141926</v>
      </c>
      <c r="CG17" s="81">
        <f>SUM(CG8:CG16)</f>
        <v>-30.125873400000003</v>
      </c>
      <c r="CH17" s="78"/>
      <c r="CI17" s="81">
        <f>SUM(CI8:CI16)</f>
        <v>37430.211</v>
      </c>
      <c r="CJ17" s="81">
        <f>SUM(CJ8:CJ16)</f>
        <v>4135.4886559999995</v>
      </c>
      <c r="CK17" s="81">
        <f>SUM(CK8:CK16)</f>
        <v>41565.699656000004</v>
      </c>
      <c r="CL17" s="81">
        <f>SUM(CL8:CL16)</f>
        <v>7233.623615400001</v>
      </c>
      <c r="CM17" s="81">
        <f>SUM(CM8:CM16)</f>
        <v>1120.3255986</v>
      </c>
      <c r="CN17" s="78"/>
      <c r="CO17" s="81">
        <f>SUM(CO8:CO16)</f>
        <v>230181.945</v>
      </c>
      <c r="CP17" s="81">
        <f>SUM(CP8:CP16)</f>
        <v>25431.72472</v>
      </c>
      <c r="CQ17" s="81">
        <f>SUM(CQ8:CQ16)</f>
        <v>255613.66972</v>
      </c>
      <c r="CR17" s="81">
        <f>SUM(CR8:CR16)</f>
        <v>44484.108123</v>
      </c>
      <c r="CS17" s="81">
        <f>SUM(CS8:CS16)</f>
        <v>6889.587807</v>
      </c>
      <c r="CT17" s="78"/>
      <c r="CU17" s="81">
        <f>SUM(CU8:CU16)</f>
        <v>1546325.7284999997</v>
      </c>
      <c r="CV17" s="81">
        <f>SUM(CV8:CV16)</f>
        <v>170846.28533599997</v>
      </c>
      <c r="CW17" s="81">
        <f>SUM(CW8:CW16)</f>
        <v>1717172.013836</v>
      </c>
      <c r="CX17" s="81">
        <f>SUM(CX8:CX16)</f>
        <v>298837.1694399</v>
      </c>
      <c r="CY17" s="81">
        <f>SUM(CY8:CY16)</f>
        <v>46283.156069100005</v>
      </c>
      <c r="CZ17" s="78"/>
      <c r="DA17" s="81">
        <f>SUM(DA8:DA16)</f>
        <v>223101.31199999998</v>
      </c>
      <c r="DB17" s="81">
        <f>SUM(DB8:DB16)</f>
        <v>24649.418751999998</v>
      </c>
      <c r="DC17" s="81">
        <f>SUM(DC8:DC16)</f>
        <v>247750.73075199997</v>
      </c>
      <c r="DD17" s="81">
        <f>SUM(DD8:DD16)</f>
        <v>43115.7312768</v>
      </c>
      <c r="DE17" s="81">
        <f>SUM(DE8:DE16)</f>
        <v>6677.657011200001</v>
      </c>
      <c r="DF17" s="78"/>
      <c r="DG17" s="81">
        <f>SUM(DG8:DG16)</f>
        <v>455860.902</v>
      </c>
      <c r="DH17" s="81">
        <f>SUM(DH8:DH16)</f>
        <v>50365.93539200001</v>
      </c>
      <c r="DI17" s="81">
        <f>SUM(DI8:DI16)</f>
        <v>506226.83739199996</v>
      </c>
      <c r="DJ17" s="81">
        <f>SUM(DJ8:DJ16)</f>
        <v>88097.9855028</v>
      </c>
      <c r="DK17" s="81">
        <f>SUM(DK8:DK16)</f>
        <v>13644.3964452</v>
      </c>
      <c r="DL17" s="78"/>
      <c r="DM17" s="81">
        <f>SUM(DM8:DM16)</f>
        <v>73931.067</v>
      </c>
      <c r="DN17" s="81">
        <f>SUM(DN8:DN16)</f>
        <v>8168.297232</v>
      </c>
      <c r="DO17" s="81">
        <f>SUM(DO8:DO16)</f>
        <v>82099.36423199999</v>
      </c>
      <c r="DP17" s="81">
        <f>SUM(DP8:DP16)</f>
        <v>14287.643533800001</v>
      </c>
      <c r="DQ17" s="81">
        <f>SUM(DQ8:DQ16)</f>
        <v>2212.8346242</v>
      </c>
      <c r="DR17" s="78"/>
      <c r="DS17" s="81">
        <f>SUM(DS8:DS16)</f>
        <v>379250.487</v>
      </c>
      <c r="DT17" s="81">
        <f>SUM(DT8:DT16)</f>
        <v>41901.609552</v>
      </c>
      <c r="DU17" s="81">
        <f>SUM(DU8:DU16)</f>
        <v>421152.09655200003</v>
      </c>
      <c r="DV17" s="81">
        <f>SUM(DV8:DV16)</f>
        <v>73292.5411218</v>
      </c>
      <c r="DW17" s="81">
        <f>SUM(DW8:DW16)</f>
        <v>11351.366116199999</v>
      </c>
      <c r="DX17" s="78"/>
      <c r="DY17" s="81">
        <f>SUM(DY8:DY16)</f>
        <v>3389.5155000000004</v>
      </c>
      <c r="DZ17" s="81">
        <f>SUM(DZ8:DZ16)</f>
        <v>374.491688</v>
      </c>
      <c r="EA17" s="81">
        <f>SUM(EA8:EA16)</f>
        <v>3764.007188</v>
      </c>
      <c r="EB17" s="81">
        <f>SUM(EB8:EB16)</f>
        <v>655.0451817000001</v>
      </c>
      <c r="EC17" s="81">
        <f>SUM(EC8:EC16)</f>
        <v>101.4517653</v>
      </c>
      <c r="ED17" s="78"/>
      <c r="EE17" s="81">
        <f>SUM(EE8:EE16)</f>
        <v>4460.904</v>
      </c>
      <c r="EF17" s="81">
        <f>SUM(EF8:EF16)</f>
        <v>492.86438400000003</v>
      </c>
      <c r="EG17" s="81">
        <f>SUM(EG8:EG16)</f>
        <v>4953.768384000001</v>
      </c>
      <c r="EH17" s="81">
        <f>SUM(EH8:EH16)</f>
        <v>862.0977455999998</v>
      </c>
      <c r="EI17" s="81">
        <f>SUM(EI8:EI16)</f>
        <v>133.5195504</v>
      </c>
      <c r="EJ17" s="78"/>
      <c r="EK17" s="81">
        <f>SUM(EK8:EK16)</f>
        <v>224775.90450000003</v>
      </c>
      <c r="EL17" s="81">
        <f>SUM(EL8:EL16)</f>
        <v>24834.436632</v>
      </c>
      <c r="EM17" s="81">
        <f>SUM(EM8:EM16)</f>
        <v>249610.341132</v>
      </c>
      <c r="EN17" s="81">
        <f>SUM(EN8:EN16)</f>
        <v>43439.3568063</v>
      </c>
      <c r="EO17" s="81">
        <f>SUM(EO8:EO16)</f>
        <v>6727.7793267</v>
      </c>
      <c r="EP17" s="78"/>
      <c r="EQ17" s="81">
        <f>SUM(EQ8:EQ16)</f>
        <v>4278.54</v>
      </c>
      <c r="ER17" s="81">
        <f>SUM(ER8:ER16)</f>
        <v>472.71584</v>
      </c>
      <c r="ES17" s="81">
        <f>SUM(ES8:ES16)</f>
        <v>4751.25584</v>
      </c>
      <c r="ET17" s="81">
        <f>SUM(ET8:ET16)</f>
        <v>826.8547560000001</v>
      </c>
      <c r="EU17" s="81">
        <f>SUM(EU8:EU16)</f>
        <v>128.061204</v>
      </c>
      <c r="EV17" s="78"/>
      <c r="EW17" s="81">
        <f>SUM(EW8:EW16)</f>
        <v>63930.8565</v>
      </c>
      <c r="EX17" s="81">
        <f>SUM(EX8:EX16)</f>
        <v>7063.420824</v>
      </c>
      <c r="EY17" s="81">
        <f>SUM(EY8:EY16)</f>
        <v>70994.277324</v>
      </c>
      <c r="EZ17" s="81">
        <f>SUM(EZ8:EZ16)</f>
        <v>12355.039979100002</v>
      </c>
      <c r="FA17" s="81">
        <f>SUM(FA8:FA16)</f>
        <v>1913.5178019000002</v>
      </c>
      <c r="FB17" s="78"/>
      <c r="FC17" s="81">
        <f>SUM(FC8:FC16)</f>
        <v>44410.894499999995</v>
      </c>
      <c r="FD17" s="81">
        <f>SUM(FD8:FD16)</f>
        <v>4906.751672</v>
      </c>
      <c r="FE17" s="81">
        <f>SUM(FE8:FE16)</f>
        <v>49317.64617199999</v>
      </c>
      <c r="FF17" s="81">
        <f>SUM(FF8:FF16)</f>
        <v>8582.684592299998</v>
      </c>
      <c r="FG17" s="81">
        <f>SUM(FG8:FG16)</f>
        <v>1329.2648007</v>
      </c>
      <c r="FH17" s="78"/>
      <c r="FI17" s="81">
        <f>SUM(FI8:FI16)</f>
        <v>17336.8545</v>
      </c>
      <c r="FJ17" s="81">
        <f>SUM(FJ8:FJ16)</f>
        <v>1915.4678320000003</v>
      </c>
      <c r="FK17" s="81">
        <f>SUM(FK8:FK16)</f>
        <v>19252.322332000003</v>
      </c>
      <c r="FL17" s="81">
        <f>SUM(FL8:FL16)</f>
        <v>3350.4561362999993</v>
      </c>
      <c r="FM17" s="81">
        <f>SUM(FM8:FM16)</f>
        <v>518.9102966999999</v>
      </c>
      <c r="FN17" s="78"/>
      <c r="FO17" s="81">
        <f>SUM(FO8:FO16)</f>
        <v>194833.1385</v>
      </c>
      <c r="FP17" s="81">
        <f>SUM(FP8:FP16)</f>
        <v>21526.200696000004</v>
      </c>
      <c r="FQ17" s="81">
        <f>SUM(FQ8:FQ16)</f>
        <v>216359.33919600002</v>
      </c>
      <c r="FR17" s="81">
        <f>SUM(FR8:FR16)</f>
        <v>37652.7290139</v>
      </c>
      <c r="FS17" s="81">
        <f>SUM(FS8:FS16)</f>
        <v>5831.560835100001</v>
      </c>
      <c r="FT17" s="78"/>
      <c r="FU17" s="81">
        <f>SUM(FU8:FU16)</f>
        <v>439114.977</v>
      </c>
      <c r="FV17" s="81">
        <f>SUM(FV8:FV16)</f>
        <v>48515.756592</v>
      </c>
      <c r="FW17" s="81">
        <f>SUM(FW8:FW16)</f>
        <v>487630.73359200003</v>
      </c>
      <c r="FX17" s="81">
        <f>SUM(FX8:FX16)</f>
        <v>84861.73020779999</v>
      </c>
      <c r="FY17" s="81">
        <f>SUM(FY8:FY16)</f>
        <v>13143.173290199999</v>
      </c>
      <c r="FZ17" s="78"/>
      <c r="GA17" s="81">
        <f>SUM(GA8:GA16)</f>
        <v>56036.599500000004</v>
      </c>
      <c r="GB17" s="81">
        <f>SUM(GB8:GB16)</f>
        <v>6191.2213520000005</v>
      </c>
      <c r="GC17" s="81">
        <f>SUM(GC8:GC16)</f>
        <v>62227.820852000004</v>
      </c>
      <c r="GD17" s="81">
        <f>SUM(GD8:GD16)</f>
        <v>10829.425179299998</v>
      </c>
      <c r="GE17" s="81">
        <f>SUM(GE8:GE16)</f>
        <v>1677.2343836999999</v>
      </c>
      <c r="GF17" s="78"/>
      <c r="GG17" s="81">
        <f>SUM(GG8:GG16)</f>
        <v>88986.618</v>
      </c>
      <c r="GH17" s="81">
        <f>SUM(GH8:GH16)</f>
        <v>9831.714528000002</v>
      </c>
      <c r="GI17" s="81">
        <f>SUM(GI8:GI16)</f>
        <v>98818.332528</v>
      </c>
      <c r="GJ17" s="81">
        <f>SUM(GJ8:GJ16)</f>
        <v>17197.223425199998</v>
      </c>
      <c r="GK17" s="81">
        <f>SUM(GK8:GK16)</f>
        <v>2663.4631068</v>
      </c>
      <c r="GL17" s="78"/>
      <c r="GM17" s="81">
        <f>SUM(GM8:GM16)</f>
        <v>412403.91150000005</v>
      </c>
      <c r="GN17" s="81">
        <f>SUM(GN8:GN16)</f>
        <v>45564.576104</v>
      </c>
      <c r="GO17" s="81">
        <f>SUM(GO8:GO16)</f>
        <v>457968.4876039999</v>
      </c>
      <c r="GP17" s="81">
        <f>SUM(GP8:GP16)</f>
        <v>79699.6488561</v>
      </c>
      <c r="GQ17" s="81">
        <f>SUM(GQ8:GQ16)</f>
        <v>12343.682994900002</v>
      </c>
      <c r="GR17" s="78"/>
      <c r="GS17" s="81">
        <f>SUM(GS8:GS16)</f>
        <v>21887.186999999998</v>
      </c>
      <c r="GT17" s="81">
        <f>SUM(GT8:GT16)</f>
        <v>2418.212752</v>
      </c>
      <c r="GU17" s="81">
        <f>SUM(GU8:GU16)</f>
        <v>24305.399752</v>
      </c>
      <c r="GV17" s="81">
        <f>SUM(GV8:GV16)</f>
        <v>4229.8365018</v>
      </c>
      <c r="GW17" s="81">
        <f>SUM(GW8:GW16)</f>
        <v>655.1065362</v>
      </c>
      <c r="GX17" s="78"/>
      <c r="GY17" s="81">
        <f>SUM(GY8:GY16)</f>
        <v>125487.47400000002</v>
      </c>
      <c r="GZ17" s="81">
        <f>SUM(GZ8:GZ16)</f>
        <v>13864.523104000004</v>
      </c>
      <c r="HA17" s="81">
        <f>SUM(HA8:HA16)</f>
        <v>139351.997104</v>
      </c>
      <c r="HB17" s="81">
        <f>SUM(HB8:HB16)</f>
        <v>24251.243343600003</v>
      </c>
      <c r="HC17" s="81">
        <f>SUM(HC8:HC16)</f>
        <v>3755.9721323999997</v>
      </c>
      <c r="HD17" s="78"/>
      <c r="HE17" s="78"/>
      <c r="HF17" s="78"/>
      <c r="HG17" s="78"/>
      <c r="HH17" s="78"/>
      <c r="HI17" s="78"/>
    </row>
    <row r="18" ht="13.5" thickTop="1"/>
    <row r="31" spans="1:212" ht="12.75">
      <c r="A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</row>
    <row r="32" spans="1:212" ht="12.75">
      <c r="A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</sheetData>
  <sheetProtection/>
  <printOptions/>
  <pageMargins left="0.7" right="0.7" top="0.75" bottom="0.75" header="0.3" footer="0.3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7"/>
  <sheetViews>
    <sheetView zoomScalePageLayoutView="0" workbookViewId="0" topLeftCell="A1">
      <pane xSplit="3" ySplit="5" topLeftCell="Q4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5" sqref="R5"/>
    </sheetView>
  </sheetViews>
  <sheetFormatPr defaultColWidth="8.7109375" defaultRowHeight="12.75"/>
  <cols>
    <col min="1" max="1" width="7.7109375" style="0" customWidth="1"/>
    <col min="2" max="2" width="25.7109375" style="0" customWidth="1"/>
    <col min="3" max="3" width="40.7109375" style="0" customWidth="1"/>
    <col min="4" max="4" width="14.7109375" style="5" customWidth="1"/>
    <col min="5" max="17" width="13.7109375" style="5" customWidth="1"/>
    <col min="18" max="18" width="13.7109375" style="12" customWidth="1"/>
    <col min="19" max="19" width="10.28125" style="0" bestFit="1" customWidth="1"/>
  </cols>
  <sheetData>
    <row r="1" ht="12.75">
      <c r="A1" s="18" t="s">
        <v>16</v>
      </c>
    </row>
    <row r="3" spans="1:18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7" t="s">
        <v>0</v>
      </c>
    </row>
    <row r="4" spans="1:18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17</v>
      </c>
      <c r="G4" s="4" t="s">
        <v>20</v>
      </c>
      <c r="H4" s="4" t="s">
        <v>25</v>
      </c>
      <c r="I4" s="4" t="s">
        <v>67</v>
      </c>
      <c r="J4" s="4" t="s">
        <v>26</v>
      </c>
      <c r="K4" s="4" t="s">
        <v>61</v>
      </c>
      <c r="L4" s="4" t="s">
        <v>27</v>
      </c>
      <c r="M4" s="4" t="s">
        <v>22</v>
      </c>
      <c r="N4" s="4" t="s">
        <v>28</v>
      </c>
      <c r="O4" s="4" t="s">
        <v>29</v>
      </c>
      <c r="P4" s="4" t="s">
        <v>30</v>
      </c>
      <c r="Q4" s="4" t="s">
        <v>31</v>
      </c>
      <c r="R4" s="58" t="s">
        <v>6</v>
      </c>
    </row>
    <row r="5" spans="1:18" s="11" customFormat="1" ht="13.5" thickBot="1">
      <c r="A5" s="8"/>
      <c r="B5" s="8"/>
      <c r="C5" s="8" t="s">
        <v>7</v>
      </c>
      <c r="D5" s="9">
        <f>SUM(E5:Q5)</f>
        <v>98133530.93000004</v>
      </c>
      <c r="E5" s="9">
        <f aca="true" t="shared" si="0" ref="E5:Q5">SUM(E6:E64)</f>
        <v>35475452.61</v>
      </c>
      <c r="F5" s="9">
        <f t="shared" si="0"/>
        <v>17173868.36</v>
      </c>
      <c r="G5" s="9">
        <f t="shared" si="0"/>
        <v>11532463.45</v>
      </c>
      <c r="H5" s="9">
        <f t="shared" si="0"/>
        <v>9864290.229999999</v>
      </c>
      <c r="I5" s="9">
        <f t="shared" si="0"/>
        <v>2713564.15</v>
      </c>
      <c r="J5" s="9">
        <f t="shared" si="0"/>
        <v>2555176.51</v>
      </c>
      <c r="K5" s="9">
        <f t="shared" si="0"/>
        <v>2650659.3400000003</v>
      </c>
      <c r="L5" s="9">
        <f t="shared" si="0"/>
        <v>1281889.1800000002</v>
      </c>
      <c r="M5" s="9">
        <f t="shared" si="0"/>
        <v>1330989.5699999998</v>
      </c>
      <c r="N5" s="9">
        <f t="shared" si="0"/>
        <v>3547849.3899999997</v>
      </c>
      <c r="O5" s="9">
        <f t="shared" si="0"/>
        <v>811610.01</v>
      </c>
      <c r="P5" s="9">
        <f t="shared" si="0"/>
        <v>4563028.949999999</v>
      </c>
      <c r="Q5" s="9">
        <f t="shared" si="0"/>
        <v>4632689.18</v>
      </c>
      <c r="R5" s="15"/>
    </row>
    <row r="6" spans="1:18" ht="13.5" thickTop="1">
      <c r="A6" s="6"/>
      <c r="B6" s="54"/>
      <c r="C6" s="5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6"/>
    </row>
    <row r="7" spans="1:18" ht="12.75">
      <c r="A7" s="30" t="s">
        <v>5</v>
      </c>
      <c r="B7" s="30" t="s">
        <v>145</v>
      </c>
      <c r="C7" t="s">
        <v>24</v>
      </c>
      <c r="D7" s="5">
        <f aca="true" t="shared" si="1" ref="D7:D41">SUM(E7:Q7)</f>
        <v>6491058.68</v>
      </c>
      <c r="E7" s="5">
        <f>1485671.58+5005387.1</f>
        <v>6491058.68</v>
      </c>
      <c r="R7" s="12">
        <f>D7/D5</f>
        <v>0.06614516586211658</v>
      </c>
    </row>
    <row r="8" spans="1:18" ht="12.75">
      <c r="A8" s="30" t="s">
        <v>5</v>
      </c>
      <c r="B8" s="30" t="s">
        <v>33</v>
      </c>
      <c r="C8" t="s">
        <v>146</v>
      </c>
      <c r="D8" s="5">
        <f t="shared" si="1"/>
        <v>110854.23</v>
      </c>
      <c r="E8" s="5">
        <v>110854.23</v>
      </c>
      <c r="R8" s="12">
        <f>D8/D5</f>
        <v>0.0011296264278829813</v>
      </c>
    </row>
    <row r="9" spans="1:18" ht="12.75">
      <c r="A9" s="30" t="s">
        <v>5</v>
      </c>
      <c r="B9" s="30" t="s">
        <v>44</v>
      </c>
      <c r="C9" t="s">
        <v>39</v>
      </c>
      <c r="D9" s="5">
        <f t="shared" si="1"/>
        <v>500420.92</v>
      </c>
      <c r="E9" s="5">
        <f>198740.12+301680.8</f>
        <v>500420.92</v>
      </c>
      <c r="R9" s="12">
        <f>D9/D5</f>
        <v>0.005099387694069185</v>
      </c>
    </row>
    <row r="10" spans="1:18" ht="12.75">
      <c r="A10" s="30" t="s">
        <v>5</v>
      </c>
      <c r="B10" s="30" t="s">
        <v>45</v>
      </c>
      <c r="C10" t="s">
        <v>138</v>
      </c>
      <c r="D10" s="5">
        <f t="shared" si="1"/>
        <v>8702447.63</v>
      </c>
      <c r="E10" s="5">
        <f>9468639.46-766191.83</f>
        <v>8702447.63</v>
      </c>
      <c r="R10" s="12">
        <f>D10/D5</f>
        <v>0.08867965462495764</v>
      </c>
    </row>
    <row r="11" spans="1:18" ht="12.75">
      <c r="A11" s="30" t="s">
        <v>5</v>
      </c>
      <c r="B11" s="30" t="s">
        <v>49</v>
      </c>
      <c r="C11" t="s">
        <v>50</v>
      </c>
      <c r="D11" s="5">
        <f t="shared" si="1"/>
        <v>105413.83</v>
      </c>
      <c r="E11" s="5">
        <f>105413.83</f>
        <v>105413.83</v>
      </c>
      <c r="R11" s="12">
        <f>D11/D5</f>
        <v>0.001074187680816184</v>
      </c>
    </row>
    <row r="12" spans="1:18" ht="12.75">
      <c r="A12" s="30" t="s">
        <v>5</v>
      </c>
      <c r="B12" s="30" t="s">
        <v>53</v>
      </c>
      <c r="C12" t="s">
        <v>54</v>
      </c>
      <c r="D12" s="5">
        <f t="shared" si="1"/>
        <v>88900.66</v>
      </c>
      <c r="E12" s="5">
        <f>88900.66</f>
        <v>88900.66</v>
      </c>
      <c r="R12" s="12">
        <f>D12/D5</f>
        <v>0.0009059152275221202</v>
      </c>
    </row>
    <row r="13" spans="1:18" ht="12.75">
      <c r="A13" s="30" t="s">
        <v>17</v>
      </c>
      <c r="B13" s="30" t="s">
        <v>147</v>
      </c>
      <c r="C13" t="s">
        <v>24</v>
      </c>
      <c r="D13" s="5">
        <f t="shared" si="1"/>
        <v>3647310.73</v>
      </c>
      <c r="F13" s="5">
        <f>682672.96+1879000+644139.73+335575.03+61459.82-6794.5-38367.26-69086.01+158710.96</f>
        <v>3647310.73</v>
      </c>
      <c r="R13" s="12">
        <f>D13/D5</f>
        <v>0.03716681439498672</v>
      </c>
    </row>
    <row r="14" spans="1:18" ht="12.75">
      <c r="A14" s="30" t="s">
        <v>17</v>
      </c>
      <c r="B14" s="30" t="s">
        <v>32</v>
      </c>
      <c r="C14" t="s">
        <v>18</v>
      </c>
      <c r="D14" s="5">
        <f t="shared" si="1"/>
        <v>7483886.850000001</v>
      </c>
      <c r="F14" s="5">
        <f>1141981.41+6341905.44</f>
        <v>7483886.850000001</v>
      </c>
      <c r="R14" s="12">
        <f>D14/D5</f>
        <v>0.07626228037528128</v>
      </c>
    </row>
    <row r="15" spans="1:18" ht="12.75">
      <c r="A15" s="30" t="s">
        <v>17</v>
      </c>
      <c r="B15" s="30" t="s">
        <v>38</v>
      </c>
      <c r="C15" t="s">
        <v>40</v>
      </c>
      <c r="D15" s="5">
        <f t="shared" si="1"/>
        <v>86401.02</v>
      </c>
      <c r="F15" s="5">
        <f>86401.02</f>
        <v>86401.02</v>
      </c>
      <c r="R15" s="12">
        <f>D15/D5</f>
        <v>0.000880443403810987</v>
      </c>
    </row>
    <row r="16" spans="1:18" ht="12.75">
      <c r="A16" s="30" t="s">
        <v>17</v>
      </c>
      <c r="B16" s="30" t="s">
        <v>49</v>
      </c>
      <c r="C16" t="s">
        <v>51</v>
      </c>
      <c r="D16" s="5">
        <f t="shared" si="1"/>
        <v>58036.91</v>
      </c>
      <c r="F16" s="5">
        <v>58036.91</v>
      </c>
      <c r="R16" s="12">
        <f>D16/D5</f>
        <v>0.0005914075387891475</v>
      </c>
    </row>
    <row r="17" spans="1:18" ht="12.75">
      <c r="A17" s="30" t="s">
        <v>17</v>
      </c>
      <c r="B17" s="30" t="s">
        <v>49</v>
      </c>
      <c r="C17" t="s">
        <v>52</v>
      </c>
      <c r="D17" s="5">
        <f t="shared" si="1"/>
        <v>-8644.86</v>
      </c>
      <c r="F17" s="5">
        <f>-8644.86</f>
        <v>-8644.86</v>
      </c>
      <c r="R17" s="12">
        <f>D17/D5</f>
        <v>-8.80928253378195E-05</v>
      </c>
    </row>
    <row r="18" spans="1:18" ht="12.75">
      <c r="A18" s="30" t="s">
        <v>17</v>
      </c>
      <c r="B18" s="30" t="s">
        <v>48</v>
      </c>
      <c r="C18" t="s">
        <v>43</v>
      </c>
      <c r="D18" s="5">
        <f t="shared" si="1"/>
        <v>-5633</v>
      </c>
      <c r="F18" s="5">
        <f>-5633</f>
        <v>-5633</v>
      </c>
      <c r="R18" s="12">
        <f>D18/D5</f>
        <v>-5.740137898449913E-05</v>
      </c>
    </row>
    <row r="19" spans="1:18" ht="12.75">
      <c r="A19" s="30" t="s">
        <v>20</v>
      </c>
      <c r="B19" s="30" t="s">
        <v>167</v>
      </c>
      <c r="C19" t="s">
        <v>24</v>
      </c>
      <c r="D19" s="5">
        <f t="shared" si="1"/>
        <v>209474.52000000002</v>
      </c>
      <c r="G19" s="5">
        <f>6110+188167.92+15196.6</f>
        <v>209474.52000000002</v>
      </c>
      <c r="R19" s="12">
        <f>D19/D5</f>
        <v>0.0021345865986359034</v>
      </c>
    </row>
    <row r="20" spans="1:18" ht="12.75">
      <c r="A20" s="30" t="s">
        <v>20</v>
      </c>
      <c r="B20" s="30" t="s">
        <v>32</v>
      </c>
      <c r="C20" t="s">
        <v>21</v>
      </c>
      <c r="D20" s="5">
        <f t="shared" si="1"/>
        <v>1288197.08</v>
      </c>
      <c r="G20" s="5">
        <f>996960.19+291236.89</f>
        <v>1288197.08</v>
      </c>
      <c r="R20" s="12">
        <f>D20/D5</f>
        <v>0.013126981856169919</v>
      </c>
    </row>
    <row r="21" spans="1:18" ht="12.75">
      <c r="A21" s="30" t="s">
        <v>20</v>
      </c>
      <c r="B21" s="30" t="s">
        <v>38</v>
      </c>
      <c r="C21" t="s">
        <v>41</v>
      </c>
      <c r="D21" s="5">
        <f t="shared" si="1"/>
        <v>8653913.6</v>
      </c>
      <c r="G21" s="5">
        <v>8653913.6</v>
      </c>
      <c r="R21" s="12">
        <f>D21/D5</f>
        <v>0.0881850833042271</v>
      </c>
    </row>
    <row r="22" spans="1:18" ht="12.75">
      <c r="A22" s="30" t="s">
        <v>25</v>
      </c>
      <c r="B22" s="30" t="s">
        <v>154</v>
      </c>
      <c r="C22" t="s">
        <v>24</v>
      </c>
      <c r="D22" s="5">
        <f t="shared" si="1"/>
        <v>1248573.17</v>
      </c>
      <c r="H22" s="5">
        <f>36069.64+929868.46+188018.95+94616.12</f>
        <v>1248573.17</v>
      </c>
      <c r="R22" s="12">
        <f>D22/D5</f>
        <v>0.012723206412399692</v>
      </c>
    </row>
    <row r="23" spans="1:18" ht="12.75">
      <c r="A23" s="30" t="s">
        <v>25</v>
      </c>
      <c r="B23" s="30" t="s">
        <v>33</v>
      </c>
      <c r="C23" t="s">
        <v>34</v>
      </c>
      <c r="D23" s="5">
        <f t="shared" si="1"/>
        <v>2551199.92</v>
      </c>
      <c r="H23" s="5">
        <v>2551199.92</v>
      </c>
      <c r="R23" s="12">
        <f>D23/D5</f>
        <v>0.02599722944667919</v>
      </c>
    </row>
    <row r="24" spans="1:18" ht="12.75">
      <c r="A24" s="30" t="s">
        <v>26</v>
      </c>
      <c r="B24" s="30" t="s">
        <v>42</v>
      </c>
      <c r="C24" t="s">
        <v>24</v>
      </c>
      <c r="D24" s="5">
        <f t="shared" si="1"/>
        <v>413753.82</v>
      </c>
      <c r="J24" s="5">
        <f>34158.65+245714.72+133880.45</f>
        <v>413753.82</v>
      </c>
      <c r="R24" s="12">
        <f>D24/D5</f>
        <v>0.004216232882674284</v>
      </c>
    </row>
    <row r="25" spans="1:18" ht="12.75">
      <c r="A25" s="30" t="s">
        <v>26</v>
      </c>
      <c r="B25" s="30" t="s">
        <v>33</v>
      </c>
      <c r="C25" t="s">
        <v>35</v>
      </c>
      <c r="D25" s="5">
        <f t="shared" si="1"/>
        <v>2122452.69</v>
      </c>
      <c r="J25" s="5">
        <v>2122452.69</v>
      </c>
      <c r="R25" s="12">
        <f>D25/D5</f>
        <v>0.021628210764310252</v>
      </c>
    </row>
    <row r="26" spans="1:18" ht="12.75">
      <c r="A26" s="30" t="s">
        <v>26</v>
      </c>
      <c r="B26" s="30" t="s">
        <v>53</v>
      </c>
      <c r="C26" t="s">
        <v>43</v>
      </c>
      <c r="D26" s="5">
        <f t="shared" si="1"/>
        <v>18970</v>
      </c>
      <c r="J26" s="5">
        <f>18970</f>
        <v>18970</v>
      </c>
      <c r="R26" s="12">
        <f>D26/D5</f>
        <v>0.00019330803467707236</v>
      </c>
    </row>
    <row r="27" spans="1:18" ht="12.75">
      <c r="A27" s="30" t="s">
        <v>150</v>
      </c>
      <c r="B27" s="30" t="s">
        <v>151</v>
      </c>
      <c r="C27" t="s">
        <v>43</v>
      </c>
      <c r="D27" s="5">
        <f t="shared" si="1"/>
        <v>24970</v>
      </c>
      <c r="K27" s="5">
        <f>9970+15000</f>
        <v>24970</v>
      </c>
      <c r="R27" s="12">
        <f>D27/D5</f>
        <v>0.0002544492159138902</v>
      </c>
    </row>
    <row r="28" spans="1:18" ht="12.75">
      <c r="A28" s="30" t="s">
        <v>27</v>
      </c>
      <c r="B28" s="30" t="s">
        <v>155</v>
      </c>
      <c r="C28" t="s">
        <v>24</v>
      </c>
      <c r="D28" s="5">
        <f t="shared" si="1"/>
        <v>1257941.6800000002</v>
      </c>
      <c r="L28" s="5">
        <f>90000+359860.57+487000+67741.82+253339.29</f>
        <v>1257941.6800000002</v>
      </c>
      <c r="R28" s="12">
        <f>D28/D5</f>
        <v>0.012818673373704518</v>
      </c>
    </row>
    <row r="29" spans="1:18" ht="12.75">
      <c r="A29" s="30" t="s">
        <v>27</v>
      </c>
      <c r="B29" s="30" t="s">
        <v>38</v>
      </c>
      <c r="C29" t="s">
        <v>43</v>
      </c>
      <c r="D29" s="5">
        <f t="shared" si="1"/>
        <v>23947.5</v>
      </c>
      <c r="L29" s="5">
        <f>23947.5</f>
        <v>23947.5</v>
      </c>
      <c r="R29" s="12">
        <f>D29/D5</f>
        <v>0.00024402973961144914</v>
      </c>
    </row>
    <row r="30" spans="1:18" ht="12.75">
      <c r="A30" s="30" t="s">
        <v>22</v>
      </c>
      <c r="B30" s="30" t="s">
        <v>32</v>
      </c>
      <c r="C30" t="s">
        <v>24</v>
      </c>
      <c r="D30" s="5">
        <f t="shared" si="1"/>
        <v>357780.19</v>
      </c>
      <c r="M30" s="5">
        <f>242768.2+115011.99</f>
        <v>357780.19</v>
      </c>
      <c r="R30" s="12">
        <f>D30/D5</f>
        <v>0.003645850573288853</v>
      </c>
    </row>
    <row r="31" spans="1:18" ht="12.75">
      <c r="A31" s="30" t="s">
        <v>22</v>
      </c>
      <c r="B31" s="30" t="s">
        <v>19</v>
      </c>
      <c r="C31" t="s">
        <v>23</v>
      </c>
      <c r="D31" s="5">
        <f t="shared" si="1"/>
        <v>248545</v>
      </c>
      <c r="M31" s="5">
        <v>248545</v>
      </c>
      <c r="R31" s="12">
        <f>D31/D5</f>
        <v>0.0025327224817508144</v>
      </c>
    </row>
    <row r="32" spans="1:18" ht="12.75">
      <c r="A32" s="30" t="s">
        <v>22</v>
      </c>
      <c r="B32" s="30" t="s">
        <v>32</v>
      </c>
      <c r="C32" t="s">
        <v>37</v>
      </c>
      <c r="D32" s="5">
        <f t="shared" si="1"/>
        <v>97021.54</v>
      </c>
      <c r="M32" s="5">
        <f>45603.09+51418.45</f>
        <v>97021.54</v>
      </c>
      <c r="R32" s="12">
        <f>D32/D5</f>
        <v>0.0009886685935025282</v>
      </c>
    </row>
    <row r="33" spans="1:18" ht="12.75">
      <c r="A33" s="30" t="s">
        <v>28</v>
      </c>
      <c r="B33" s="30" t="s">
        <v>47</v>
      </c>
      <c r="C33" t="s">
        <v>24</v>
      </c>
      <c r="D33" s="5">
        <f t="shared" si="1"/>
        <v>1090369.3299999998</v>
      </c>
      <c r="N33" s="5">
        <f>190253.12+369334.97+251602.82+279178.42</f>
        <v>1090369.3299999998</v>
      </c>
      <c r="R33" s="12">
        <f>D33/D5</f>
        <v>0.011111078136766268</v>
      </c>
    </row>
    <row r="34" spans="1:18" ht="12.75">
      <c r="A34" s="30" t="s">
        <v>28</v>
      </c>
      <c r="B34" s="30" t="s">
        <v>33</v>
      </c>
      <c r="C34" t="s">
        <v>36</v>
      </c>
      <c r="D34" s="5">
        <f t="shared" si="1"/>
        <v>2457480.06</v>
      </c>
      <c r="N34" s="5">
        <v>2457480.06</v>
      </c>
      <c r="R34" s="12">
        <f>D34/D5</f>
        <v>0.025042205622387657</v>
      </c>
    </row>
    <row r="35" spans="1:18" ht="12.75">
      <c r="A35" s="30" t="s">
        <v>29</v>
      </c>
      <c r="B35" s="30" t="s">
        <v>145</v>
      </c>
      <c r="C35" t="s">
        <v>24</v>
      </c>
      <c r="D35" s="5">
        <f t="shared" si="1"/>
        <v>313603.51</v>
      </c>
      <c r="O35" s="5">
        <f>65575.07+248028.44</f>
        <v>313603.51</v>
      </c>
      <c r="R35" s="12">
        <f>D35/D5</f>
        <v>0.0031956815069020352</v>
      </c>
    </row>
    <row r="36" spans="1:18" ht="12.75">
      <c r="A36" s="30" t="s">
        <v>29</v>
      </c>
      <c r="B36" s="30" t="s">
        <v>149</v>
      </c>
      <c r="C36" t="s">
        <v>43</v>
      </c>
      <c r="D36" s="5">
        <f t="shared" si="1"/>
        <v>498006.5</v>
      </c>
      <c r="O36" s="5">
        <f>51451.5+246555+200000</f>
        <v>498006.5</v>
      </c>
      <c r="R36" s="12">
        <f>D36/D5</f>
        <v>0.005074784278935552</v>
      </c>
    </row>
    <row r="37" spans="1:18" ht="12.75">
      <c r="A37" s="30" t="s">
        <v>30</v>
      </c>
      <c r="B37" s="30" t="s">
        <v>148</v>
      </c>
      <c r="C37" t="s">
        <v>24</v>
      </c>
      <c r="D37" s="5">
        <f t="shared" si="1"/>
        <v>2307993.5599999996</v>
      </c>
      <c r="P37" s="5">
        <f>12007.36+391267.59+483716.2+1000424.28+179960.19+12017.93+34578+194022.01</f>
        <v>2307993.5599999996</v>
      </c>
      <c r="R37" s="12">
        <f>D37/D5</f>
        <v>0.02351890875756139</v>
      </c>
    </row>
    <row r="38" spans="1:18" ht="12.75">
      <c r="A38" s="30" t="s">
        <v>30</v>
      </c>
      <c r="B38" s="30" t="s">
        <v>45</v>
      </c>
      <c r="C38" t="s">
        <v>46</v>
      </c>
      <c r="D38" s="5">
        <f t="shared" si="1"/>
        <v>122494.35</v>
      </c>
      <c r="P38" s="5">
        <v>122494.35</v>
      </c>
      <c r="R38" s="12">
        <f>D38/D5</f>
        <v>0.0012482415423060327</v>
      </c>
    </row>
    <row r="39" spans="1:19" ht="12.75">
      <c r="A39" s="30" t="s">
        <v>31</v>
      </c>
      <c r="B39" s="30" t="s">
        <v>55</v>
      </c>
      <c r="C39" t="s">
        <v>24</v>
      </c>
      <c r="D39" s="5">
        <f t="shared" si="1"/>
        <v>702285.01</v>
      </c>
      <c r="Q39" s="5">
        <f>65782.4+367000+16314.08+11993.9+76763.05+164431.58</f>
        <v>702285.01</v>
      </c>
      <c r="R39" s="12">
        <f>D39/D5</f>
        <v>0.007156422512718403</v>
      </c>
      <c r="S39" s="12"/>
    </row>
    <row r="40" spans="1:18" ht="12.75">
      <c r="A40" s="30" t="s">
        <v>5</v>
      </c>
      <c r="B40" s="30" t="s">
        <v>152</v>
      </c>
      <c r="C40" t="s">
        <v>63</v>
      </c>
      <c r="D40" s="5">
        <f t="shared" si="1"/>
        <v>8019866.98</v>
      </c>
      <c r="E40" s="5">
        <f>478502.95+7541364.03</f>
        <v>8019866.98</v>
      </c>
      <c r="R40" s="12">
        <f>D40/D5</f>
        <v>0.08172402341989181</v>
      </c>
    </row>
    <row r="41" spans="1:18" ht="12.75">
      <c r="A41" s="30" t="s">
        <v>5</v>
      </c>
      <c r="B41" s="30" t="s">
        <v>62</v>
      </c>
      <c r="C41" t="s">
        <v>64</v>
      </c>
      <c r="D41" s="5">
        <f t="shared" si="1"/>
        <v>5845283.67</v>
      </c>
      <c r="E41" s="5">
        <v>5845283.67</v>
      </c>
      <c r="R41" s="12">
        <f>D41/D5</f>
        <v>0.05956459137468027</v>
      </c>
    </row>
    <row r="42" spans="1:18" ht="12.75">
      <c r="A42" s="30" t="s">
        <v>5</v>
      </c>
      <c r="B42" s="30" t="s">
        <v>70</v>
      </c>
      <c r="C42" t="s">
        <v>71</v>
      </c>
      <c r="D42" s="5">
        <f aca="true" t="shared" si="2" ref="D42:D63">SUM(E42:Q42)</f>
        <v>3099098.32</v>
      </c>
      <c r="E42" s="5">
        <v>3099098.32</v>
      </c>
      <c r="R42" s="12">
        <f>D42/D5</f>
        <v>0.03158042200897294</v>
      </c>
    </row>
    <row r="43" spans="1:18" ht="12.75">
      <c r="A43" s="30" t="s">
        <v>5</v>
      </c>
      <c r="B43" s="30" t="s">
        <v>13</v>
      </c>
      <c r="C43" t="s">
        <v>15</v>
      </c>
      <c r="D43" s="5">
        <f t="shared" si="2"/>
        <v>2253928.3</v>
      </c>
      <c r="E43" s="5">
        <f>2253928.3</f>
        <v>2253928.3</v>
      </c>
      <c r="R43" s="12">
        <f>D43/D5</f>
        <v>0.022967973114182114</v>
      </c>
    </row>
    <row r="44" spans="1:18" ht="12.75">
      <c r="A44" s="30" t="s">
        <v>5</v>
      </c>
      <c r="B44" s="30" t="s">
        <v>13</v>
      </c>
      <c r="C44" t="s">
        <v>81</v>
      </c>
      <c r="D44" s="5">
        <f t="shared" si="2"/>
        <v>258179.39</v>
      </c>
      <c r="E44" s="5">
        <f>258179.39</f>
        <v>258179.39</v>
      </c>
      <c r="R44" s="12">
        <f>D44/D5</f>
        <v>0.0026308988126001786</v>
      </c>
    </row>
    <row r="45" spans="1:18" ht="12.75">
      <c r="A45" s="30" t="s">
        <v>17</v>
      </c>
      <c r="B45" s="30" t="s">
        <v>62</v>
      </c>
      <c r="C45" t="s">
        <v>139</v>
      </c>
      <c r="D45" s="5">
        <f t="shared" si="2"/>
        <v>4084600.87</v>
      </c>
      <c r="F45" s="5">
        <v>4084600.87</v>
      </c>
      <c r="R45" s="12">
        <f>D45/D5</f>
        <v>0.041622887012122294</v>
      </c>
    </row>
    <row r="46" spans="1:18" ht="12.75">
      <c r="A46" s="30" t="s">
        <v>17</v>
      </c>
      <c r="B46" s="30" t="s">
        <v>62</v>
      </c>
      <c r="C46" t="s">
        <v>65</v>
      </c>
      <c r="D46" s="5">
        <f t="shared" si="2"/>
        <v>442785.36</v>
      </c>
      <c r="F46" s="5">
        <v>442785.36</v>
      </c>
      <c r="R46" s="12">
        <f>D46/D5</f>
        <v>0.004512069990794938</v>
      </c>
    </row>
    <row r="47" spans="1:18" ht="12.75">
      <c r="A47" s="30" t="s">
        <v>17</v>
      </c>
      <c r="B47" s="30" t="s">
        <v>70</v>
      </c>
      <c r="C47" t="s">
        <v>72</v>
      </c>
      <c r="D47" s="5">
        <f t="shared" si="2"/>
        <v>1385124.48</v>
      </c>
      <c r="F47" s="5">
        <f>1385124.48</f>
        <v>1385124.48</v>
      </c>
      <c r="R47" s="12">
        <f>D47/D5</f>
        <v>0.014114691144538841</v>
      </c>
    </row>
    <row r="48" spans="1:18" ht="12.75">
      <c r="A48" s="30" t="s">
        <v>20</v>
      </c>
      <c r="B48" s="30" t="s">
        <v>70</v>
      </c>
      <c r="C48" t="s">
        <v>73</v>
      </c>
      <c r="D48" s="5">
        <f t="shared" si="2"/>
        <v>702428.94</v>
      </c>
      <c r="G48" s="5">
        <v>702428.94</v>
      </c>
      <c r="R48" s="12">
        <f>D48/D5</f>
        <v>0.007157889187754305</v>
      </c>
    </row>
    <row r="49" spans="1:18" ht="12.75">
      <c r="A49" s="30" t="s">
        <v>20</v>
      </c>
      <c r="B49" s="30" t="s">
        <v>13</v>
      </c>
      <c r="C49" t="s">
        <v>82</v>
      </c>
      <c r="D49" s="5">
        <f t="shared" si="2"/>
        <v>136415.17</v>
      </c>
      <c r="G49" s="5">
        <f>136415.17</f>
        <v>136415.17</v>
      </c>
      <c r="R49" s="12">
        <f>D49/D5</f>
        <v>0.0013900974387368859</v>
      </c>
    </row>
    <row r="50" spans="1:18" ht="12.75">
      <c r="A50" s="30" t="s">
        <v>20</v>
      </c>
      <c r="B50" s="30" t="s">
        <v>83</v>
      </c>
      <c r="C50" t="s">
        <v>84</v>
      </c>
      <c r="D50" s="5">
        <f t="shared" si="2"/>
        <v>542034.14</v>
      </c>
      <c r="G50" s="5">
        <v>542034.14</v>
      </c>
      <c r="R50" s="12">
        <f>D50/D5</f>
        <v>0.005523434598380448</v>
      </c>
    </row>
    <row r="51" spans="1:18" ht="12.75">
      <c r="A51" s="30" t="s">
        <v>25</v>
      </c>
      <c r="B51" s="30" t="s">
        <v>56</v>
      </c>
      <c r="C51" t="s">
        <v>57</v>
      </c>
      <c r="D51" s="5">
        <f t="shared" si="2"/>
        <v>1321981.34</v>
      </c>
      <c r="H51" s="5">
        <v>1321981.34</v>
      </c>
      <c r="R51" s="12">
        <f>D51/D5</f>
        <v>0.013471250116771883</v>
      </c>
    </row>
    <row r="52" spans="1:18" ht="12.75">
      <c r="A52" s="30" t="s">
        <v>25</v>
      </c>
      <c r="B52" s="30" t="s">
        <v>153</v>
      </c>
      <c r="C52" t="s">
        <v>58</v>
      </c>
      <c r="D52" s="5">
        <f t="shared" si="2"/>
        <v>2958966.16</v>
      </c>
      <c r="H52" s="5">
        <f>527766+2000000+431200.16</f>
        <v>2958966.16</v>
      </c>
      <c r="R52" s="12">
        <f>D52/D5</f>
        <v>0.030152447710361817</v>
      </c>
    </row>
    <row r="53" spans="1:18" ht="12.75">
      <c r="A53" s="30" t="s">
        <v>25</v>
      </c>
      <c r="B53" s="30" t="s">
        <v>56</v>
      </c>
      <c r="C53" t="s">
        <v>59</v>
      </c>
      <c r="D53" s="5">
        <f t="shared" si="2"/>
        <v>447676.29</v>
      </c>
      <c r="H53" s="5">
        <v>447676.29</v>
      </c>
      <c r="R53" s="12">
        <f>D53/D5</f>
        <v>0.004561909530386036</v>
      </c>
    </row>
    <row r="54" spans="1:18" ht="12.75">
      <c r="A54" s="30" t="s">
        <v>25</v>
      </c>
      <c r="B54" s="30" t="s">
        <v>62</v>
      </c>
      <c r="C54" t="s">
        <v>66</v>
      </c>
      <c r="D54" s="5">
        <f t="shared" si="2"/>
        <v>1286321.35</v>
      </c>
      <c r="H54" s="5">
        <v>1286321.35</v>
      </c>
      <c r="R54" s="12">
        <f>D54/D5</f>
        <v>0.013107867798189697</v>
      </c>
    </row>
    <row r="55" spans="1:18" ht="12.75">
      <c r="A55" s="30" t="s">
        <v>25</v>
      </c>
      <c r="B55" s="30" t="s">
        <v>78</v>
      </c>
      <c r="C55" t="s">
        <v>79</v>
      </c>
      <c r="D55" s="5">
        <f t="shared" si="2"/>
        <v>49572</v>
      </c>
      <c r="H55" s="5">
        <f>49572</f>
        <v>49572</v>
      </c>
      <c r="R55" s="12">
        <f>D55/D5</f>
        <v>0.0005051484393785889</v>
      </c>
    </row>
    <row r="56" spans="1:18" ht="12.75">
      <c r="A56" s="30" t="s">
        <v>67</v>
      </c>
      <c r="B56" s="30" t="s">
        <v>62</v>
      </c>
      <c r="C56" t="s">
        <v>68</v>
      </c>
      <c r="D56" s="5">
        <f t="shared" si="2"/>
        <v>2713564.15</v>
      </c>
      <c r="I56" s="5">
        <v>2713564.15</v>
      </c>
      <c r="R56" s="12">
        <f>D56/D5</f>
        <v>0.027651752915480252</v>
      </c>
    </row>
    <row r="57" spans="1:18" ht="12.75">
      <c r="A57" s="30" t="s">
        <v>61</v>
      </c>
      <c r="B57" s="30" t="s">
        <v>56</v>
      </c>
      <c r="C57" t="s">
        <v>143</v>
      </c>
      <c r="D57" s="5">
        <f t="shared" si="2"/>
        <v>427217.64</v>
      </c>
      <c r="K57" s="5">
        <v>427217.64</v>
      </c>
      <c r="R57" s="12">
        <f>D57/D5</f>
        <v>0.004353431859134266</v>
      </c>
    </row>
    <row r="58" spans="1:18" ht="12.75">
      <c r="A58" s="30" t="s">
        <v>61</v>
      </c>
      <c r="B58" s="30" t="s">
        <v>62</v>
      </c>
      <c r="C58" t="s">
        <v>69</v>
      </c>
      <c r="D58" s="5">
        <f t="shared" si="2"/>
        <v>2198471.7</v>
      </c>
      <c r="K58" s="5">
        <f>2198471.7</f>
        <v>2198471.7</v>
      </c>
      <c r="R58" s="12">
        <f>D58/D5</f>
        <v>0.022402859442285834</v>
      </c>
    </row>
    <row r="59" spans="1:18" ht="12.75">
      <c r="A59" s="30" t="s">
        <v>22</v>
      </c>
      <c r="B59" s="30" t="s">
        <v>70</v>
      </c>
      <c r="C59" t="s">
        <v>74</v>
      </c>
      <c r="D59" s="5">
        <f t="shared" si="2"/>
        <v>627642.84</v>
      </c>
      <c r="M59" s="5">
        <f>627642.84</f>
        <v>627642.84</v>
      </c>
      <c r="R59" s="12">
        <f>D59/D5</f>
        <v>0.006395804105405175</v>
      </c>
    </row>
    <row r="60" spans="1:18" ht="12.75">
      <c r="A60" s="30" t="s">
        <v>30</v>
      </c>
      <c r="B60" s="30" t="s">
        <v>70</v>
      </c>
      <c r="C60" t="s">
        <v>75</v>
      </c>
      <c r="D60" s="5">
        <f t="shared" si="2"/>
        <v>6300</v>
      </c>
      <c r="P60" s="5">
        <f>6300</f>
        <v>6300</v>
      </c>
      <c r="R60" s="12">
        <f>D60/D5</f>
        <v>6.419824029865872E-05</v>
      </c>
    </row>
    <row r="61" spans="1:18" ht="12.75">
      <c r="A61" s="30" t="s">
        <v>30</v>
      </c>
      <c r="B61" s="30" t="s">
        <v>70</v>
      </c>
      <c r="C61" t="s">
        <v>76</v>
      </c>
      <c r="D61" s="5">
        <f t="shared" si="2"/>
        <v>11695</v>
      </c>
      <c r="P61" s="5">
        <v>11695</v>
      </c>
      <c r="R61" s="12">
        <f>D61/D5</f>
        <v>0.00011917435242743074</v>
      </c>
    </row>
    <row r="62" spans="1:18" ht="12.75">
      <c r="A62" s="30" t="s">
        <v>30</v>
      </c>
      <c r="B62" s="30" t="s">
        <v>78</v>
      </c>
      <c r="C62" t="s">
        <v>80</v>
      </c>
      <c r="D62" s="5">
        <f t="shared" si="2"/>
        <v>2114546.04</v>
      </c>
      <c r="P62" s="5">
        <v>2114546.04</v>
      </c>
      <c r="R62" s="12">
        <f>D62/D5</f>
        <v>0.021547640444205905</v>
      </c>
    </row>
    <row r="63" spans="1:18" ht="12.75">
      <c r="A63" s="30" t="s">
        <v>31</v>
      </c>
      <c r="B63" s="30" t="s">
        <v>77</v>
      </c>
      <c r="C63" t="s">
        <v>60</v>
      </c>
      <c r="D63" s="5">
        <f t="shared" si="2"/>
        <v>3930404.17</v>
      </c>
      <c r="Q63" s="5">
        <f>3215497.1+714907.07</f>
        <v>3930404.17</v>
      </c>
      <c r="R63" s="12">
        <f>D63/D5</f>
        <v>0.04005159228198576</v>
      </c>
    </row>
    <row r="64" spans="5:18" ht="12.75"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7"/>
    </row>
    <row r="65" spans="2:18" s="12" customFormat="1" ht="13.5" thickBot="1">
      <c r="B65" s="55"/>
      <c r="C65" s="13" t="s">
        <v>8</v>
      </c>
      <c r="D65" s="60">
        <f>SUM(E65:Q65)</f>
        <v>0.9999999999999996</v>
      </c>
      <c r="E65" s="14">
        <f>E5/D5</f>
        <v>0.361501846247692</v>
      </c>
      <c r="F65" s="14">
        <f>F5/D5</f>
        <v>0.1750050996560019</v>
      </c>
      <c r="G65" s="14">
        <f>G5/D5</f>
        <v>0.11751807298390456</v>
      </c>
      <c r="H65" s="14">
        <f>H5/D5</f>
        <v>0.10051905945416688</v>
      </c>
      <c r="I65" s="14">
        <f>I5/D5</f>
        <v>0.027651752915480252</v>
      </c>
      <c r="J65" s="14">
        <f>J5/D5</f>
        <v>0.026037751681661607</v>
      </c>
      <c r="K65" s="14">
        <f>K5/D5</f>
        <v>0.02701074051733399</v>
      </c>
      <c r="L65" s="14">
        <f>L5/D5</f>
        <v>0.013062703113315966</v>
      </c>
      <c r="M65" s="14">
        <f>M5/D5</f>
        <v>0.013563045753947369</v>
      </c>
      <c r="N65" s="14">
        <f>N5/D5</f>
        <v>0.03615328375915392</v>
      </c>
      <c r="O65" s="14">
        <f>O5/D5</f>
        <v>0.008270465785837589</v>
      </c>
      <c r="P65" s="14">
        <f>P5/D5</f>
        <v>0.04649816333679942</v>
      </c>
      <c r="Q65" s="14">
        <f>Q5/D5</f>
        <v>0.047208014794704156</v>
      </c>
      <c r="R65" s="14">
        <f>SUM(R6:R64)</f>
        <v>0.9999999999999998</v>
      </c>
    </row>
    <row r="66" spans="1:18" s="12" customFormat="1" ht="13.5" thickTop="1">
      <c r="A66" s="34"/>
      <c r="C66" s="13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</row>
    <row r="67" spans="1:18" s="12" customFormat="1" ht="12.75">
      <c r="A67" s="65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</row>
    <row r="68" ht="12.75">
      <c r="A68" s="35"/>
    </row>
    <row r="69" spans="1:18" s="52" customFormat="1" ht="12.75">
      <c r="A69" s="34"/>
      <c r="B69" s="6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8"/>
    </row>
    <row r="70" spans="1:18" s="52" customFormat="1" ht="12.75">
      <c r="A70" s="6"/>
      <c r="B70" s="6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8"/>
    </row>
    <row r="71" spans="3:5" ht="12.75">
      <c r="C71" s="66" t="s">
        <v>140</v>
      </c>
      <c r="D71" s="50">
        <v>95000000</v>
      </c>
      <c r="E71" s="28"/>
    </row>
    <row r="72" spans="3:4" ht="12.75">
      <c r="C72" s="11" t="s">
        <v>141</v>
      </c>
      <c r="D72" s="59">
        <v>6099408.5</v>
      </c>
    </row>
    <row r="73" spans="3:5" ht="13.5" thickBot="1">
      <c r="C73" s="8" t="s">
        <v>4</v>
      </c>
      <c r="D73" s="49">
        <f>SUM(D71:D72)</f>
        <v>101099408.5</v>
      </c>
      <c r="E73" s="68">
        <f>D5/D73</f>
        <v>0.9706637495312352</v>
      </c>
    </row>
    <row r="74" spans="3:5" ht="13.5" thickTop="1">
      <c r="C74" s="6"/>
      <c r="D74" s="16"/>
      <c r="E74" s="29"/>
    </row>
    <row r="75" spans="3:4" ht="12.75">
      <c r="C75" s="11" t="s">
        <v>156</v>
      </c>
      <c r="D75" s="33">
        <v>650958.73</v>
      </c>
    </row>
    <row r="76" spans="3:4" ht="12.75">
      <c r="C76" s="11" t="s">
        <v>157</v>
      </c>
      <c r="D76" s="33">
        <f>98899722.76-766191.83</f>
        <v>98133530.93</v>
      </c>
    </row>
    <row r="77" spans="3:4" ht="12.75">
      <c r="C77" s="11" t="s">
        <v>158</v>
      </c>
      <c r="D77" s="33">
        <v>2432645</v>
      </c>
    </row>
    <row r="78" spans="3:5" ht="13.5" thickBot="1">
      <c r="C78" s="11"/>
      <c r="D78" s="69">
        <f>SUM(D75:D77)</f>
        <v>101217134.66000001</v>
      </c>
      <c r="E78" s="5">
        <f>D78-D73</f>
        <v>117726.16000001132</v>
      </c>
    </row>
    <row r="79" spans="3:4" ht="13.5" thickTop="1">
      <c r="C79" s="11"/>
      <c r="D79" s="33"/>
    </row>
    <row r="80" spans="3:4" ht="12.75">
      <c r="C80" s="11" t="s">
        <v>161</v>
      </c>
      <c r="D80" s="33">
        <f>D73-D78</f>
        <v>-117726.16000001132</v>
      </c>
    </row>
    <row r="81" spans="3:4" ht="12.75">
      <c r="C81" s="11" t="s">
        <v>162</v>
      </c>
      <c r="D81" s="33">
        <f>4888176.59-4958309.81</f>
        <v>-70133.21999999974</v>
      </c>
    </row>
    <row r="82" spans="3:4" ht="12.75">
      <c r="C82" s="11" t="s">
        <v>163</v>
      </c>
      <c r="D82" s="33">
        <f>9964642.42-10000000</f>
        <v>-35357.580000000075</v>
      </c>
    </row>
    <row r="83" spans="3:4" ht="12.75">
      <c r="C83" s="11" t="s">
        <v>159</v>
      </c>
      <c r="D83" s="33">
        <v>295196.15</v>
      </c>
    </row>
    <row r="84" spans="3:4" ht="12.75">
      <c r="C84" s="11" t="s">
        <v>160</v>
      </c>
      <c r="D84" s="33">
        <v>51146.55</v>
      </c>
    </row>
    <row r="85" spans="3:4" ht="13.5" thickBot="1">
      <c r="C85" s="11"/>
      <c r="D85" s="69">
        <f>SUM(D80:D84)</f>
        <v>123125.73999998889</v>
      </c>
    </row>
    <row r="86" ht="13.5" thickTop="1">
      <c r="D86" s="12"/>
    </row>
    <row r="87" ht="12.75">
      <c r="D87" s="12"/>
    </row>
  </sheetData>
  <sheetProtection/>
  <printOptions/>
  <pageMargins left="0.5" right="0" top="0.5" bottom="0.5" header="0.5" footer="0.25"/>
  <pageSetup horizontalDpi="300" verticalDpi="300" orientation="landscape" paperSize="5" scale="60"/>
  <headerFooter alignWithMargins="0">
    <oddHeader>&amp;C&amp;A</oddHeader>
    <oddFooter>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2021-06-15T18:01:02Z</cp:lastPrinted>
  <dcterms:created xsi:type="dcterms:W3CDTF">1998-02-23T20:58:01Z</dcterms:created>
  <dcterms:modified xsi:type="dcterms:W3CDTF">2021-06-16T14:11:15Z</dcterms:modified>
  <cp:category/>
  <cp:version/>
  <cp:contentType/>
  <cp:contentStatus/>
</cp:coreProperties>
</file>