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896" activeTab="0"/>
  </bookViews>
  <sheets>
    <sheet name="2016B" sheetId="1" r:id="rId1"/>
    <sheet name="2016B Academic" sheetId="2" r:id="rId2"/>
    <sheet name="2019B" sheetId="3" r:id="rId3"/>
    <sheet name="2019B Academic" sheetId="4" r:id="rId4"/>
    <sheet name="Percentage-Final" sheetId="5" r:id="rId5"/>
    <sheet name="umbi adjustment" sheetId="6" r:id="rId6"/>
  </sheets>
  <definedNames>
    <definedName name="_xlnm.Print_Titles" localSheetId="0">'2016B'!$A:$A</definedName>
    <definedName name="_xlnm.Print_Titles" localSheetId="1">'2016B Academic'!$A:$A</definedName>
  </definedNames>
  <calcPr fullCalcOnLoad="1"/>
</workbook>
</file>

<file path=xl/sharedStrings.xml><?xml version="1.0" encoding="utf-8"?>
<sst xmlns="http://schemas.openxmlformats.org/spreadsheetml/2006/main" count="1152" uniqueCount="154">
  <si>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</si>
  <si>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</si>
  <si>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</si>
  <si>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</si>
  <si>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</si>
  <si>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</si>
  <si>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</si>
  <si>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</si>
  <si>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</si>
  <si>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</si>
  <si>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</si>
  <si>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</si>
  <si>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</si>
  <si>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Debt Svc from Earnings and Accrued Interest</t>
  </si>
  <si>
    <t>UMB</t>
  </si>
  <si>
    <t>UMES</t>
  </si>
  <si>
    <t>UMBC</t>
  </si>
  <si>
    <t>BSU</t>
  </si>
  <si>
    <t>FSU</t>
  </si>
  <si>
    <t>TU</t>
  </si>
  <si>
    <t>UB</t>
  </si>
  <si>
    <t>Resident Hall Renovations</t>
  </si>
  <si>
    <t>USMO</t>
  </si>
  <si>
    <t xml:space="preserve">        UMES Utilities Upgrade (Academic)</t>
  </si>
  <si>
    <t>24th Aux</t>
  </si>
  <si>
    <t xml:space="preserve">        FSU Facilities Renewal (Academic)</t>
  </si>
  <si>
    <t>New Campus Center</t>
  </si>
  <si>
    <t xml:space="preserve">        UMB New Campus Center (Auxiliary)</t>
  </si>
  <si>
    <t xml:space="preserve">   UMBC Resident Hall Renovation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</si>
  <si>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</si>
  <si>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</si>
  <si>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</si>
  <si>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</si>
  <si>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UMBI</t>
  </si>
  <si>
    <t>26th Aux</t>
  </si>
  <si>
    <t>West Village Infrastructure &amp; Site Improvement</t>
  </si>
  <si>
    <t xml:space="preserve">    TU West Village Infrastructure (Auxiliary)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</si>
  <si>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</si>
  <si>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</si>
  <si>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</si>
  <si>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</si>
  <si>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</si>
  <si>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</si>
  <si>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</si>
  <si>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</si>
  <si>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</si>
  <si>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</si>
  <si>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</si>
  <si>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</si>
  <si>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</si>
  <si>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</si>
  <si>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</si>
  <si>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</si>
  <si>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</si>
  <si>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</si>
  <si>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</si>
  <si>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</si>
  <si>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</si>
  <si>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</si>
  <si>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>Athletic Practice Fields</t>
  </si>
  <si>
    <t>Shady Grove Center Parking Garage</t>
  </si>
  <si>
    <t>Dormitory Renovations, Campus-Wide</t>
  </si>
  <si>
    <t>New Parking Garage &amp; Property Acquisition</t>
  </si>
  <si>
    <t xml:space="preserve">         UMBC Facilities Renewal (Academic)</t>
  </si>
  <si>
    <t xml:space="preserve">  USMO Shady Grove Education III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</si>
  <si>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</si>
  <si>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</si>
  <si>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</si>
  <si>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</si>
  <si>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</si>
  <si>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</si>
  <si>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</si>
  <si>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</si>
  <si>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26,27,28th Aux</t>
  </si>
  <si>
    <t>Dining Hall: Upgrades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</si>
  <si>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</si>
  <si>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</si>
  <si>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</si>
  <si>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</si>
  <si>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>27,28,29th Aux</t>
  </si>
  <si>
    <t>26,29th Aux</t>
  </si>
  <si>
    <t>25,26,27th Aux</t>
  </si>
  <si>
    <t xml:space="preserve">           Total Academic Projects - 2009A</t>
  </si>
  <si>
    <t xml:space="preserve">           Total Auxiliary Projects - 2009A</t>
  </si>
  <si>
    <t>29th Acad</t>
  </si>
  <si>
    <t>Facilities Renewal</t>
  </si>
  <si>
    <t>28th Acad</t>
  </si>
  <si>
    <t>New Journalism Building</t>
  </si>
  <si>
    <t>28,29th Acad</t>
  </si>
  <si>
    <t>UMCES</t>
  </si>
  <si>
    <t>27th Acad</t>
  </si>
  <si>
    <t>26,28,29th Acad</t>
  </si>
  <si>
    <t>Emergency Project</t>
  </si>
  <si>
    <t>25th Acad</t>
  </si>
  <si>
    <t>Shady Grove Education Center III</t>
  </si>
  <si>
    <t>25,26,27,28th Acad</t>
  </si>
  <si>
    <t>24th Acad</t>
  </si>
  <si>
    <t>24,25,26th Acad</t>
  </si>
  <si>
    <t>22nd Acad</t>
  </si>
  <si>
    <t>Utilities Upgrade/Site Improvement</t>
  </si>
  <si>
    <t>26,27,28,29th Aux</t>
  </si>
  <si>
    <t>27,29th Aux</t>
  </si>
  <si>
    <t>28th Aux</t>
  </si>
  <si>
    <t>West Village Parking Structure</t>
  </si>
  <si>
    <t>New Physical Education Complex ***</t>
  </si>
  <si>
    <t xml:space="preserve">Fine and Performing Arts Center </t>
  </si>
  <si>
    <t xml:space="preserve">      UMCP Facilities Renewal (Academic)</t>
  </si>
  <si>
    <t xml:space="preserve">    UMCP New Journalism Building (Academic) </t>
  </si>
  <si>
    <t xml:space="preserve">       UMB Facilities Renewal (Academic) </t>
  </si>
  <si>
    <t xml:space="preserve">        UMB Emergency Projects (Academic)</t>
  </si>
  <si>
    <t xml:space="preserve"> BSU Fine &amp; Performing Arts Center (Academic)</t>
  </si>
  <si>
    <t xml:space="preserve">  CSU New Physical Edu. Complex (Academic)</t>
  </si>
  <si>
    <t xml:space="preserve">    TU West Village Parking Structure (Auxiliary)</t>
  </si>
  <si>
    <t xml:space="preserve"> USMO Shady Grove Parking Garage (Auxiliary)</t>
  </si>
  <si>
    <t>2009 Series A &amp; B Bonds</t>
  </si>
  <si>
    <t>Phamacy Hall Addition and Renovation</t>
  </si>
  <si>
    <t>26,27,28,29th Acad</t>
  </si>
  <si>
    <t>26,27,28th Acad</t>
  </si>
  <si>
    <t>Equip Compton Science Center</t>
  </si>
  <si>
    <t>27,28th Acad</t>
  </si>
  <si>
    <t>Surface Lots</t>
  </si>
  <si>
    <t>New Student Center</t>
  </si>
  <si>
    <t>30th Aux</t>
  </si>
  <si>
    <t>Mixed-Use Development - Student Housing</t>
  </si>
  <si>
    <t>31st Aux</t>
  </si>
  <si>
    <t>Student Housing - West Village PHI</t>
  </si>
  <si>
    <t>29th Aux</t>
  </si>
  <si>
    <t>21st Acad</t>
  </si>
  <si>
    <t xml:space="preserve">     UMCP Emergency Projects (Academic) </t>
  </si>
  <si>
    <t xml:space="preserve">     UMB Pharmacy Hall Addition (Academic)</t>
  </si>
  <si>
    <t xml:space="preserve">       CSU Emergency Projects (Academic)</t>
  </si>
  <si>
    <t>FSU Equip Compton Science Center (Academic)</t>
  </si>
  <si>
    <t xml:space="preserve">          UMBC  Surface Lots (Auxiliary)</t>
  </si>
  <si>
    <t xml:space="preserve">        BSU New Student Center (Auxiliary)</t>
  </si>
  <si>
    <t xml:space="preserve">    SU Mixed-Use Student Housing (Auxiliary)</t>
  </si>
  <si>
    <t>TU Student Housing-West Village PHI (Auxiliary)</t>
  </si>
  <si>
    <t xml:space="preserve">      TU Resident Hall Renovations (Auxiliary)</t>
  </si>
  <si>
    <t>2009 Series A &amp; 2009 Series B Bond Funded Projects</t>
  </si>
  <si>
    <t xml:space="preserve">               University System of Maryland</t>
  </si>
  <si>
    <t xml:space="preserve">                 Distribution of Debt Services</t>
  </si>
  <si>
    <t xml:space="preserve">      Total Debt Service - 2009 Series A &amp; B</t>
  </si>
  <si>
    <t>Amort of</t>
  </si>
  <si>
    <t>Premium</t>
  </si>
  <si>
    <t xml:space="preserve">      UMCP Transfer from UMBI (Academic)</t>
  </si>
  <si>
    <t xml:space="preserve">      UMBC Transfer from UMBI (Academic)</t>
  </si>
  <si>
    <t xml:space="preserve">           Total Academic Projects - 2009A&amp;B</t>
  </si>
  <si>
    <t>2009 Series A &amp; B Bond Funded Projects</t>
  </si>
  <si>
    <t>Loss on Refunding</t>
  </si>
  <si>
    <t>2009 Series A &amp; B 2009 Bond refinanced on 2016B</t>
  </si>
  <si>
    <t xml:space="preserve">      Total Debt Service - 2009 Series A &amp; B Refinanced on 2016B</t>
  </si>
  <si>
    <t>2009 Series A &amp; B 2009 Bond refinanced on 2019B</t>
  </si>
  <si>
    <t xml:space="preserve">     Total Debt Service - 2019B Refinanced on 2019B</t>
  </si>
  <si>
    <t>Gain on Refunding</t>
  </si>
  <si>
    <t xml:space="preserve">     Total Debt Service - 2009B Refinanced on 2019B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</si>
</sst>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.0_);_(* \(#,##0.0\);_(* &quot;-&quot;??_);_(@_)"/>
    <numFmt numFmtId="180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3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19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9" fontId="0" fillId="0" borderId="0" xfId="59" applyFont="1" applyAlignment="1">
      <alignment/>
    </xf>
    <xf numFmtId="38" fontId="1" fillId="0" borderId="10" xfId="0" applyNumberFormat="1" applyFont="1" applyBorder="1" applyAlignment="1">
      <alignment horizontal="left"/>
    </xf>
    <xf numFmtId="38" fontId="0" fillId="33" borderId="16" xfId="0" applyNumberFormat="1" applyFill="1" applyBorder="1" applyAlignment="1">
      <alignment horizontal="center"/>
    </xf>
    <xf numFmtId="180" fontId="0" fillId="0" borderId="0" xfId="42" applyNumberFormat="1" applyFont="1" applyAlignment="1">
      <alignment/>
    </xf>
    <xf numFmtId="180" fontId="0" fillId="0" borderId="20" xfId="42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0" fillId="0" borderId="0" xfId="0" applyNumberFormat="1" applyFont="1" applyAlignment="1" quotePrefix="1">
      <alignment horizontal="left"/>
    </xf>
    <xf numFmtId="38" fontId="0" fillId="33" borderId="10" xfId="0" applyNumberFormat="1" applyFont="1" applyFill="1" applyBorder="1" applyAlignment="1" quotePrefix="1">
      <alignment horizontal="left"/>
    </xf>
    <xf numFmtId="38" fontId="41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S67"/>
  <sheetViews>
    <sheetView tabSelected="1" zoomScale="142" zoomScaleNormal="142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2" sqref="D12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14.421875" style="34" customWidth="1"/>
    <col min="8" max="8" width="3.7109375" style="32" customWidth="1"/>
    <col min="9" max="13" width="13.7109375" style="32" customWidth="1"/>
    <col min="14" max="14" width="3.7109375" style="32" customWidth="1"/>
    <col min="15" max="19" width="13.7109375" style="0" customWidth="1"/>
    <col min="20" max="20" width="3.7109375" style="32" customWidth="1"/>
    <col min="21" max="25" width="13.71093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2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9" width="13.7109375" style="20" customWidth="1"/>
    <col min="170" max="170" width="3.7109375" style="20" customWidth="1"/>
    <col min="171" max="173" width="13.7109375" style="20" customWidth="1"/>
    <col min="174" max="174" width="3.7109375" style="0" customWidth="1"/>
  </cols>
  <sheetData>
    <row r="1" spans="1:175" ht="12.75">
      <c r="A1" s="41"/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S1" s="42"/>
      <c r="AY1" s="42" t="s">
        <v>138</v>
      </c>
      <c r="BK1" s="42"/>
      <c r="BQ1" s="42" t="s">
        <v>138</v>
      </c>
      <c r="CC1" s="42"/>
      <c r="CI1" s="42" t="s">
        <v>138</v>
      </c>
      <c r="CO1" s="42"/>
      <c r="DA1" s="42" t="s">
        <v>138</v>
      </c>
      <c r="DG1" s="42"/>
      <c r="DS1" s="42" t="s">
        <v>138</v>
      </c>
      <c r="EK1" s="42" t="s">
        <v>138</v>
      </c>
      <c r="EQ1" s="42"/>
      <c r="FC1" s="42" t="s">
        <v>138</v>
      </c>
      <c r="FI1" s="42"/>
      <c r="FS1" s="42" t="s">
        <v>138</v>
      </c>
    </row>
    <row r="2" spans="1:175" ht="12.75">
      <c r="A2" s="41"/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S2" s="42"/>
      <c r="AY2" s="40" t="s">
        <v>139</v>
      </c>
      <c r="BK2" s="42"/>
      <c r="BQ2" s="40" t="s">
        <v>139</v>
      </c>
      <c r="CC2" s="42"/>
      <c r="CI2" s="40" t="s">
        <v>139</v>
      </c>
      <c r="CO2" s="42"/>
      <c r="DA2" s="40" t="s">
        <v>139</v>
      </c>
      <c r="DG2" s="42"/>
      <c r="DS2" s="40" t="s">
        <v>139</v>
      </c>
      <c r="EK2" s="40" t="s">
        <v>139</v>
      </c>
      <c r="EQ2" s="42"/>
      <c r="FC2" s="40" t="s">
        <v>139</v>
      </c>
      <c r="FI2" s="42"/>
      <c r="FS2" s="40" t="s">
        <v>139</v>
      </c>
    </row>
    <row r="3" spans="1:175" ht="12.75">
      <c r="A3" s="41"/>
      <c r="B3" s="29"/>
      <c r="C3" s="40"/>
      <c r="D3" s="40"/>
      <c r="I3" s="42"/>
      <c r="O3" s="42" t="s">
        <v>148</v>
      </c>
      <c r="P3" s="12"/>
      <c r="U3" s="42"/>
      <c r="AA3" s="42"/>
      <c r="AG3" s="42" t="str">
        <f>O3</f>
        <v>2009 Series A &amp; B 2009 Bond refinanced on 2016B</v>
      </c>
      <c r="AM3" s="42"/>
      <c r="AS3" s="42"/>
      <c r="AY3" s="42" t="str">
        <f>AG3</f>
        <v>2009 Series A &amp; B 2009 Bond refinanced on 2016B</v>
      </c>
      <c r="BK3" s="42"/>
      <c r="BQ3" s="42" t="str">
        <f>AY3</f>
        <v>2009 Series A &amp; B 2009 Bond refinanced on 2016B</v>
      </c>
      <c r="CC3" s="42"/>
      <c r="CI3" s="42" t="str">
        <f>BQ3</f>
        <v>2009 Series A &amp; B 2009 Bond refinanced on 2016B</v>
      </c>
      <c r="CO3" s="42"/>
      <c r="DA3" s="42" t="s">
        <v>137</v>
      </c>
      <c r="DG3" s="42"/>
      <c r="DS3" s="42" t="s">
        <v>137</v>
      </c>
      <c r="EK3" s="42" t="s">
        <v>137</v>
      </c>
      <c r="EQ3" s="42"/>
      <c r="FC3" s="42" t="s">
        <v>137</v>
      </c>
      <c r="FI3" s="42"/>
      <c r="FS3" s="42" t="s">
        <v>137</v>
      </c>
    </row>
    <row r="4" spans="1:4" ht="12.75">
      <c r="A4" s="41"/>
      <c r="B4" s="29"/>
      <c r="C4" s="42"/>
      <c r="D4" s="42"/>
    </row>
    <row r="5" spans="1:173" ht="12.75">
      <c r="A5" s="21" t="s">
        <v>9</v>
      </c>
      <c r="C5" s="45" t="s">
        <v>149</v>
      </c>
      <c r="D5" s="46"/>
      <c r="E5" s="47"/>
      <c r="F5" s="47"/>
      <c r="G5" s="38"/>
      <c r="I5" s="35" t="s">
        <v>82</v>
      </c>
      <c r="J5" s="68"/>
      <c r="K5" s="37"/>
      <c r="L5" s="47"/>
      <c r="M5" s="38"/>
      <c r="O5" s="35" t="s">
        <v>83</v>
      </c>
      <c r="P5" s="36"/>
      <c r="Q5" s="37"/>
      <c r="R5" s="47"/>
      <c r="S5" s="38"/>
      <c r="U5" s="22" t="s">
        <v>69</v>
      </c>
      <c r="V5" s="23"/>
      <c r="W5" s="24"/>
      <c r="X5" s="47"/>
      <c r="Y5" s="38"/>
      <c r="AA5" s="22" t="s">
        <v>46</v>
      </c>
      <c r="AB5" s="23"/>
      <c r="AC5" s="24"/>
      <c r="AD5" s="47"/>
      <c r="AE5" s="38"/>
      <c r="AG5" s="22" t="s">
        <v>70</v>
      </c>
      <c r="AH5" s="23"/>
      <c r="AI5" s="24"/>
      <c r="AJ5" s="47"/>
      <c r="AK5" s="38"/>
      <c r="AM5" s="22" t="s">
        <v>51</v>
      </c>
      <c r="AN5" s="23"/>
      <c r="AO5" s="24"/>
      <c r="AP5" s="47"/>
      <c r="AQ5" s="38"/>
      <c r="AS5" s="22" t="s">
        <v>27</v>
      </c>
      <c r="AT5" s="23"/>
      <c r="AU5" s="24"/>
      <c r="AV5" s="47"/>
      <c r="AW5" s="38"/>
      <c r="AY5" s="22" t="s">
        <v>55</v>
      </c>
      <c r="AZ5" s="23"/>
      <c r="BA5" s="24"/>
      <c r="BB5" s="47"/>
      <c r="BC5" s="38"/>
      <c r="BE5" s="22" t="s">
        <v>71</v>
      </c>
      <c r="BF5" s="23"/>
      <c r="BG5" s="24"/>
      <c r="BH5" s="47"/>
      <c r="BI5" s="38"/>
      <c r="BK5" s="22" t="s">
        <v>78</v>
      </c>
      <c r="BL5" s="23"/>
      <c r="BM5" s="24"/>
      <c r="BN5" s="47"/>
      <c r="BO5" s="38"/>
      <c r="BQ5" s="22" t="s">
        <v>28</v>
      </c>
      <c r="BR5" s="23"/>
      <c r="BS5" s="24"/>
      <c r="BT5" s="47"/>
      <c r="BU5" s="38"/>
      <c r="BW5" s="22" t="s">
        <v>132</v>
      </c>
      <c r="BX5" s="23"/>
      <c r="BY5" s="24"/>
      <c r="BZ5" s="47"/>
      <c r="CA5" s="38"/>
      <c r="CC5" s="22" t="s">
        <v>113</v>
      </c>
      <c r="CD5" s="23"/>
      <c r="CE5" s="24"/>
      <c r="CF5" s="47"/>
      <c r="CG5" s="38"/>
      <c r="CI5" s="22" t="s">
        <v>133</v>
      </c>
      <c r="CJ5" s="23"/>
      <c r="CK5" s="24"/>
      <c r="CL5" s="47"/>
      <c r="CM5" s="38"/>
      <c r="CO5" s="22" t="s">
        <v>47</v>
      </c>
      <c r="CP5" s="23"/>
      <c r="CQ5" s="24"/>
      <c r="CR5" s="47"/>
      <c r="CS5" s="38"/>
      <c r="CU5" s="22" t="s">
        <v>48</v>
      </c>
      <c r="CV5" s="23"/>
      <c r="CW5" s="24"/>
      <c r="CX5" s="47"/>
      <c r="CY5" s="38"/>
      <c r="DA5" s="22" t="s">
        <v>49</v>
      </c>
      <c r="DB5" s="23"/>
      <c r="DC5" s="24"/>
      <c r="DD5" s="47"/>
      <c r="DE5" s="38"/>
      <c r="DG5" s="22" t="s">
        <v>72</v>
      </c>
      <c r="DH5" s="23"/>
      <c r="DI5" s="24"/>
      <c r="DJ5" s="47"/>
      <c r="DK5" s="38"/>
      <c r="DM5" s="22" t="s">
        <v>50</v>
      </c>
      <c r="DN5" s="23"/>
      <c r="DO5" s="24"/>
      <c r="DP5" s="47"/>
      <c r="DQ5" s="38"/>
      <c r="DS5" s="22" t="s">
        <v>134</v>
      </c>
      <c r="DT5" s="23"/>
      <c r="DU5" s="24"/>
      <c r="DV5" s="47"/>
      <c r="DW5" s="38"/>
      <c r="DY5" s="55" t="s">
        <v>135</v>
      </c>
      <c r="DZ5" s="23"/>
      <c r="EA5" s="24"/>
      <c r="EB5" s="47"/>
      <c r="EC5" s="38"/>
      <c r="EE5" s="22" t="s">
        <v>136</v>
      </c>
      <c r="EF5" s="23"/>
      <c r="EG5" s="24"/>
      <c r="EH5" s="47"/>
      <c r="EI5" s="38"/>
      <c r="EK5" s="22" t="s">
        <v>31</v>
      </c>
      <c r="EL5" s="23"/>
      <c r="EM5" s="24"/>
      <c r="EN5" s="47"/>
      <c r="EO5" s="38"/>
      <c r="EQ5" s="22" t="s">
        <v>32</v>
      </c>
      <c r="ER5" s="23"/>
      <c r="ES5" s="24"/>
      <c r="ET5" s="47"/>
      <c r="EU5" s="38"/>
      <c r="EW5" s="22" t="s">
        <v>56</v>
      </c>
      <c r="EX5" s="23"/>
      <c r="EY5" s="24"/>
      <c r="EZ5" s="47"/>
      <c r="FA5" s="38"/>
      <c r="FB5" s="63"/>
      <c r="FC5" s="22" t="s">
        <v>36</v>
      </c>
      <c r="FD5" s="23"/>
      <c r="FE5" s="24"/>
      <c r="FF5" s="47"/>
      <c r="FG5" s="38"/>
      <c r="FI5" s="22" t="s">
        <v>112</v>
      </c>
      <c r="FJ5" s="23"/>
      <c r="FK5" s="24"/>
      <c r="FL5" s="47"/>
      <c r="FM5" s="38"/>
      <c r="FO5" s="55" t="s">
        <v>13</v>
      </c>
      <c r="FP5" s="23"/>
      <c r="FQ5" s="24"/>
    </row>
    <row r="6" spans="1:173" s="12" customFormat="1" ht="12.75">
      <c r="A6" s="43" t="s">
        <v>10</v>
      </c>
      <c r="C6" s="36"/>
      <c r="D6" s="36"/>
      <c r="E6" s="37"/>
      <c r="F6" s="78" t="s">
        <v>141</v>
      </c>
      <c r="G6" s="38" t="s">
        <v>141</v>
      </c>
      <c r="H6" s="32"/>
      <c r="I6" s="67"/>
      <c r="J6" s="62">
        <v>0.3215535</v>
      </c>
      <c r="K6" s="72"/>
      <c r="L6" s="78" t="s">
        <v>141</v>
      </c>
      <c r="M6" s="38" t="s">
        <v>141</v>
      </c>
      <c r="N6" s="32"/>
      <c r="O6" s="67"/>
      <c r="P6" s="71">
        <f>V6+AB6+AH6+AN6+AT6+AZ6+BF6+BL6+BR6+CD6+CP6+CV6+DB6+DH6+DN6+EL6+ER6+EX6+FD6+FJ6+FP6+BX6+CJ6+DT6+DZ6+EF6</f>
        <v>0.6784465000000001</v>
      </c>
      <c r="Q6" s="72"/>
      <c r="R6" s="78" t="s">
        <v>141</v>
      </c>
      <c r="S6" s="38" t="s">
        <v>141</v>
      </c>
      <c r="T6" s="32"/>
      <c r="U6" s="70"/>
      <c r="V6" s="31">
        <v>0.0550165</v>
      </c>
      <c r="W6" s="72"/>
      <c r="X6" s="78" t="s">
        <v>141</v>
      </c>
      <c r="Y6" s="38" t="s">
        <v>141</v>
      </c>
      <c r="Z6" s="32"/>
      <c r="AA6" s="70"/>
      <c r="AB6" s="31">
        <v>0.0671633</v>
      </c>
      <c r="AC6" s="72"/>
      <c r="AD6" s="78" t="s">
        <v>141</v>
      </c>
      <c r="AE6" s="38" t="s">
        <v>141</v>
      </c>
      <c r="AF6" s="32"/>
      <c r="AG6" s="70"/>
      <c r="AH6" s="31">
        <v>0.0002459</v>
      </c>
      <c r="AI6" s="72"/>
      <c r="AJ6" s="78" t="s">
        <v>141</v>
      </c>
      <c r="AK6" s="38" t="s">
        <v>141</v>
      </c>
      <c r="AL6" s="32"/>
      <c r="AM6" s="70"/>
      <c r="AN6" s="31">
        <v>0.0145161</v>
      </c>
      <c r="AO6" s="72"/>
      <c r="AP6" s="78" t="s">
        <v>141</v>
      </c>
      <c r="AQ6" s="38" t="s">
        <v>141</v>
      </c>
      <c r="AR6" s="32"/>
      <c r="AS6" s="70"/>
      <c r="AT6" s="31">
        <v>0.0667925</v>
      </c>
      <c r="AU6" s="72"/>
      <c r="AV6" s="78" t="s">
        <v>141</v>
      </c>
      <c r="AW6" s="38" t="s">
        <v>141</v>
      </c>
      <c r="AY6" s="70"/>
      <c r="AZ6" s="31">
        <v>0.0105296</v>
      </c>
      <c r="BA6" s="72"/>
      <c r="BB6" s="78" t="s">
        <v>141</v>
      </c>
      <c r="BC6" s="38" t="s">
        <v>141</v>
      </c>
      <c r="BE6" s="70"/>
      <c r="BF6" s="31">
        <v>0.0005849</v>
      </c>
      <c r="BG6" s="72"/>
      <c r="BH6" s="78" t="s">
        <v>141</v>
      </c>
      <c r="BI6" s="38" t="s">
        <v>141</v>
      </c>
      <c r="BK6" s="70"/>
      <c r="BL6" s="31">
        <v>0.0067373</v>
      </c>
      <c r="BM6" s="72"/>
      <c r="BN6" s="78" t="s">
        <v>141</v>
      </c>
      <c r="BO6" s="38" t="s">
        <v>141</v>
      </c>
      <c r="BQ6" s="70"/>
      <c r="BR6" s="31">
        <v>0.0094186</v>
      </c>
      <c r="BS6" s="72"/>
      <c r="BT6" s="78" t="s">
        <v>141</v>
      </c>
      <c r="BU6" s="38" t="s">
        <v>141</v>
      </c>
      <c r="BW6" s="70"/>
      <c r="BX6" s="31">
        <v>0.0013176</v>
      </c>
      <c r="BY6" s="72"/>
      <c r="BZ6" s="78" t="s">
        <v>141</v>
      </c>
      <c r="CA6" s="38" t="s">
        <v>141</v>
      </c>
      <c r="CC6" s="70"/>
      <c r="CD6" s="31">
        <v>0.0068448</v>
      </c>
      <c r="CE6" s="72"/>
      <c r="CF6" s="78" t="s">
        <v>141</v>
      </c>
      <c r="CG6" s="38" t="s">
        <v>141</v>
      </c>
      <c r="CI6" s="70"/>
      <c r="CJ6" s="31">
        <v>0.000389</v>
      </c>
      <c r="CK6" s="72"/>
      <c r="CL6" s="78" t="s">
        <v>141</v>
      </c>
      <c r="CM6" s="38" t="s">
        <v>141</v>
      </c>
      <c r="CO6" s="70"/>
      <c r="CP6" s="31">
        <v>0.0013749</v>
      </c>
      <c r="CQ6" s="72"/>
      <c r="CR6" s="78" t="s">
        <v>141</v>
      </c>
      <c r="CS6" s="38" t="s">
        <v>141</v>
      </c>
      <c r="CU6" s="70"/>
      <c r="CV6" s="31">
        <v>0.0049977</v>
      </c>
      <c r="CW6" s="72"/>
      <c r="CX6" s="78" t="s">
        <v>141</v>
      </c>
      <c r="CY6" s="38" t="s">
        <v>141</v>
      </c>
      <c r="DA6" s="70"/>
      <c r="DB6" s="31">
        <v>0.0341296</v>
      </c>
      <c r="DC6" s="72"/>
      <c r="DD6" s="78" t="s">
        <v>141</v>
      </c>
      <c r="DE6" s="38" t="s">
        <v>141</v>
      </c>
      <c r="DG6" s="70"/>
      <c r="DH6" s="31">
        <v>0.1412511</v>
      </c>
      <c r="DI6" s="72"/>
      <c r="DJ6" s="78" t="s">
        <v>141</v>
      </c>
      <c r="DK6" s="38" t="s">
        <v>141</v>
      </c>
      <c r="DM6" s="70"/>
      <c r="DN6" s="31">
        <v>0.0259668</v>
      </c>
      <c r="DO6" s="72"/>
      <c r="DP6" s="78" t="s">
        <v>141</v>
      </c>
      <c r="DQ6" s="38" t="s">
        <v>141</v>
      </c>
      <c r="DS6" s="70"/>
      <c r="DT6" s="31">
        <v>0.0889019</v>
      </c>
      <c r="DU6" s="72"/>
      <c r="DV6" s="78" t="s">
        <v>141</v>
      </c>
      <c r="DW6" s="38" t="s">
        <v>141</v>
      </c>
      <c r="DY6" s="70"/>
      <c r="DZ6" s="31">
        <v>0.0189545</v>
      </c>
      <c r="EA6" s="72"/>
      <c r="EB6" s="78" t="s">
        <v>141</v>
      </c>
      <c r="EC6" s="38" t="s">
        <v>141</v>
      </c>
      <c r="EE6" s="70"/>
      <c r="EF6" s="31">
        <v>0.0015442</v>
      </c>
      <c r="EG6" s="72"/>
      <c r="EH6" s="78" t="s">
        <v>141</v>
      </c>
      <c r="EI6" s="38" t="s">
        <v>141</v>
      </c>
      <c r="EK6" s="70"/>
      <c r="EL6" s="31">
        <v>0.0018417</v>
      </c>
      <c r="EM6" s="72"/>
      <c r="EN6" s="78" t="s">
        <v>141</v>
      </c>
      <c r="EO6" s="38" t="s">
        <v>141</v>
      </c>
      <c r="EQ6" s="70"/>
      <c r="ER6" s="31">
        <v>0.0037562</v>
      </c>
      <c r="ES6" s="72"/>
      <c r="ET6" s="78" t="s">
        <v>141</v>
      </c>
      <c r="EU6" s="38" t="s">
        <v>141</v>
      </c>
      <c r="EW6" s="70"/>
      <c r="EX6" s="31">
        <v>0.1035336</v>
      </c>
      <c r="EY6" s="72"/>
      <c r="EZ6" s="78" t="s">
        <v>141</v>
      </c>
      <c r="FA6" s="38" t="s">
        <v>141</v>
      </c>
      <c r="FB6" s="27"/>
      <c r="FC6" s="70"/>
      <c r="FD6" s="31">
        <v>0.004021</v>
      </c>
      <c r="FE6" s="72"/>
      <c r="FF6" s="78" t="s">
        <v>141</v>
      </c>
      <c r="FG6" s="38" t="s">
        <v>141</v>
      </c>
      <c r="FI6" s="70"/>
      <c r="FJ6" s="31">
        <v>0.0086172</v>
      </c>
      <c r="FK6" s="72"/>
      <c r="FL6" s="78" t="s">
        <v>141</v>
      </c>
      <c r="FM6" s="38" t="s">
        <v>141</v>
      </c>
      <c r="FO6" s="70"/>
      <c r="FP6" s="31"/>
      <c r="FQ6" s="44"/>
    </row>
    <row r="7" spans="1:173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G7" s="38" t="s">
        <v>147</v>
      </c>
      <c r="I7" s="38" t="s">
        <v>11</v>
      </c>
      <c r="J7" s="38" t="s">
        <v>12</v>
      </c>
      <c r="K7" s="38" t="s">
        <v>4</v>
      </c>
      <c r="L7" s="38" t="s">
        <v>142</v>
      </c>
      <c r="M7" s="38" t="s">
        <v>147</v>
      </c>
      <c r="O7" s="38" t="s">
        <v>11</v>
      </c>
      <c r="P7" s="38" t="s">
        <v>12</v>
      </c>
      <c r="Q7" s="38" t="s">
        <v>4</v>
      </c>
      <c r="R7" s="38" t="s">
        <v>142</v>
      </c>
      <c r="S7" s="38" t="s">
        <v>147</v>
      </c>
      <c r="U7" s="26" t="s">
        <v>11</v>
      </c>
      <c r="V7" s="26" t="s">
        <v>12</v>
      </c>
      <c r="W7" s="26" t="s">
        <v>4</v>
      </c>
      <c r="X7" s="38" t="s">
        <v>142</v>
      </c>
      <c r="Y7" s="38" t="s">
        <v>147</v>
      </c>
      <c r="AA7" s="26" t="s">
        <v>11</v>
      </c>
      <c r="AB7" s="26" t="s">
        <v>12</v>
      </c>
      <c r="AC7" s="26" t="s">
        <v>4</v>
      </c>
      <c r="AD7" s="38" t="s">
        <v>142</v>
      </c>
      <c r="AE7" s="38" t="s">
        <v>147</v>
      </c>
      <c r="AG7" s="26" t="s">
        <v>11</v>
      </c>
      <c r="AH7" s="26" t="s">
        <v>12</v>
      </c>
      <c r="AI7" s="26" t="s">
        <v>4</v>
      </c>
      <c r="AJ7" s="38" t="s">
        <v>142</v>
      </c>
      <c r="AK7" s="38" t="s">
        <v>147</v>
      </c>
      <c r="AM7" s="26" t="s">
        <v>11</v>
      </c>
      <c r="AN7" s="26" t="s">
        <v>12</v>
      </c>
      <c r="AO7" s="26" t="s">
        <v>4</v>
      </c>
      <c r="AP7" s="38" t="s">
        <v>142</v>
      </c>
      <c r="AQ7" s="38" t="s">
        <v>147</v>
      </c>
      <c r="AS7" s="26" t="s">
        <v>11</v>
      </c>
      <c r="AT7" s="26" t="s">
        <v>12</v>
      </c>
      <c r="AU7" s="26" t="s">
        <v>4</v>
      </c>
      <c r="AV7" s="38" t="s">
        <v>142</v>
      </c>
      <c r="AW7" s="38" t="s">
        <v>147</v>
      </c>
      <c r="AY7" s="26" t="s">
        <v>11</v>
      </c>
      <c r="AZ7" s="26" t="s">
        <v>12</v>
      </c>
      <c r="BA7" s="26" t="s">
        <v>4</v>
      </c>
      <c r="BB7" s="38" t="s">
        <v>142</v>
      </c>
      <c r="BC7" s="38" t="s">
        <v>147</v>
      </c>
      <c r="BE7" s="26" t="s">
        <v>11</v>
      </c>
      <c r="BF7" s="26" t="s">
        <v>12</v>
      </c>
      <c r="BG7" s="26" t="s">
        <v>4</v>
      </c>
      <c r="BH7" s="38" t="s">
        <v>142</v>
      </c>
      <c r="BI7" s="38" t="s">
        <v>147</v>
      </c>
      <c r="BK7" s="26" t="s">
        <v>11</v>
      </c>
      <c r="BL7" s="26" t="s">
        <v>12</v>
      </c>
      <c r="BM7" s="26" t="s">
        <v>4</v>
      </c>
      <c r="BN7" s="38" t="s">
        <v>142</v>
      </c>
      <c r="BO7" s="38" t="s">
        <v>147</v>
      </c>
      <c r="BQ7" s="26" t="s">
        <v>11</v>
      </c>
      <c r="BR7" s="26" t="s">
        <v>12</v>
      </c>
      <c r="BS7" s="26" t="s">
        <v>4</v>
      </c>
      <c r="BT7" s="38" t="s">
        <v>142</v>
      </c>
      <c r="BU7" s="38" t="s">
        <v>147</v>
      </c>
      <c r="BW7" s="26" t="s">
        <v>11</v>
      </c>
      <c r="BX7" s="26" t="s">
        <v>12</v>
      </c>
      <c r="BY7" s="26" t="s">
        <v>4</v>
      </c>
      <c r="BZ7" s="38" t="s">
        <v>142</v>
      </c>
      <c r="CA7" s="38" t="s">
        <v>147</v>
      </c>
      <c r="CC7" s="26" t="s">
        <v>11</v>
      </c>
      <c r="CD7" s="26" t="s">
        <v>12</v>
      </c>
      <c r="CE7" s="26" t="s">
        <v>4</v>
      </c>
      <c r="CF7" s="38" t="s">
        <v>142</v>
      </c>
      <c r="CG7" s="38" t="s">
        <v>147</v>
      </c>
      <c r="CI7" s="26" t="s">
        <v>11</v>
      </c>
      <c r="CJ7" s="26" t="s">
        <v>12</v>
      </c>
      <c r="CK7" s="26" t="s">
        <v>4</v>
      </c>
      <c r="CL7" s="38" t="s">
        <v>142</v>
      </c>
      <c r="CM7" s="38" t="s">
        <v>147</v>
      </c>
      <c r="CO7" s="26" t="s">
        <v>11</v>
      </c>
      <c r="CP7" s="26" t="s">
        <v>12</v>
      </c>
      <c r="CQ7" s="26" t="s">
        <v>4</v>
      </c>
      <c r="CR7" s="38" t="s">
        <v>142</v>
      </c>
      <c r="CS7" s="38" t="s">
        <v>147</v>
      </c>
      <c r="CU7" s="26" t="s">
        <v>11</v>
      </c>
      <c r="CV7" s="26" t="s">
        <v>12</v>
      </c>
      <c r="CW7" s="26" t="s">
        <v>4</v>
      </c>
      <c r="CX7" s="38" t="s">
        <v>142</v>
      </c>
      <c r="CY7" s="38" t="s">
        <v>147</v>
      </c>
      <c r="DA7" s="26" t="s">
        <v>11</v>
      </c>
      <c r="DB7" s="26" t="s">
        <v>12</v>
      </c>
      <c r="DC7" s="26" t="s">
        <v>4</v>
      </c>
      <c r="DD7" s="38" t="s">
        <v>142</v>
      </c>
      <c r="DE7" s="38" t="s">
        <v>147</v>
      </c>
      <c r="DG7" s="26" t="s">
        <v>11</v>
      </c>
      <c r="DH7" s="26" t="s">
        <v>12</v>
      </c>
      <c r="DI7" s="26" t="s">
        <v>4</v>
      </c>
      <c r="DJ7" s="38" t="s">
        <v>142</v>
      </c>
      <c r="DK7" s="38" t="s">
        <v>147</v>
      </c>
      <c r="DM7" s="26" t="s">
        <v>11</v>
      </c>
      <c r="DN7" s="26" t="s">
        <v>12</v>
      </c>
      <c r="DO7" s="26" t="s">
        <v>4</v>
      </c>
      <c r="DP7" s="38" t="s">
        <v>142</v>
      </c>
      <c r="DQ7" s="38" t="s">
        <v>147</v>
      </c>
      <c r="DS7" s="26" t="s">
        <v>11</v>
      </c>
      <c r="DT7" s="26" t="s">
        <v>12</v>
      </c>
      <c r="DU7" s="26" t="s">
        <v>4</v>
      </c>
      <c r="DV7" s="38" t="s">
        <v>142</v>
      </c>
      <c r="DW7" s="38" t="s">
        <v>147</v>
      </c>
      <c r="DY7" s="26" t="s">
        <v>11</v>
      </c>
      <c r="DZ7" s="26" t="s">
        <v>12</v>
      </c>
      <c r="EA7" s="26" t="s">
        <v>4</v>
      </c>
      <c r="EB7" s="38" t="s">
        <v>142</v>
      </c>
      <c r="EC7" s="38" t="s">
        <v>147</v>
      </c>
      <c r="EE7" s="26" t="s">
        <v>11</v>
      </c>
      <c r="EF7" s="26" t="s">
        <v>12</v>
      </c>
      <c r="EG7" s="26" t="s">
        <v>4</v>
      </c>
      <c r="EH7" s="38" t="s">
        <v>142</v>
      </c>
      <c r="EI7" s="38" t="s">
        <v>147</v>
      </c>
      <c r="EK7" s="26" t="s">
        <v>11</v>
      </c>
      <c r="EL7" s="26" t="s">
        <v>12</v>
      </c>
      <c r="EM7" s="26" t="s">
        <v>4</v>
      </c>
      <c r="EN7" s="38" t="s">
        <v>142</v>
      </c>
      <c r="EO7" s="38" t="s">
        <v>147</v>
      </c>
      <c r="EQ7" s="26" t="s">
        <v>11</v>
      </c>
      <c r="ER7" s="26" t="s">
        <v>12</v>
      </c>
      <c r="ES7" s="26" t="s">
        <v>4</v>
      </c>
      <c r="ET7" s="38" t="s">
        <v>142</v>
      </c>
      <c r="EU7" s="38" t="s">
        <v>147</v>
      </c>
      <c r="EW7" s="26" t="s">
        <v>11</v>
      </c>
      <c r="EX7" s="26" t="s">
        <v>12</v>
      </c>
      <c r="EY7" s="26" t="s">
        <v>4</v>
      </c>
      <c r="EZ7" s="38" t="s">
        <v>142</v>
      </c>
      <c r="FA7" s="38" t="s">
        <v>147</v>
      </c>
      <c r="FB7" s="64"/>
      <c r="FC7" s="26" t="s">
        <v>11</v>
      </c>
      <c r="FD7" s="26" t="s">
        <v>12</v>
      </c>
      <c r="FE7" s="26" t="s">
        <v>4</v>
      </c>
      <c r="FF7" s="38" t="s">
        <v>142</v>
      </c>
      <c r="FG7" s="38" t="s">
        <v>147</v>
      </c>
      <c r="FI7" s="26" t="s">
        <v>11</v>
      </c>
      <c r="FJ7" s="26" t="s">
        <v>12</v>
      </c>
      <c r="FK7" s="26" t="s">
        <v>4</v>
      </c>
      <c r="FL7" s="38" t="s">
        <v>142</v>
      </c>
      <c r="FM7" s="38" t="s">
        <v>147</v>
      </c>
      <c r="FO7" s="26" t="s">
        <v>11</v>
      </c>
      <c r="FP7" s="26" t="s">
        <v>12</v>
      </c>
      <c r="FQ7" s="26" t="s">
        <v>4</v>
      </c>
    </row>
    <row r="8" spans="1:173" ht="12.75">
      <c r="A8" s="50">
        <v>44105</v>
      </c>
      <c r="D8" s="34">
        <v>202550</v>
      </c>
      <c r="E8" s="34">
        <f aca="true" t="shared" si="0" ref="E8:E25">C8+D8</f>
        <v>202550</v>
      </c>
      <c r="F8" s="34">
        <v>167518</v>
      </c>
      <c r="G8" s="34">
        <v>90321</v>
      </c>
      <c r="I8" s="49">
        <f>'2016B Academic'!I8</f>
        <v>0</v>
      </c>
      <c r="J8" s="49">
        <f>'2016B Academic'!J8</f>
        <v>65130.661425</v>
      </c>
      <c r="K8" s="49">
        <f aca="true" t="shared" si="1" ref="K8:K25">I8+J8</f>
        <v>65130.661425</v>
      </c>
      <c r="L8" s="49">
        <f>'2016B Academic'!L8</f>
        <v>53865.999213</v>
      </c>
      <c r="M8" s="49">
        <f>'2016B Academic'!M8</f>
        <v>29043.0336735</v>
      </c>
      <c r="O8" s="49"/>
      <c r="P8" s="39">
        <f aca="true" t="shared" si="2" ref="P8:P25">V8+AB8+AH8+AN8+AT8+AZ8+BF8+BL8+BR8+CD8+CP8+CV8+DB8+DH8+DN8+EL8+ER8+EX8+FD8+FJ8+FP8+BX8+CJ8+DT8+DZ8+EF8</f>
        <v>137419.33857500003</v>
      </c>
      <c r="Q8" s="32">
        <f aca="true" t="shared" si="3" ref="Q8:Q25">O8+P8</f>
        <v>137419.33857500003</v>
      </c>
      <c r="R8" s="39">
        <f aca="true" t="shared" si="4" ref="R8:S25">X8+AD8+AJ8+AP8+AV8+BB8+BH8+BN8+BT8+CF8+CR8+CX8+DD8+DJ8+DP8+EN8+ET8+EZ8+FF8+FL8+FR8+BZ8+CL8+DV8+EB8+EH8</f>
        <v>113652.00078700003</v>
      </c>
      <c r="S8" s="39">
        <f t="shared" si="4"/>
        <v>61277.9663265</v>
      </c>
      <c r="U8" s="63"/>
      <c r="V8" s="63">
        <f aca="true" t="shared" si="5" ref="V8:V25">D8*$V$6</f>
        <v>11143.592075</v>
      </c>
      <c r="W8" s="20">
        <f aca="true" t="shared" si="6" ref="W8:W25">U8+V8</f>
        <v>11143.592075</v>
      </c>
      <c r="X8" s="63">
        <f aca="true" t="shared" si="7" ref="X8:X25">V$6*$F8</f>
        <v>9216.254047</v>
      </c>
      <c r="Y8" s="63">
        <f>V$6*$G8</f>
        <v>4969.1452965</v>
      </c>
      <c r="AA8" s="63"/>
      <c r="AB8" s="63">
        <f aca="true" t="shared" si="8" ref="AB8:AB25">D8*$AB$6</f>
        <v>13603.926415</v>
      </c>
      <c r="AC8" s="20">
        <f aca="true" t="shared" si="9" ref="AC8:AC25">AA8+AB8</f>
        <v>13603.926415</v>
      </c>
      <c r="AD8" s="63">
        <f aca="true" t="shared" si="10" ref="AD8:AD25">AB$6*$F8</f>
        <v>11251.0616894</v>
      </c>
      <c r="AE8" s="63">
        <f>AB$6*$G8</f>
        <v>6066.2564193</v>
      </c>
      <c r="AH8" s="32">
        <f aca="true" t="shared" si="11" ref="AH8:AH25">D8*$AH$6</f>
        <v>49.807045</v>
      </c>
      <c r="AI8" s="32">
        <f aca="true" t="shared" si="12" ref="AI8:AI25">AG8+AH8</f>
        <v>49.807045</v>
      </c>
      <c r="AJ8" s="63">
        <f aca="true" t="shared" si="13" ref="AJ8:AJ25">AH$6*$F8</f>
        <v>41.1926762</v>
      </c>
      <c r="AK8" s="63">
        <f>AH$6*$G8</f>
        <v>22.209933900000003</v>
      </c>
      <c r="AM8" s="63"/>
      <c r="AN8" s="63">
        <f aca="true" t="shared" si="14" ref="AN8:AN25">D8*$AN$6</f>
        <v>2940.2360550000003</v>
      </c>
      <c r="AO8" s="20">
        <f aca="true" t="shared" si="15" ref="AO8:AO25">AM8+AN8</f>
        <v>2940.2360550000003</v>
      </c>
      <c r="AP8" s="63">
        <f aca="true" t="shared" si="16" ref="AP8:AP25">AN$6*$F8</f>
        <v>2431.7080398000003</v>
      </c>
      <c r="AQ8" s="63">
        <f>AN$6*$G8</f>
        <v>1311.1086681000002</v>
      </c>
      <c r="AS8" s="63"/>
      <c r="AT8" s="63">
        <f aca="true" t="shared" si="17" ref="AT8:AT25">D8*$AT$6</f>
        <v>13528.820875000001</v>
      </c>
      <c r="AU8" s="20">
        <f aca="true" t="shared" si="18" ref="AU8:AU25">AS8+AT8</f>
        <v>13528.820875000001</v>
      </c>
      <c r="AV8" s="63">
        <f aca="true" t="shared" si="19" ref="AV8:AV25">AT$6*$F8</f>
        <v>11188.946015000001</v>
      </c>
      <c r="AW8" s="63">
        <f>AT$6*$G8</f>
        <v>6032.7653925</v>
      </c>
      <c r="AX8" s="32"/>
      <c r="AY8" s="63"/>
      <c r="AZ8" s="63">
        <f aca="true" t="shared" si="20" ref="AZ8:AZ25">D8*$AZ$6</f>
        <v>2132.77048</v>
      </c>
      <c r="BA8" s="20">
        <f aca="true" t="shared" si="21" ref="BA8:BA25">AY8+AZ8</f>
        <v>2132.77048</v>
      </c>
      <c r="BB8" s="63">
        <f aca="true" t="shared" si="22" ref="BB8:BB25">AZ$6*$F8</f>
        <v>1763.8975328</v>
      </c>
      <c r="BC8" s="63">
        <f>AZ$6*$G8</f>
        <v>951.0440016</v>
      </c>
      <c r="BD8" s="32"/>
      <c r="BE8" s="49"/>
      <c r="BF8" s="49">
        <f aca="true" t="shared" si="23" ref="BF8:BF25">D8*$BF$6</f>
        <v>118.47149499999999</v>
      </c>
      <c r="BG8" s="32">
        <f aca="true" t="shared" si="24" ref="BG8:BG25">BE8+BF8</f>
        <v>118.47149499999999</v>
      </c>
      <c r="BH8" s="63">
        <f aca="true" t="shared" si="25" ref="BH8:BH25">BF$6*$F8</f>
        <v>97.98127819999999</v>
      </c>
      <c r="BI8" s="63">
        <f>BF$6*$G8</f>
        <v>52.8287529</v>
      </c>
      <c r="BJ8" s="32"/>
      <c r="BK8" s="32"/>
      <c r="BL8" s="32">
        <f aca="true" t="shared" si="26" ref="BL8:BL25">D8*$BL$6</f>
        <v>1364.640115</v>
      </c>
      <c r="BM8" s="32">
        <f aca="true" t="shared" si="27" ref="BM8:BM25">BK8+BL8</f>
        <v>1364.640115</v>
      </c>
      <c r="BN8" s="63">
        <f aca="true" t="shared" si="28" ref="BN8:BN25">BL$6*$F8</f>
        <v>1128.6190214</v>
      </c>
      <c r="BO8" s="63">
        <f>BL$6*$G8</f>
        <v>608.5196733</v>
      </c>
      <c r="BP8" s="32"/>
      <c r="BQ8" s="49"/>
      <c r="BR8" s="49">
        <f aca="true" t="shared" si="29" ref="BR8:BR25">D8*$BR$6</f>
        <v>1907.73743</v>
      </c>
      <c r="BS8" s="32">
        <f aca="true" t="shared" si="30" ref="BS8:BS25">BQ8+BR8</f>
        <v>1907.73743</v>
      </c>
      <c r="BT8" s="63">
        <f aca="true" t="shared" si="31" ref="BT8:BT25">BR$6*$F8</f>
        <v>1577.7850348</v>
      </c>
      <c r="BU8" s="63">
        <f>BR$6*$G8</f>
        <v>850.6973705999999</v>
      </c>
      <c r="BV8" s="32"/>
      <c r="BW8" s="49"/>
      <c r="BX8" s="49">
        <f aca="true" t="shared" si="32" ref="BX8:BX25">D8*$BX$6</f>
        <v>266.87988</v>
      </c>
      <c r="BY8" s="32">
        <f aca="true" t="shared" si="33" ref="BY8:BY25">BW8+BX8</f>
        <v>266.87988</v>
      </c>
      <c r="BZ8" s="63">
        <f aca="true" t="shared" si="34" ref="BZ8:BZ25">BX$6*$F8</f>
        <v>220.7217168</v>
      </c>
      <c r="CA8" s="63">
        <f>BX$6*$G8</f>
        <v>119.0069496</v>
      </c>
      <c r="CB8" s="32"/>
      <c r="CC8" s="49"/>
      <c r="CD8" s="49">
        <f aca="true" t="shared" si="35" ref="CD8:CD25">D8*$CD$6</f>
        <v>1386.41424</v>
      </c>
      <c r="CE8" s="32">
        <f aca="true" t="shared" si="36" ref="CE8:CE25">CC8+CD8</f>
        <v>1386.41424</v>
      </c>
      <c r="CF8" s="63">
        <f aca="true" t="shared" si="37" ref="CF8:CF25">CD$6*$F8</f>
        <v>1146.6272064</v>
      </c>
      <c r="CG8" s="63">
        <f>CD$6*$G8</f>
        <v>618.2291808</v>
      </c>
      <c r="CH8" s="32"/>
      <c r="CI8" s="49"/>
      <c r="CJ8" s="49">
        <f aca="true" t="shared" si="38" ref="CJ8:CJ25">D8*$CJ$6</f>
        <v>78.79195</v>
      </c>
      <c r="CK8" s="32">
        <f aca="true" t="shared" si="39" ref="CK8:CK25">CI8+CJ8</f>
        <v>78.79195</v>
      </c>
      <c r="CL8" s="63">
        <f aca="true" t="shared" si="40" ref="CL8:CL25">CJ$6*$F8</f>
        <v>65.164502</v>
      </c>
      <c r="CM8" s="63">
        <f>CJ$6*$G8</f>
        <v>35.134869</v>
      </c>
      <c r="CN8" s="32"/>
      <c r="CO8" s="49"/>
      <c r="CP8" s="49">
        <f aca="true" t="shared" si="41" ref="CP8:CP25">D8*$CP$6</f>
        <v>278.485995</v>
      </c>
      <c r="CQ8" s="32">
        <f aca="true" t="shared" si="42" ref="CQ8:CQ25">CO8+CP8</f>
        <v>278.485995</v>
      </c>
      <c r="CR8" s="63">
        <f aca="true" t="shared" si="43" ref="CR8:CR25">CP$6*$F8</f>
        <v>230.3204982</v>
      </c>
      <c r="CS8" s="63">
        <f>CP$6*$G8</f>
        <v>124.18234290000001</v>
      </c>
      <c r="CT8" s="32"/>
      <c r="CU8" s="32"/>
      <c r="CV8" s="32">
        <f aca="true" t="shared" si="44" ref="CV8:CV25">D8*$CV$6</f>
        <v>1012.284135</v>
      </c>
      <c r="CW8" s="32">
        <f aca="true" t="shared" si="45" ref="CW8:CW25">CU8+CV8</f>
        <v>1012.284135</v>
      </c>
      <c r="CX8" s="63">
        <f aca="true" t="shared" si="46" ref="CX8:CX25">CV$6*$F8</f>
        <v>837.2047086</v>
      </c>
      <c r="CY8" s="63">
        <f>CV$6*$G8</f>
        <v>451.3972617</v>
      </c>
      <c r="CZ8" s="32"/>
      <c r="DA8" s="49"/>
      <c r="DB8" s="49">
        <f aca="true" t="shared" si="47" ref="DB8:DB25">D8*$DB$6</f>
        <v>6912.95048</v>
      </c>
      <c r="DC8" s="32">
        <f aca="true" t="shared" si="48" ref="DC8:DC25">DA8+DB8</f>
        <v>6912.95048</v>
      </c>
      <c r="DD8" s="63">
        <f aca="true" t="shared" si="49" ref="DD8:DD25">DB$6*$F8</f>
        <v>5717.3223328</v>
      </c>
      <c r="DE8" s="63">
        <f>DB$6*$G8</f>
        <v>3082.6196016000004</v>
      </c>
      <c r="DF8" s="32"/>
      <c r="DG8" s="49"/>
      <c r="DH8" s="49">
        <f aca="true" t="shared" si="50" ref="DH8:DH25">D8*$DH$6</f>
        <v>28610.410304999998</v>
      </c>
      <c r="DI8" s="32">
        <f aca="true" t="shared" si="51" ref="DI8:DI25">DG8+DH8</f>
        <v>28610.410304999998</v>
      </c>
      <c r="DJ8" s="63">
        <f aca="true" t="shared" si="52" ref="DJ8:DJ25">DH$6*$F8</f>
        <v>23662.1017698</v>
      </c>
      <c r="DK8" s="63">
        <f>DH$6*$G8</f>
        <v>12757.9406031</v>
      </c>
      <c r="DL8" s="32"/>
      <c r="DM8" s="49"/>
      <c r="DN8" s="49">
        <f aca="true" t="shared" si="53" ref="DN8:DN25">D8*$DN$6</f>
        <v>5259.57534</v>
      </c>
      <c r="DO8" s="32">
        <f aca="true" t="shared" si="54" ref="DO8:DO25">DM8+DN8</f>
        <v>5259.57534</v>
      </c>
      <c r="DP8" s="63">
        <f aca="true" t="shared" si="55" ref="DP8:DP25">DN$6*$F8</f>
        <v>4349.9064024</v>
      </c>
      <c r="DQ8" s="63">
        <f>DN$6*$G8</f>
        <v>2345.3473428</v>
      </c>
      <c r="DR8" s="32"/>
      <c r="DS8" s="49"/>
      <c r="DT8" s="49">
        <f aca="true" t="shared" si="56" ref="DT8:DT25">D8*$DT$6</f>
        <v>18007.079845</v>
      </c>
      <c r="DU8" s="32">
        <f aca="true" t="shared" si="57" ref="DU8:DU25">DS8+DT8</f>
        <v>18007.079845</v>
      </c>
      <c r="DV8" s="63">
        <f aca="true" t="shared" si="58" ref="DV8:DV25">DT$6*$F8</f>
        <v>14892.668484200001</v>
      </c>
      <c r="DW8" s="63">
        <f>DT$6*$G8</f>
        <v>8029.7085099000005</v>
      </c>
      <c r="DX8" s="32"/>
      <c r="DY8" s="49"/>
      <c r="DZ8" s="49">
        <f aca="true" t="shared" si="59" ref="DZ8:DZ25">D8*$DZ$6</f>
        <v>3839.2339749999996</v>
      </c>
      <c r="EA8" s="32">
        <f aca="true" t="shared" si="60" ref="EA8:EA25">DY8+DZ8</f>
        <v>3839.2339749999996</v>
      </c>
      <c r="EB8" s="63">
        <f aca="true" t="shared" si="61" ref="EB8:EB25">DZ$6*$F8</f>
        <v>3175.2199309999996</v>
      </c>
      <c r="EC8" s="63">
        <f>DZ$6*$G8</f>
        <v>1711.9893945</v>
      </c>
      <c r="ED8" s="32"/>
      <c r="EE8" s="49"/>
      <c r="EF8" s="49">
        <f aca="true" t="shared" si="62" ref="EF8:EF25">D8*$EF$6</f>
        <v>312.77770999999996</v>
      </c>
      <c r="EG8" s="32">
        <f aca="true" t="shared" si="63" ref="EG8:EG25">EE8+EF8</f>
        <v>312.77770999999996</v>
      </c>
      <c r="EH8" s="63">
        <f aca="true" t="shared" si="64" ref="EH8:EH25">EF$6*$F8</f>
        <v>258.6812956</v>
      </c>
      <c r="EI8" s="63">
        <f>EF$6*$G8</f>
        <v>139.4736882</v>
      </c>
      <c r="EJ8" s="32"/>
      <c r="EK8" s="49"/>
      <c r="EL8" s="49">
        <f aca="true" t="shared" si="65" ref="EL8:EL25">D8*$EL$6</f>
        <v>373.036335</v>
      </c>
      <c r="EM8" s="32">
        <f aca="true" t="shared" si="66" ref="EM8:EM25">EK8+EL8</f>
        <v>373.036335</v>
      </c>
      <c r="EN8" s="63">
        <f aca="true" t="shared" si="67" ref="EN8:EN25">EL$6*$F8</f>
        <v>308.51790059999996</v>
      </c>
      <c r="EO8" s="63">
        <f>EL$6*$G8</f>
        <v>166.3441857</v>
      </c>
      <c r="EP8" s="32"/>
      <c r="EQ8" s="49"/>
      <c r="ER8" s="49">
        <f aca="true" t="shared" si="68" ref="ER8:ER25">D8*$ER$6</f>
        <v>760.81831</v>
      </c>
      <c r="ES8" s="32">
        <f aca="true" t="shared" si="69" ref="ES8:ES25">EQ8+ER8</f>
        <v>760.81831</v>
      </c>
      <c r="ET8" s="63">
        <f aca="true" t="shared" si="70" ref="ET8:ET25">ER$6*$F8</f>
        <v>629.2311116</v>
      </c>
      <c r="EU8" s="63">
        <f>ER$6*$G8</f>
        <v>339.2637402</v>
      </c>
      <c r="EV8" s="32"/>
      <c r="EW8" s="49"/>
      <c r="EX8" s="49">
        <f aca="true" t="shared" si="71" ref="EX8:EX25">D8*$EX$6</f>
        <v>20970.73068</v>
      </c>
      <c r="EY8" s="32">
        <f aca="true" t="shared" si="72" ref="EY8:EY25">EW8+EX8</f>
        <v>20970.73068</v>
      </c>
      <c r="EZ8" s="63">
        <f aca="true" t="shared" si="73" ref="EZ8:EZ25">EX$6*$F8</f>
        <v>17343.7416048</v>
      </c>
      <c r="FA8" s="63">
        <f>EX$6*$G8</f>
        <v>9351.2582856</v>
      </c>
      <c r="FB8" s="32"/>
      <c r="FC8" s="32"/>
      <c r="FD8" s="32">
        <f aca="true" t="shared" si="74" ref="FD8:FD25">D8*$FD$6</f>
        <v>814.4535500000001</v>
      </c>
      <c r="FE8" s="32">
        <f aca="true" t="shared" si="75" ref="FE8:FE25">FC8+FD8</f>
        <v>814.4535500000001</v>
      </c>
      <c r="FF8" s="63">
        <f aca="true" t="shared" si="76" ref="FF8:FF25">FD$6*$F8</f>
        <v>673.589878</v>
      </c>
      <c r="FG8" s="63">
        <f>FD$6*$G8</f>
        <v>363.180741</v>
      </c>
      <c r="FH8" s="32"/>
      <c r="FI8" s="49"/>
      <c r="FJ8" s="49">
        <f aca="true" t="shared" si="77" ref="FJ8:FJ25">D8*$FJ$6</f>
        <v>1745.41386</v>
      </c>
      <c r="FK8" s="32">
        <f aca="true" t="shared" si="78" ref="FK8:FK25">FI8+FJ8</f>
        <v>1745.41386</v>
      </c>
      <c r="FL8" s="63">
        <f aca="true" t="shared" si="79" ref="FL8:FL25">FJ$6*$F8</f>
        <v>1443.5361096000001</v>
      </c>
      <c r="FM8" s="63">
        <f>FJ$6*$G8</f>
        <v>778.3141212</v>
      </c>
      <c r="FN8" s="32"/>
      <c r="FO8" s="32"/>
      <c r="FP8" s="32"/>
      <c r="FQ8" s="32"/>
    </row>
    <row r="9" spans="1:173" ht="12.75">
      <c r="A9" s="50">
        <v>44287</v>
      </c>
      <c r="C9" s="34">
        <v>4970000</v>
      </c>
      <c r="D9" s="34">
        <v>202550</v>
      </c>
      <c r="E9" s="34">
        <f t="shared" si="0"/>
        <v>5172550</v>
      </c>
      <c r="F9" s="34">
        <v>167518</v>
      </c>
      <c r="G9" s="34">
        <v>90321</v>
      </c>
      <c r="I9" s="49">
        <f>'2016B Academic'!I9</f>
        <v>1598120.8949999998</v>
      </c>
      <c r="J9" s="49">
        <f>'2016B Academic'!J9</f>
        <v>65130.661425</v>
      </c>
      <c r="K9" s="49">
        <f t="shared" si="1"/>
        <v>1663251.5564249998</v>
      </c>
      <c r="L9" s="49">
        <f>'2016B Academic'!L9</f>
        <v>53865.999213</v>
      </c>
      <c r="M9" s="49">
        <f>'2016B Academic'!M9</f>
        <v>29043.0336735</v>
      </c>
      <c r="O9" s="49">
        <f>U9+AA9+AG9+AM9+AS9+AY9+BE9+BK9+BQ9+CC9+CO9+CU9+DA9+DG9+DM9+EK9+EQ9+EW9+FC9+FI9+FO9+BW9+CI9+DS9+DY9+EE9</f>
        <v>3371879.105</v>
      </c>
      <c r="P9" s="39">
        <f t="shared" si="2"/>
        <v>137419.33857500003</v>
      </c>
      <c r="Q9" s="32">
        <f t="shared" si="3"/>
        <v>3509298.443575</v>
      </c>
      <c r="R9" s="39">
        <f t="shared" si="4"/>
        <v>113652.00078700003</v>
      </c>
      <c r="S9" s="39">
        <f t="shared" si="4"/>
        <v>61277.9663265</v>
      </c>
      <c r="U9" s="63">
        <f aca="true" t="shared" si="80" ref="U9:U25">C9*$V$6</f>
        <v>273432.005</v>
      </c>
      <c r="V9" s="63">
        <f t="shared" si="5"/>
        <v>11143.592075</v>
      </c>
      <c r="W9" s="20">
        <f t="shared" si="6"/>
        <v>284575.597075</v>
      </c>
      <c r="X9" s="63">
        <f t="shared" si="7"/>
        <v>9216.254047</v>
      </c>
      <c r="Y9" s="63">
        <f>V$6*$G9</f>
        <v>4969.1452965</v>
      </c>
      <c r="AA9" s="63">
        <f aca="true" t="shared" si="81" ref="AA9:AA25">C9*$AB$6</f>
        <v>333801.60099999997</v>
      </c>
      <c r="AB9" s="63">
        <f t="shared" si="8"/>
        <v>13603.926415</v>
      </c>
      <c r="AC9" s="20">
        <f t="shared" si="9"/>
        <v>347405.52741499996</v>
      </c>
      <c r="AD9" s="63">
        <f t="shared" si="10"/>
        <v>11251.0616894</v>
      </c>
      <c r="AE9" s="63">
        <f>AB$6*$G9</f>
        <v>6066.2564193</v>
      </c>
      <c r="AG9" s="32">
        <f aca="true" t="shared" si="82" ref="AG9:AG25">C9*$AH$6</f>
        <v>1222.123</v>
      </c>
      <c r="AH9" s="32">
        <f t="shared" si="11"/>
        <v>49.807045</v>
      </c>
      <c r="AI9" s="32">
        <f t="shared" si="12"/>
        <v>1271.930045</v>
      </c>
      <c r="AJ9" s="63">
        <f t="shared" si="13"/>
        <v>41.1926762</v>
      </c>
      <c r="AK9" s="63">
        <f>AH$6*$G9</f>
        <v>22.209933900000003</v>
      </c>
      <c r="AM9" s="63">
        <f aca="true" t="shared" si="83" ref="AM9:AM25">C9*$AN$6</f>
        <v>72145.017</v>
      </c>
      <c r="AN9" s="63">
        <f t="shared" si="14"/>
        <v>2940.2360550000003</v>
      </c>
      <c r="AO9" s="20">
        <f t="shared" si="15"/>
        <v>75085.25305500001</v>
      </c>
      <c r="AP9" s="63">
        <f t="shared" si="16"/>
        <v>2431.7080398000003</v>
      </c>
      <c r="AQ9" s="63">
        <f>AN$6*$G9</f>
        <v>1311.1086681000002</v>
      </c>
      <c r="AS9" s="63">
        <f aca="true" t="shared" si="84" ref="AS9:AS25">C9*$AT$6</f>
        <v>331958.72500000003</v>
      </c>
      <c r="AT9" s="63">
        <f t="shared" si="17"/>
        <v>13528.820875000001</v>
      </c>
      <c r="AU9" s="20">
        <f t="shared" si="18"/>
        <v>345487.545875</v>
      </c>
      <c r="AV9" s="63">
        <f t="shared" si="19"/>
        <v>11188.946015000001</v>
      </c>
      <c r="AW9" s="63">
        <f>AT$6*$G9</f>
        <v>6032.7653925</v>
      </c>
      <c r="AX9" s="32"/>
      <c r="AY9" s="63">
        <f aca="true" t="shared" si="85" ref="AY9:AY25">C9*$AZ$6</f>
        <v>52332.112</v>
      </c>
      <c r="AZ9" s="63">
        <f t="shared" si="20"/>
        <v>2132.77048</v>
      </c>
      <c r="BA9" s="20">
        <f t="shared" si="21"/>
        <v>54464.88248</v>
      </c>
      <c r="BB9" s="63">
        <f t="shared" si="22"/>
        <v>1763.8975328</v>
      </c>
      <c r="BC9" s="63">
        <f>AZ$6*$G9</f>
        <v>951.0440016</v>
      </c>
      <c r="BD9" s="32"/>
      <c r="BE9" s="49">
        <f aca="true" t="shared" si="86" ref="BE9:BE25">C9*$BF$6</f>
        <v>2906.953</v>
      </c>
      <c r="BF9" s="49">
        <f t="shared" si="23"/>
        <v>118.47149499999999</v>
      </c>
      <c r="BG9" s="32">
        <f t="shared" si="24"/>
        <v>3025.4244949999998</v>
      </c>
      <c r="BH9" s="63">
        <f t="shared" si="25"/>
        <v>97.98127819999999</v>
      </c>
      <c r="BI9" s="63">
        <f>BF$6*$G9</f>
        <v>52.8287529</v>
      </c>
      <c r="BJ9" s="32"/>
      <c r="BK9" s="32">
        <f aca="true" t="shared" si="87" ref="BK9:BK25">C9*$BL$6</f>
        <v>33484.381</v>
      </c>
      <c r="BL9" s="32">
        <f t="shared" si="26"/>
        <v>1364.640115</v>
      </c>
      <c r="BM9" s="32">
        <f t="shared" si="27"/>
        <v>34849.021115</v>
      </c>
      <c r="BN9" s="63">
        <f t="shared" si="28"/>
        <v>1128.6190214</v>
      </c>
      <c r="BO9" s="63">
        <f>BL$6*$G9</f>
        <v>608.5196733</v>
      </c>
      <c r="BP9" s="32"/>
      <c r="BQ9" s="49">
        <f aca="true" t="shared" si="88" ref="BQ9:BQ25">C9*$BR$6</f>
        <v>46810.441999999995</v>
      </c>
      <c r="BR9" s="49">
        <f t="shared" si="29"/>
        <v>1907.73743</v>
      </c>
      <c r="BS9" s="32">
        <f t="shared" si="30"/>
        <v>48718.17943</v>
      </c>
      <c r="BT9" s="63">
        <f t="shared" si="31"/>
        <v>1577.7850348</v>
      </c>
      <c r="BU9" s="63">
        <f>BR$6*$G9</f>
        <v>850.6973705999999</v>
      </c>
      <c r="BV9" s="32"/>
      <c r="BW9" s="49">
        <f aca="true" t="shared" si="89" ref="BW9:BW25">C9*$BX$6</f>
        <v>6548.472</v>
      </c>
      <c r="BX9" s="49">
        <f t="shared" si="32"/>
        <v>266.87988</v>
      </c>
      <c r="BY9" s="32">
        <f t="shared" si="33"/>
        <v>6815.35188</v>
      </c>
      <c r="BZ9" s="63">
        <f t="shared" si="34"/>
        <v>220.7217168</v>
      </c>
      <c r="CA9" s="63">
        <f>BX$6*$G9</f>
        <v>119.0069496</v>
      </c>
      <c r="CB9" s="32"/>
      <c r="CC9" s="49">
        <f aca="true" t="shared" si="90" ref="CC9:CC25">C9*$CD$6</f>
        <v>34018.656</v>
      </c>
      <c r="CD9" s="49">
        <f t="shared" si="35"/>
        <v>1386.41424</v>
      </c>
      <c r="CE9" s="32">
        <f t="shared" si="36"/>
        <v>35405.07024</v>
      </c>
      <c r="CF9" s="63">
        <f t="shared" si="37"/>
        <v>1146.6272064</v>
      </c>
      <c r="CG9" s="63">
        <f>CD$6*$G9</f>
        <v>618.2291808</v>
      </c>
      <c r="CH9" s="32"/>
      <c r="CI9" s="49">
        <f aca="true" t="shared" si="91" ref="CI9:CI25">C9*$CJ$6</f>
        <v>1933.3300000000002</v>
      </c>
      <c r="CJ9" s="49">
        <f t="shared" si="38"/>
        <v>78.79195</v>
      </c>
      <c r="CK9" s="32">
        <f t="shared" si="39"/>
        <v>2012.1219500000002</v>
      </c>
      <c r="CL9" s="63">
        <f t="shared" si="40"/>
        <v>65.164502</v>
      </c>
      <c r="CM9" s="63">
        <f>CJ$6*$G9</f>
        <v>35.134869</v>
      </c>
      <c r="CN9" s="32"/>
      <c r="CO9" s="49">
        <f aca="true" t="shared" si="92" ref="CO9:CO25">C9*$CP$6</f>
        <v>6833.253000000001</v>
      </c>
      <c r="CP9" s="49">
        <f t="shared" si="41"/>
        <v>278.485995</v>
      </c>
      <c r="CQ9" s="32">
        <f t="shared" si="42"/>
        <v>7111.738995000001</v>
      </c>
      <c r="CR9" s="63">
        <f t="shared" si="43"/>
        <v>230.3204982</v>
      </c>
      <c r="CS9" s="63">
        <f>CP$6*$G9</f>
        <v>124.18234290000001</v>
      </c>
      <c r="CT9" s="32"/>
      <c r="CU9" s="32">
        <f aca="true" t="shared" si="93" ref="CU9:CU25">C9*$CV$6</f>
        <v>24838.569</v>
      </c>
      <c r="CV9" s="32">
        <f t="shared" si="44"/>
        <v>1012.284135</v>
      </c>
      <c r="CW9" s="32">
        <f t="shared" si="45"/>
        <v>25850.853135</v>
      </c>
      <c r="CX9" s="63">
        <f t="shared" si="46"/>
        <v>837.2047086</v>
      </c>
      <c r="CY9" s="63">
        <f>CV$6*$G9</f>
        <v>451.3972617</v>
      </c>
      <c r="CZ9" s="32"/>
      <c r="DA9" s="49">
        <f aca="true" t="shared" si="94" ref="DA9:DA25">C9*$DB$6</f>
        <v>169624.11200000002</v>
      </c>
      <c r="DB9" s="49">
        <f t="shared" si="47"/>
        <v>6912.95048</v>
      </c>
      <c r="DC9" s="32">
        <f t="shared" si="48"/>
        <v>176537.06248000002</v>
      </c>
      <c r="DD9" s="63">
        <f t="shared" si="49"/>
        <v>5717.3223328</v>
      </c>
      <c r="DE9" s="63">
        <f>DB$6*$G9</f>
        <v>3082.6196016000004</v>
      </c>
      <c r="DF9" s="32"/>
      <c r="DG9" s="49">
        <f aca="true" t="shared" si="95" ref="DG9:DG25">C9*$DH$6</f>
        <v>702017.967</v>
      </c>
      <c r="DH9" s="49">
        <f t="shared" si="50"/>
        <v>28610.410304999998</v>
      </c>
      <c r="DI9" s="32">
        <f t="shared" si="51"/>
        <v>730628.377305</v>
      </c>
      <c r="DJ9" s="63">
        <f t="shared" si="52"/>
        <v>23662.1017698</v>
      </c>
      <c r="DK9" s="63">
        <f>DH$6*$G9</f>
        <v>12757.9406031</v>
      </c>
      <c r="DL9" s="32"/>
      <c r="DM9" s="49">
        <f aca="true" t="shared" si="96" ref="DM9:DM25">C9*$DN$6</f>
        <v>129054.99600000001</v>
      </c>
      <c r="DN9" s="49">
        <f t="shared" si="53"/>
        <v>5259.57534</v>
      </c>
      <c r="DO9" s="32">
        <f t="shared" si="54"/>
        <v>134314.57134000002</v>
      </c>
      <c r="DP9" s="63">
        <f t="shared" si="55"/>
        <v>4349.9064024</v>
      </c>
      <c r="DQ9" s="63">
        <f>DN$6*$G9</f>
        <v>2345.3473428</v>
      </c>
      <c r="DR9" s="32"/>
      <c r="DS9" s="49">
        <f aca="true" t="shared" si="97" ref="DS9:DS25">C9*$DT$6</f>
        <v>441842.443</v>
      </c>
      <c r="DT9" s="49">
        <f t="shared" si="56"/>
        <v>18007.079845</v>
      </c>
      <c r="DU9" s="32">
        <f t="shared" si="57"/>
        <v>459849.522845</v>
      </c>
      <c r="DV9" s="63">
        <f t="shared" si="58"/>
        <v>14892.668484200001</v>
      </c>
      <c r="DW9" s="63">
        <f>DT$6*$G9</f>
        <v>8029.7085099000005</v>
      </c>
      <c r="DX9" s="32"/>
      <c r="DY9" s="49">
        <f aca="true" t="shared" si="98" ref="DY9:DY25">C9*$DZ$6</f>
        <v>94203.86499999999</v>
      </c>
      <c r="DZ9" s="49">
        <f t="shared" si="59"/>
        <v>3839.2339749999996</v>
      </c>
      <c r="EA9" s="32">
        <f t="shared" si="60"/>
        <v>98043.09897499999</v>
      </c>
      <c r="EB9" s="63">
        <f t="shared" si="61"/>
        <v>3175.2199309999996</v>
      </c>
      <c r="EC9" s="63">
        <f>DZ$6*$G9</f>
        <v>1711.9893945</v>
      </c>
      <c r="ED9" s="32"/>
      <c r="EE9" s="49">
        <f aca="true" t="shared" si="99" ref="EE9:EE25">C9*$EF$6</f>
        <v>7674.674</v>
      </c>
      <c r="EF9" s="49">
        <f t="shared" si="62"/>
        <v>312.77770999999996</v>
      </c>
      <c r="EG9" s="32">
        <f t="shared" si="63"/>
        <v>7987.45171</v>
      </c>
      <c r="EH9" s="63">
        <f t="shared" si="64"/>
        <v>258.6812956</v>
      </c>
      <c r="EI9" s="63">
        <f>EF$6*$G9</f>
        <v>139.4736882</v>
      </c>
      <c r="EJ9" s="32"/>
      <c r="EK9" s="49">
        <f aca="true" t="shared" si="100" ref="EK9:EK25">C9*$EL$6</f>
        <v>9153.249</v>
      </c>
      <c r="EL9" s="49">
        <f t="shared" si="65"/>
        <v>373.036335</v>
      </c>
      <c r="EM9" s="32">
        <f t="shared" si="66"/>
        <v>9526.285335</v>
      </c>
      <c r="EN9" s="63">
        <f t="shared" si="67"/>
        <v>308.51790059999996</v>
      </c>
      <c r="EO9" s="63">
        <f>EL$6*$G9</f>
        <v>166.3441857</v>
      </c>
      <c r="EP9" s="32"/>
      <c r="EQ9" s="49">
        <f aca="true" t="shared" si="101" ref="EQ9:EQ25">C9*$ER$6</f>
        <v>18668.314</v>
      </c>
      <c r="ER9" s="49">
        <f t="shared" si="68"/>
        <v>760.81831</v>
      </c>
      <c r="ES9" s="32">
        <f t="shared" si="69"/>
        <v>19429.132309999997</v>
      </c>
      <c r="ET9" s="63">
        <f t="shared" si="70"/>
        <v>629.2311116</v>
      </c>
      <c r="EU9" s="63">
        <f>ER$6*$G9</f>
        <v>339.2637402</v>
      </c>
      <c r="EV9" s="32"/>
      <c r="EW9" s="49">
        <f aca="true" t="shared" si="102" ref="EW9:EW25">C9*$EX$6</f>
        <v>514561.992</v>
      </c>
      <c r="EX9" s="49">
        <f t="shared" si="71"/>
        <v>20970.73068</v>
      </c>
      <c r="EY9" s="32">
        <f t="shared" si="72"/>
        <v>535532.72268</v>
      </c>
      <c r="EZ9" s="63">
        <f t="shared" si="73"/>
        <v>17343.7416048</v>
      </c>
      <c r="FA9" s="63">
        <f>EX$6*$G9</f>
        <v>9351.2582856</v>
      </c>
      <c r="FB9" s="32"/>
      <c r="FC9" s="32">
        <f aca="true" t="shared" si="103" ref="FC9:FC25">C9*$FD$6</f>
        <v>19984.370000000003</v>
      </c>
      <c r="FD9" s="32">
        <f t="shared" si="74"/>
        <v>814.4535500000001</v>
      </c>
      <c r="FE9" s="32">
        <f t="shared" si="75"/>
        <v>20798.82355</v>
      </c>
      <c r="FF9" s="63">
        <f t="shared" si="76"/>
        <v>673.589878</v>
      </c>
      <c r="FG9" s="63">
        <f>FD$6*$G9</f>
        <v>363.180741</v>
      </c>
      <c r="FH9" s="32"/>
      <c r="FI9" s="49">
        <f aca="true" t="shared" si="104" ref="FI9:FI25">C9*$FJ$6</f>
        <v>42827.484000000004</v>
      </c>
      <c r="FJ9" s="49">
        <f t="shared" si="77"/>
        <v>1745.41386</v>
      </c>
      <c r="FK9" s="32">
        <f t="shared" si="78"/>
        <v>44572.897860000005</v>
      </c>
      <c r="FL9" s="63">
        <f t="shared" si="79"/>
        <v>1443.5361096000001</v>
      </c>
      <c r="FM9" s="63">
        <f>FJ$6*$G9</f>
        <v>778.3141212</v>
      </c>
      <c r="FN9" s="32"/>
      <c r="FO9" s="32"/>
      <c r="FP9" s="32"/>
      <c r="FQ9" s="32"/>
    </row>
    <row r="10" spans="1:173" ht="12.75">
      <c r="A10" s="50">
        <v>44470</v>
      </c>
      <c r="D10" s="34">
        <v>128000</v>
      </c>
      <c r="E10" s="34">
        <f t="shared" si="0"/>
        <v>128000</v>
      </c>
      <c r="F10" s="34">
        <v>167518</v>
      </c>
      <c r="G10" s="34">
        <v>90321</v>
      </c>
      <c r="I10" s="49">
        <f>'2016B Academic'!I10</f>
        <v>0</v>
      </c>
      <c r="J10" s="49">
        <f>'2016B Academic'!J10</f>
        <v>41158.848</v>
      </c>
      <c r="K10" s="49">
        <f t="shared" si="1"/>
        <v>41158.848</v>
      </c>
      <c r="L10" s="49">
        <f>'2016B Academic'!L10</f>
        <v>53865.999213</v>
      </c>
      <c r="M10" s="49">
        <f>'2016B Academic'!M10</f>
        <v>29043.0336735</v>
      </c>
      <c r="O10" s="49"/>
      <c r="P10" s="39">
        <f t="shared" si="2"/>
        <v>86841.152</v>
      </c>
      <c r="Q10" s="32">
        <f t="shared" si="3"/>
        <v>86841.152</v>
      </c>
      <c r="R10" s="39">
        <f t="shared" si="4"/>
        <v>113652.00078700003</v>
      </c>
      <c r="S10" s="39">
        <f t="shared" si="4"/>
        <v>61277.9663265</v>
      </c>
      <c r="U10" s="63"/>
      <c r="V10" s="63">
        <f t="shared" si="5"/>
        <v>7042.112</v>
      </c>
      <c r="W10" s="20">
        <f t="shared" si="6"/>
        <v>7042.112</v>
      </c>
      <c r="X10" s="63">
        <f t="shared" si="7"/>
        <v>9216.254047</v>
      </c>
      <c r="Y10" s="63">
        <f>V$6*$G10</f>
        <v>4969.1452965</v>
      </c>
      <c r="AA10" s="63"/>
      <c r="AB10" s="63">
        <f t="shared" si="8"/>
        <v>8596.902399999999</v>
      </c>
      <c r="AC10" s="20">
        <f t="shared" si="9"/>
        <v>8596.902399999999</v>
      </c>
      <c r="AD10" s="63">
        <f t="shared" si="10"/>
        <v>11251.0616894</v>
      </c>
      <c r="AE10" s="63">
        <f>AB$6*$G10</f>
        <v>6066.2564193</v>
      </c>
      <c r="AH10" s="32">
        <f t="shared" si="11"/>
        <v>31.4752</v>
      </c>
      <c r="AI10" s="32">
        <f t="shared" si="12"/>
        <v>31.4752</v>
      </c>
      <c r="AJ10" s="63">
        <f t="shared" si="13"/>
        <v>41.1926762</v>
      </c>
      <c r="AK10" s="63">
        <f>AH$6*$G10</f>
        <v>22.209933900000003</v>
      </c>
      <c r="AM10" s="63"/>
      <c r="AN10" s="63">
        <f t="shared" si="14"/>
        <v>1858.0608</v>
      </c>
      <c r="AO10" s="20">
        <f t="shared" si="15"/>
        <v>1858.0608</v>
      </c>
      <c r="AP10" s="63">
        <f t="shared" si="16"/>
        <v>2431.7080398000003</v>
      </c>
      <c r="AQ10" s="63">
        <f>AN$6*$G10</f>
        <v>1311.1086681000002</v>
      </c>
      <c r="AS10" s="63"/>
      <c r="AT10" s="63">
        <f t="shared" si="17"/>
        <v>8549.44</v>
      </c>
      <c r="AU10" s="20">
        <f t="shared" si="18"/>
        <v>8549.44</v>
      </c>
      <c r="AV10" s="63">
        <f t="shared" si="19"/>
        <v>11188.946015000001</v>
      </c>
      <c r="AW10" s="63">
        <f>AT$6*$G10</f>
        <v>6032.7653925</v>
      </c>
      <c r="AX10" s="32"/>
      <c r="AY10" s="63"/>
      <c r="AZ10" s="63">
        <f t="shared" si="20"/>
        <v>1347.7888</v>
      </c>
      <c r="BA10" s="20">
        <f t="shared" si="21"/>
        <v>1347.7888</v>
      </c>
      <c r="BB10" s="63">
        <f t="shared" si="22"/>
        <v>1763.8975328</v>
      </c>
      <c r="BC10" s="63">
        <f>AZ$6*$G10</f>
        <v>951.0440016</v>
      </c>
      <c r="BD10" s="32"/>
      <c r="BE10" s="49"/>
      <c r="BF10" s="49">
        <f t="shared" si="23"/>
        <v>74.8672</v>
      </c>
      <c r="BG10" s="32">
        <f t="shared" si="24"/>
        <v>74.8672</v>
      </c>
      <c r="BH10" s="63">
        <f t="shared" si="25"/>
        <v>97.98127819999999</v>
      </c>
      <c r="BI10" s="63">
        <f>BF$6*$G10</f>
        <v>52.8287529</v>
      </c>
      <c r="BJ10" s="32"/>
      <c r="BK10" s="32"/>
      <c r="BL10" s="32">
        <f t="shared" si="26"/>
        <v>862.3744</v>
      </c>
      <c r="BM10" s="32">
        <f t="shared" si="27"/>
        <v>862.3744</v>
      </c>
      <c r="BN10" s="63">
        <f t="shared" si="28"/>
        <v>1128.6190214</v>
      </c>
      <c r="BO10" s="63">
        <f>BL$6*$G10</f>
        <v>608.5196733</v>
      </c>
      <c r="BP10" s="32"/>
      <c r="BQ10" s="49"/>
      <c r="BR10" s="49">
        <f t="shared" si="29"/>
        <v>1205.5808</v>
      </c>
      <c r="BS10" s="32">
        <f t="shared" si="30"/>
        <v>1205.5808</v>
      </c>
      <c r="BT10" s="63">
        <f t="shared" si="31"/>
        <v>1577.7850348</v>
      </c>
      <c r="BU10" s="63">
        <f>BR$6*$G10</f>
        <v>850.6973705999999</v>
      </c>
      <c r="BV10" s="32"/>
      <c r="BW10" s="49"/>
      <c r="BX10" s="49">
        <f t="shared" si="32"/>
        <v>168.65279999999998</v>
      </c>
      <c r="BY10" s="32">
        <f t="shared" si="33"/>
        <v>168.65279999999998</v>
      </c>
      <c r="BZ10" s="63">
        <f t="shared" si="34"/>
        <v>220.7217168</v>
      </c>
      <c r="CA10" s="63">
        <f>BX$6*$G10</f>
        <v>119.0069496</v>
      </c>
      <c r="CB10" s="32"/>
      <c r="CC10" s="49"/>
      <c r="CD10" s="49">
        <f t="shared" si="35"/>
        <v>876.1344</v>
      </c>
      <c r="CE10" s="32">
        <f t="shared" si="36"/>
        <v>876.1344</v>
      </c>
      <c r="CF10" s="63">
        <f t="shared" si="37"/>
        <v>1146.6272064</v>
      </c>
      <c r="CG10" s="63">
        <f>CD$6*$G10</f>
        <v>618.2291808</v>
      </c>
      <c r="CH10" s="32"/>
      <c r="CI10" s="49"/>
      <c r="CJ10" s="49">
        <f t="shared" si="38"/>
        <v>49.792</v>
      </c>
      <c r="CK10" s="32">
        <f t="shared" si="39"/>
        <v>49.792</v>
      </c>
      <c r="CL10" s="63">
        <f t="shared" si="40"/>
        <v>65.164502</v>
      </c>
      <c r="CM10" s="63">
        <f>CJ$6*$G10</f>
        <v>35.134869</v>
      </c>
      <c r="CN10" s="32"/>
      <c r="CO10" s="49"/>
      <c r="CP10" s="49">
        <f t="shared" si="41"/>
        <v>175.9872</v>
      </c>
      <c r="CQ10" s="32">
        <f t="shared" si="42"/>
        <v>175.9872</v>
      </c>
      <c r="CR10" s="63">
        <f t="shared" si="43"/>
        <v>230.3204982</v>
      </c>
      <c r="CS10" s="63">
        <f>CP$6*$G10</f>
        <v>124.18234290000001</v>
      </c>
      <c r="CT10" s="32"/>
      <c r="CU10" s="32"/>
      <c r="CV10" s="32">
        <f t="shared" si="44"/>
        <v>639.7056</v>
      </c>
      <c r="CW10" s="32">
        <f t="shared" si="45"/>
        <v>639.7056</v>
      </c>
      <c r="CX10" s="63">
        <f t="shared" si="46"/>
        <v>837.2047086</v>
      </c>
      <c r="CY10" s="63">
        <f>CV$6*$G10</f>
        <v>451.3972617</v>
      </c>
      <c r="CZ10" s="32"/>
      <c r="DA10" s="49"/>
      <c r="DB10" s="49">
        <f t="shared" si="47"/>
        <v>4368.5888</v>
      </c>
      <c r="DC10" s="32">
        <f t="shared" si="48"/>
        <v>4368.5888</v>
      </c>
      <c r="DD10" s="63">
        <f t="shared" si="49"/>
        <v>5717.3223328</v>
      </c>
      <c r="DE10" s="63">
        <f>DB$6*$G10</f>
        <v>3082.6196016000004</v>
      </c>
      <c r="DF10" s="32"/>
      <c r="DG10" s="49"/>
      <c r="DH10" s="49">
        <f t="shared" si="50"/>
        <v>18080.140799999997</v>
      </c>
      <c r="DI10" s="32">
        <f t="shared" si="51"/>
        <v>18080.140799999997</v>
      </c>
      <c r="DJ10" s="63">
        <f t="shared" si="52"/>
        <v>23662.1017698</v>
      </c>
      <c r="DK10" s="63">
        <f>DH$6*$G10</f>
        <v>12757.9406031</v>
      </c>
      <c r="DL10" s="32"/>
      <c r="DM10" s="49"/>
      <c r="DN10" s="49">
        <f t="shared" si="53"/>
        <v>3323.7504000000004</v>
      </c>
      <c r="DO10" s="32">
        <f t="shared" si="54"/>
        <v>3323.7504000000004</v>
      </c>
      <c r="DP10" s="63">
        <f t="shared" si="55"/>
        <v>4349.9064024</v>
      </c>
      <c r="DQ10" s="63">
        <f>DN$6*$G10</f>
        <v>2345.3473428</v>
      </c>
      <c r="DR10" s="32"/>
      <c r="DS10" s="49"/>
      <c r="DT10" s="49">
        <f t="shared" si="56"/>
        <v>11379.443200000002</v>
      </c>
      <c r="DU10" s="32">
        <f t="shared" si="57"/>
        <v>11379.443200000002</v>
      </c>
      <c r="DV10" s="63">
        <f t="shared" si="58"/>
        <v>14892.668484200001</v>
      </c>
      <c r="DW10" s="63">
        <f>DT$6*$G10</f>
        <v>8029.7085099000005</v>
      </c>
      <c r="DX10" s="32"/>
      <c r="DY10" s="49"/>
      <c r="DZ10" s="49">
        <f t="shared" si="59"/>
        <v>2426.176</v>
      </c>
      <c r="EA10" s="32">
        <f t="shared" si="60"/>
        <v>2426.176</v>
      </c>
      <c r="EB10" s="63">
        <f t="shared" si="61"/>
        <v>3175.2199309999996</v>
      </c>
      <c r="EC10" s="63">
        <f>DZ$6*$G10</f>
        <v>1711.9893945</v>
      </c>
      <c r="ED10" s="32"/>
      <c r="EE10" s="49"/>
      <c r="EF10" s="49">
        <f t="shared" si="62"/>
        <v>197.6576</v>
      </c>
      <c r="EG10" s="32">
        <f t="shared" si="63"/>
        <v>197.6576</v>
      </c>
      <c r="EH10" s="63">
        <f t="shared" si="64"/>
        <v>258.6812956</v>
      </c>
      <c r="EI10" s="63">
        <f>EF$6*$G10</f>
        <v>139.4736882</v>
      </c>
      <c r="EJ10" s="32"/>
      <c r="EK10" s="49"/>
      <c r="EL10" s="49">
        <f t="shared" si="65"/>
        <v>235.7376</v>
      </c>
      <c r="EM10" s="32">
        <f t="shared" si="66"/>
        <v>235.7376</v>
      </c>
      <c r="EN10" s="63">
        <f t="shared" si="67"/>
        <v>308.51790059999996</v>
      </c>
      <c r="EO10" s="63">
        <f>EL$6*$G10</f>
        <v>166.3441857</v>
      </c>
      <c r="EP10" s="32"/>
      <c r="EQ10" s="49"/>
      <c r="ER10" s="49">
        <f t="shared" si="68"/>
        <v>480.79359999999997</v>
      </c>
      <c r="ES10" s="32">
        <f t="shared" si="69"/>
        <v>480.79359999999997</v>
      </c>
      <c r="ET10" s="63">
        <f t="shared" si="70"/>
        <v>629.2311116</v>
      </c>
      <c r="EU10" s="63">
        <f>ER$6*$G10</f>
        <v>339.2637402</v>
      </c>
      <c r="EV10" s="32"/>
      <c r="EW10" s="49"/>
      <c r="EX10" s="49">
        <f t="shared" si="71"/>
        <v>13252.3008</v>
      </c>
      <c r="EY10" s="32">
        <f t="shared" si="72"/>
        <v>13252.3008</v>
      </c>
      <c r="EZ10" s="63">
        <f t="shared" si="73"/>
        <v>17343.7416048</v>
      </c>
      <c r="FA10" s="63">
        <f>EX$6*$G10</f>
        <v>9351.2582856</v>
      </c>
      <c r="FB10" s="32"/>
      <c r="FC10" s="32"/>
      <c r="FD10" s="32">
        <f t="shared" si="74"/>
        <v>514.688</v>
      </c>
      <c r="FE10" s="32">
        <f t="shared" si="75"/>
        <v>514.688</v>
      </c>
      <c r="FF10" s="63">
        <f t="shared" si="76"/>
        <v>673.589878</v>
      </c>
      <c r="FG10" s="63">
        <f>FD$6*$G10</f>
        <v>363.180741</v>
      </c>
      <c r="FH10" s="32"/>
      <c r="FI10" s="49"/>
      <c r="FJ10" s="49">
        <f t="shared" si="77"/>
        <v>1103.0016</v>
      </c>
      <c r="FK10" s="32">
        <f t="shared" si="78"/>
        <v>1103.0016</v>
      </c>
      <c r="FL10" s="63">
        <f t="shared" si="79"/>
        <v>1443.5361096000001</v>
      </c>
      <c r="FM10" s="63">
        <f>FJ$6*$G10</f>
        <v>778.3141212</v>
      </c>
      <c r="FN10" s="32"/>
      <c r="FO10" s="32"/>
      <c r="FP10" s="32"/>
      <c r="FQ10" s="32"/>
    </row>
    <row r="11" spans="1:173" s="51" customFormat="1" ht="12.75">
      <c r="A11" s="50">
        <v>44652</v>
      </c>
      <c r="C11" s="39">
        <v>5120000</v>
      </c>
      <c r="D11" s="39">
        <v>128000</v>
      </c>
      <c r="E11" s="34">
        <f t="shared" si="0"/>
        <v>5248000</v>
      </c>
      <c r="F11" s="34">
        <v>167518</v>
      </c>
      <c r="G11" s="34">
        <v>90321</v>
      </c>
      <c r="H11" s="49"/>
      <c r="I11" s="49">
        <f>'2016B Academic'!I11</f>
        <v>1646353.92</v>
      </c>
      <c r="J11" s="49">
        <f>'2016B Academic'!J11</f>
        <v>41158.848</v>
      </c>
      <c r="K11" s="49">
        <f t="shared" si="1"/>
        <v>1687512.768</v>
      </c>
      <c r="L11" s="49">
        <f>'2016B Academic'!L11</f>
        <v>53865.999213</v>
      </c>
      <c r="M11" s="49">
        <f>'2016B Academic'!M11</f>
        <v>29043.0336735</v>
      </c>
      <c r="N11" s="49"/>
      <c r="O11" s="49">
        <f>U11+AA11+AG11+AM11+AS11+AY11+BE11+BK11+BQ11+CC11+CO11+CU11+DA11+DG11+DM11+EK11+EQ11+EW11+FC11+FI11+FO11+BW11+CI11+DS11+DY11+EE11</f>
        <v>3473646.0800000005</v>
      </c>
      <c r="P11" s="39">
        <f t="shared" si="2"/>
        <v>86841.152</v>
      </c>
      <c r="Q11" s="32">
        <f t="shared" si="3"/>
        <v>3560487.232000001</v>
      </c>
      <c r="R11" s="39">
        <f t="shared" si="4"/>
        <v>113652.00078700003</v>
      </c>
      <c r="S11" s="39">
        <f t="shared" si="4"/>
        <v>61277.9663265</v>
      </c>
      <c r="T11" s="49"/>
      <c r="U11" s="63">
        <f t="shared" si="80"/>
        <v>281684.48000000004</v>
      </c>
      <c r="V11" s="63">
        <f t="shared" si="5"/>
        <v>7042.112</v>
      </c>
      <c r="W11" s="20">
        <f t="shared" si="6"/>
        <v>288726.59200000006</v>
      </c>
      <c r="X11" s="63">
        <f t="shared" si="7"/>
        <v>9216.254047</v>
      </c>
      <c r="Y11" s="63">
        <f>V$6*$G11</f>
        <v>4969.1452965</v>
      </c>
      <c r="Z11" s="49"/>
      <c r="AA11" s="63">
        <f t="shared" si="81"/>
        <v>343876.09599999996</v>
      </c>
      <c r="AB11" s="63">
        <f t="shared" si="8"/>
        <v>8596.902399999999</v>
      </c>
      <c r="AC11" s="20">
        <f t="shared" si="9"/>
        <v>352472.9984</v>
      </c>
      <c r="AD11" s="63">
        <f t="shared" si="10"/>
        <v>11251.0616894</v>
      </c>
      <c r="AE11" s="63">
        <f>AB$6*$G11</f>
        <v>6066.2564193</v>
      </c>
      <c r="AF11" s="49"/>
      <c r="AG11" s="32">
        <f t="shared" si="82"/>
        <v>1259.008</v>
      </c>
      <c r="AH11" s="32">
        <f t="shared" si="11"/>
        <v>31.4752</v>
      </c>
      <c r="AI11" s="32">
        <f t="shared" si="12"/>
        <v>1290.4832000000001</v>
      </c>
      <c r="AJ11" s="63">
        <f t="shared" si="13"/>
        <v>41.1926762</v>
      </c>
      <c r="AK11" s="63">
        <f>AH$6*$G11</f>
        <v>22.209933900000003</v>
      </c>
      <c r="AL11" s="49"/>
      <c r="AM11" s="63">
        <f t="shared" si="83"/>
        <v>74322.432</v>
      </c>
      <c r="AN11" s="63">
        <f t="shared" si="14"/>
        <v>1858.0608</v>
      </c>
      <c r="AO11" s="20">
        <f t="shared" si="15"/>
        <v>76180.4928</v>
      </c>
      <c r="AP11" s="63">
        <f t="shared" si="16"/>
        <v>2431.7080398000003</v>
      </c>
      <c r="AQ11" s="63">
        <f>AN$6*$G11</f>
        <v>1311.1086681000002</v>
      </c>
      <c r="AR11" s="49"/>
      <c r="AS11" s="63">
        <f t="shared" si="84"/>
        <v>341977.60000000003</v>
      </c>
      <c r="AT11" s="63">
        <f t="shared" si="17"/>
        <v>8549.44</v>
      </c>
      <c r="AU11" s="20">
        <f t="shared" si="18"/>
        <v>350527.04000000004</v>
      </c>
      <c r="AV11" s="63">
        <f t="shared" si="19"/>
        <v>11188.946015000001</v>
      </c>
      <c r="AW11" s="63">
        <f>AT$6*$G11</f>
        <v>6032.7653925</v>
      </c>
      <c r="AX11" s="49"/>
      <c r="AY11" s="63">
        <f t="shared" si="85"/>
        <v>53911.552</v>
      </c>
      <c r="AZ11" s="63">
        <f t="shared" si="20"/>
        <v>1347.7888</v>
      </c>
      <c r="BA11" s="20">
        <f t="shared" si="21"/>
        <v>55259.340800000005</v>
      </c>
      <c r="BB11" s="63">
        <f t="shared" si="22"/>
        <v>1763.8975328</v>
      </c>
      <c r="BC11" s="63">
        <f>AZ$6*$G11</f>
        <v>951.0440016</v>
      </c>
      <c r="BD11" s="49"/>
      <c r="BE11" s="49">
        <f t="shared" si="86"/>
        <v>2994.6879999999996</v>
      </c>
      <c r="BF11" s="49">
        <f t="shared" si="23"/>
        <v>74.8672</v>
      </c>
      <c r="BG11" s="32">
        <f t="shared" si="24"/>
        <v>3069.5552</v>
      </c>
      <c r="BH11" s="63">
        <f t="shared" si="25"/>
        <v>97.98127819999999</v>
      </c>
      <c r="BI11" s="63">
        <f>BF$6*$G11</f>
        <v>52.8287529</v>
      </c>
      <c r="BJ11" s="49"/>
      <c r="BK11" s="32">
        <f t="shared" si="87"/>
        <v>34494.976</v>
      </c>
      <c r="BL11" s="32">
        <f t="shared" si="26"/>
        <v>862.3744</v>
      </c>
      <c r="BM11" s="32">
        <f t="shared" si="27"/>
        <v>35357.3504</v>
      </c>
      <c r="BN11" s="63">
        <f t="shared" si="28"/>
        <v>1128.6190214</v>
      </c>
      <c r="BO11" s="63">
        <f>BL$6*$G11</f>
        <v>608.5196733</v>
      </c>
      <c r="BP11" s="49"/>
      <c r="BQ11" s="49">
        <f t="shared" si="88"/>
        <v>48223.231999999996</v>
      </c>
      <c r="BR11" s="49">
        <f t="shared" si="29"/>
        <v>1205.5808</v>
      </c>
      <c r="BS11" s="32">
        <f t="shared" si="30"/>
        <v>49428.8128</v>
      </c>
      <c r="BT11" s="63">
        <f t="shared" si="31"/>
        <v>1577.7850348</v>
      </c>
      <c r="BU11" s="63">
        <f>BR$6*$G11</f>
        <v>850.6973705999999</v>
      </c>
      <c r="BV11" s="49"/>
      <c r="BW11" s="49">
        <f t="shared" si="89"/>
        <v>6746.112</v>
      </c>
      <c r="BX11" s="49">
        <f t="shared" si="32"/>
        <v>168.65279999999998</v>
      </c>
      <c r="BY11" s="32">
        <f t="shared" si="33"/>
        <v>6914.7648</v>
      </c>
      <c r="BZ11" s="63">
        <f t="shared" si="34"/>
        <v>220.7217168</v>
      </c>
      <c r="CA11" s="63">
        <f>BX$6*$G11</f>
        <v>119.0069496</v>
      </c>
      <c r="CB11" s="49"/>
      <c r="CC11" s="49">
        <f t="shared" si="90"/>
        <v>35045.376</v>
      </c>
      <c r="CD11" s="49">
        <f t="shared" si="35"/>
        <v>876.1344</v>
      </c>
      <c r="CE11" s="32">
        <f t="shared" si="36"/>
        <v>35921.5104</v>
      </c>
      <c r="CF11" s="63">
        <f t="shared" si="37"/>
        <v>1146.6272064</v>
      </c>
      <c r="CG11" s="63">
        <f>CD$6*$G11</f>
        <v>618.2291808</v>
      </c>
      <c r="CH11" s="49"/>
      <c r="CI11" s="49">
        <f t="shared" si="91"/>
        <v>1991.68</v>
      </c>
      <c r="CJ11" s="49">
        <f t="shared" si="38"/>
        <v>49.792</v>
      </c>
      <c r="CK11" s="32">
        <f t="shared" si="39"/>
        <v>2041.472</v>
      </c>
      <c r="CL11" s="63">
        <f t="shared" si="40"/>
        <v>65.164502</v>
      </c>
      <c r="CM11" s="63">
        <f>CJ$6*$G11</f>
        <v>35.134869</v>
      </c>
      <c r="CN11" s="49"/>
      <c r="CO11" s="49">
        <f t="shared" si="92"/>
        <v>7039.488</v>
      </c>
      <c r="CP11" s="49">
        <f t="shared" si="41"/>
        <v>175.9872</v>
      </c>
      <c r="CQ11" s="32">
        <f t="shared" si="42"/>
        <v>7215.4752</v>
      </c>
      <c r="CR11" s="63">
        <f t="shared" si="43"/>
        <v>230.3204982</v>
      </c>
      <c r="CS11" s="63">
        <f>CP$6*$G11</f>
        <v>124.18234290000001</v>
      </c>
      <c r="CT11" s="49"/>
      <c r="CU11" s="32">
        <f t="shared" si="93"/>
        <v>25588.224</v>
      </c>
      <c r="CV11" s="32">
        <f t="shared" si="44"/>
        <v>639.7056</v>
      </c>
      <c r="CW11" s="32">
        <f t="shared" si="45"/>
        <v>26227.9296</v>
      </c>
      <c r="CX11" s="63">
        <f t="shared" si="46"/>
        <v>837.2047086</v>
      </c>
      <c r="CY11" s="63">
        <f>CV$6*$G11</f>
        <v>451.3972617</v>
      </c>
      <c r="CZ11" s="49"/>
      <c r="DA11" s="49">
        <f t="shared" si="94"/>
        <v>174743.55200000003</v>
      </c>
      <c r="DB11" s="49">
        <f t="shared" si="47"/>
        <v>4368.5888</v>
      </c>
      <c r="DC11" s="32">
        <f t="shared" si="48"/>
        <v>179112.14080000002</v>
      </c>
      <c r="DD11" s="63">
        <f t="shared" si="49"/>
        <v>5717.3223328</v>
      </c>
      <c r="DE11" s="63">
        <f>DB$6*$G11</f>
        <v>3082.6196016000004</v>
      </c>
      <c r="DF11" s="49"/>
      <c r="DG11" s="49">
        <f t="shared" si="95"/>
        <v>723205.632</v>
      </c>
      <c r="DH11" s="49">
        <f t="shared" si="50"/>
        <v>18080.140799999997</v>
      </c>
      <c r="DI11" s="32">
        <f t="shared" si="51"/>
        <v>741285.7728</v>
      </c>
      <c r="DJ11" s="63">
        <f t="shared" si="52"/>
        <v>23662.1017698</v>
      </c>
      <c r="DK11" s="63">
        <f>DH$6*$G11</f>
        <v>12757.9406031</v>
      </c>
      <c r="DL11" s="49"/>
      <c r="DM11" s="49">
        <f t="shared" si="96"/>
        <v>132950.016</v>
      </c>
      <c r="DN11" s="49">
        <f t="shared" si="53"/>
        <v>3323.7504000000004</v>
      </c>
      <c r="DO11" s="32">
        <f t="shared" si="54"/>
        <v>136273.7664</v>
      </c>
      <c r="DP11" s="63">
        <f t="shared" si="55"/>
        <v>4349.9064024</v>
      </c>
      <c r="DQ11" s="63">
        <f>DN$6*$G11</f>
        <v>2345.3473428</v>
      </c>
      <c r="DR11" s="49"/>
      <c r="DS11" s="49">
        <f t="shared" si="97"/>
        <v>455177.728</v>
      </c>
      <c r="DT11" s="49">
        <f t="shared" si="56"/>
        <v>11379.443200000002</v>
      </c>
      <c r="DU11" s="32">
        <f t="shared" si="57"/>
        <v>466557.1712</v>
      </c>
      <c r="DV11" s="63">
        <f t="shared" si="58"/>
        <v>14892.668484200001</v>
      </c>
      <c r="DW11" s="63">
        <f>DT$6*$G11</f>
        <v>8029.7085099000005</v>
      </c>
      <c r="DX11" s="49"/>
      <c r="DY11" s="49">
        <f t="shared" si="98"/>
        <v>97047.04</v>
      </c>
      <c r="DZ11" s="49">
        <f t="shared" si="59"/>
        <v>2426.176</v>
      </c>
      <c r="EA11" s="32">
        <f t="shared" si="60"/>
        <v>99473.216</v>
      </c>
      <c r="EB11" s="63">
        <f t="shared" si="61"/>
        <v>3175.2199309999996</v>
      </c>
      <c r="EC11" s="63">
        <f>DZ$6*$G11</f>
        <v>1711.9893945</v>
      </c>
      <c r="ED11" s="49"/>
      <c r="EE11" s="49">
        <f t="shared" si="99"/>
        <v>7906.303999999999</v>
      </c>
      <c r="EF11" s="49">
        <f t="shared" si="62"/>
        <v>197.6576</v>
      </c>
      <c r="EG11" s="32">
        <f t="shared" si="63"/>
        <v>8103.961599999999</v>
      </c>
      <c r="EH11" s="63">
        <f t="shared" si="64"/>
        <v>258.6812956</v>
      </c>
      <c r="EI11" s="63">
        <f>EF$6*$G11</f>
        <v>139.4736882</v>
      </c>
      <c r="EJ11" s="49"/>
      <c r="EK11" s="49">
        <f t="shared" si="100"/>
        <v>9429.503999999999</v>
      </c>
      <c r="EL11" s="49">
        <f t="shared" si="65"/>
        <v>235.7376</v>
      </c>
      <c r="EM11" s="32">
        <f t="shared" si="66"/>
        <v>9665.2416</v>
      </c>
      <c r="EN11" s="63">
        <f t="shared" si="67"/>
        <v>308.51790059999996</v>
      </c>
      <c r="EO11" s="63">
        <f>EL$6*$G11</f>
        <v>166.3441857</v>
      </c>
      <c r="EP11" s="49"/>
      <c r="EQ11" s="49">
        <f t="shared" si="101"/>
        <v>19231.744</v>
      </c>
      <c r="ER11" s="49">
        <f t="shared" si="68"/>
        <v>480.79359999999997</v>
      </c>
      <c r="ES11" s="32">
        <f t="shared" si="69"/>
        <v>19712.5376</v>
      </c>
      <c r="ET11" s="63">
        <f t="shared" si="70"/>
        <v>629.2311116</v>
      </c>
      <c r="EU11" s="63">
        <f>ER$6*$G11</f>
        <v>339.2637402</v>
      </c>
      <c r="EV11" s="49"/>
      <c r="EW11" s="49">
        <f t="shared" si="102"/>
        <v>530092.032</v>
      </c>
      <c r="EX11" s="49">
        <f t="shared" si="71"/>
        <v>13252.3008</v>
      </c>
      <c r="EY11" s="32">
        <f t="shared" si="72"/>
        <v>543344.3328</v>
      </c>
      <c r="EZ11" s="63">
        <f t="shared" si="73"/>
        <v>17343.7416048</v>
      </c>
      <c r="FA11" s="63">
        <f>EX$6*$G11</f>
        <v>9351.2582856</v>
      </c>
      <c r="FB11" s="32"/>
      <c r="FC11" s="32">
        <f t="shared" si="103"/>
        <v>20587.52</v>
      </c>
      <c r="FD11" s="32">
        <f t="shared" si="74"/>
        <v>514.688</v>
      </c>
      <c r="FE11" s="32">
        <f t="shared" si="75"/>
        <v>21102.208</v>
      </c>
      <c r="FF11" s="63">
        <f t="shared" si="76"/>
        <v>673.589878</v>
      </c>
      <c r="FG11" s="63">
        <f>FD$6*$G11</f>
        <v>363.180741</v>
      </c>
      <c r="FH11" s="49"/>
      <c r="FI11" s="49">
        <f t="shared" si="104"/>
        <v>44120.064</v>
      </c>
      <c r="FJ11" s="49">
        <f t="shared" si="77"/>
        <v>1103.0016</v>
      </c>
      <c r="FK11" s="32">
        <f t="shared" si="78"/>
        <v>45223.0656</v>
      </c>
      <c r="FL11" s="63">
        <f t="shared" si="79"/>
        <v>1443.5361096000001</v>
      </c>
      <c r="FM11" s="63">
        <f>FJ$6*$G11</f>
        <v>778.3141212</v>
      </c>
      <c r="FN11" s="49"/>
      <c r="FO11" s="32"/>
      <c r="FP11" s="32"/>
      <c r="FQ11" s="32"/>
    </row>
    <row r="12" spans="1:173" s="51" customFormat="1" ht="12.75">
      <c r="A12" s="50">
        <v>44835</v>
      </c>
      <c r="C12" s="34"/>
      <c r="D12" s="34"/>
      <c r="E12" s="34">
        <f t="shared" si="0"/>
        <v>0</v>
      </c>
      <c r="F12" s="34"/>
      <c r="G12" s="34"/>
      <c r="H12" s="49"/>
      <c r="I12" s="49"/>
      <c r="J12" s="49"/>
      <c r="K12" s="49">
        <f t="shared" si="1"/>
        <v>0</v>
      </c>
      <c r="L12" s="49"/>
      <c r="M12" s="34"/>
      <c r="N12" s="49"/>
      <c r="O12" s="49"/>
      <c r="P12" s="39">
        <f t="shared" si="2"/>
        <v>0</v>
      </c>
      <c r="Q12" s="32">
        <f t="shared" si="3"/>
        <v>0</v>
      </c>
      <c r="R12" s="39">
        <f t="shared" si="4"/>
        <v>0</v>
      </c>
      <c r="S12" s="34"/>
      <c r="T12" s="49"/>
      <c r="U12" s="63"/>
      <c r="V12" s="63">
        <f t="shared" si="5"/>
        <v>0</v>
      </c>
      <c r="W12" s="20">
        <f t="shared" si="6"/>
        <v>0</v>
      </c>
      <c r="X12" s="63">
        <f t="shared" si="7"/>
        <v>0</v>
      </c>
      <c r="Y12" s="63"/>
      <c r="Z12" s="49"/>
      <c r="AA12" s="63"/>
      <c r="AB12" s="63">
        <f t="shared" si="8"/>
        <v>0</v>
      </c>
      <c r="AC12" s="20">
        <f t="shared" si="9"/>
        <v>0</v>
      </c>
      <c r="AD12" s="63">
        <f t="shared" si="10"/>
        <v>0</v>
      </c>
      <c r="AE12" s="63"/>
      <c r="AF12" s="49"/>
      <c r="AG12" s="32"/>
      <c r="AH12" s="32">
        <f t="shared" si="11"/>
        <v>0</v>
      </c>
      <c r="AI12" s="32">
        <f t="shared" si="12"/>
        <v>0</v>
      </c>
      <c r="AJ12" s="63">
        <f t="shared" si="13"/>
        <v>0</v>
      </c>
      <c r="AK12" s="63"/>
      <c r="AL12" s="49"/>
      <c r="AM12" s="63"/>
      <c r="AN12" s="63">
        <f t="shared" si="14"/>
        <v>0</v>
      </c>
      <c r="AO12" s="20">
        <f t="shared" si="15"/>
        <v>0</v>
      </c>
      <c r="AP12" s="63">
        <f t="shared" si="16"/>
        <v>0</v>
      </c>
      <c r="AQ12" s="63"/>
      <c r="AR12" s="49"/>
      <c r="AS12" s="63"/>
      <c r="AT12" s="63">
        <f t="shared" si="17"/>
        <v>0</v>
      </c>
      <c r="AU12" s="20">
        <f t="shared" si="18"/>
        <v>0</v>
      </c>
      <c r="AV12" s="63">
        <f t="shared" si="19"/>
        <v>0</v>
      </c>
      <c r="AW12" s="63"/>
      <c r="AX12" s="49"/>
      <c r="AY12" s="63"/>
      <c r="AZ12" s="63">
        <f t="shared" si="20"/>
        <v>0</v>
      </c>
      <c r="BA12" s="20">
        <f t="shared" si="21"/>
        <v>0</v>
      </c>
      <c r="BB12" s="63">
        <f t="shared" si="22"/>
        <v>0</v>
      </c>
      <c r="BC12" s="63"/>
      <c r="BD12" s="49"/>
      <c r="BE12" s="49"/>
      <c r="BF12" s="49">
        <f t="shared" si="23"/>
        <v>0</v>
      </c>
      <c r="BG12" s="32">
        <f t="shared" si="24"/>
        <v>0</v>
      </c>
      <c r="BH12" s="63">
        <f t="shared" si="25"/>
        <v>0</v>
      </c>
      <c r="BI12" s="63"/>
      <c r="BJ12" s="49"/>
      <c r="BK12" s="32"/>
      <c r="BL12" s="32">
        <f t="shared" si="26"/>
        <v>0</v>
      </c>
      <c r="BM12" s="32">
        <f t="shared" si="27"/>
        <v>0</v>
      </c>
      <c r="BN12" s="63">
        <f t="shared" si="28"/>
        <v>0</v>
      </c>
      <c r="BO12" s="63"/>
      <c r="BP12" s="49"/>
      <c r="BQ12" s="49"/>
      <c r="BR12" s="49">
        <f t="shared" si="29"/>
        <v>0</v>
      </c>
      <c r="BS12" s="32">
        <f t="shared" si="30"/>
        <v>0</v>
      </c>
      <c r="BT12" s="63">
        <f t="shared" si="31"/>
        <v>0</v>
      </c>
      <c r="BU12" s="63"/>
      <c r="BV12" s="49"/>
      <c r="BW12" s="49"/>
      <c r="BX12" s="49">
        <f t="shared" si="32"/>
        <v>0</v>
      </c>
      <c r="BY12" s="32">
        <f t="shared" si="33"/>
        <v>0</v>
      </c>
      <c r="BZ12" s="63">
        <f t="shared" si="34"/>
        <v>0</v>
      </c>
      <c r="CA12" s="63"/>
      <c r="CB12" s="49"/>
      <c r="CC12" s="49"/>
      <c r="CD12" s="49">
        <f t="shared" si="35"/>
        <v>0</v>
      </c>
      <c r="CE12" s="32">
        <f t="shared" si="36"/>
        <v>0</v>
      </c>
      <c r="CF12" s="63">
        <f t="shared" si="37"/>
        <v>0</v>
      </c>
      <c r="CG12" s="63"/>
      <c r="CH12" s="49"/>
      <c r="CI12" s="49"/>
      <c r="CJ12" s="49">
        <f t="shared" si="38"/>
        <v>0</v>
      </c>
      <c r="CK12" s="32">
        <f t="shared" si="39"/>
        <v>0</v>
      </c>
      <c r="CL12" s="63">
        <f t="shared" si="40"/>
        <v>0</v>
      </c>
      <c r="CM12" s="63"/>
      <c r="CN12" s="49"/>
      <c r="CO12" s="49"/>
      <c r="CP12" s="49">
        <f t="shared" si="41"/>
        <v>0</v>
      </c>
      <c r="CQ12" s="32">
        <f t="shared" si="42"/>
        <v>0</v>
      </c>
      <c r="CR12" s="63">
        <f t="shared" si="43"/>
        <v>0</v>
      </c>
      <c r="CS12" s="63"/>
      <c r="CT12" s="49"/>
      <c r="CU12" s="32"/>
      <c r="CV12" s="32">
        <f t="shared" si="44"/>
        <v>0</v>
      </c>
      <c r="CW12" s="32">
        <f t="shared" si="45"/>
        <v>0</v>
      </c>
      <c r="CX12" s="63">
        <f t="shared" si="46"/>
        <v>0</v>
      </c>
      <c r="CY12" s="63"/>
      <c r="CZ12" s="49"/>
      <c r="DA12" s="49"/>
      <c r="DB12" s="49">
        <f t="shared" si="47"/>
        <v>0</v>
      </c>
      <c r="DC12" s="32">
        <f t="shared" si="48"/>
        <v>0</v>
      </c>
      <c r="DD12" s="63">
        <f t="shared" si="49"/>
        <v>0</v>
      </c>
      <c r="DE12" s="63"/>
      <c r="DF12" s="49"/>
      <c r="DG12" s="49"/>
      <c r="DH12" s="49">
        <f t="shared" si="50"/>
        <v>0</v>
      </c>
      <c r="DI12" s="32">
        <f t="shared" si="51"/>
        <v>0</v>
      </c>
      <c r="DJ12" s="63">
        <f t="shared" si="52"/>
        <v>0</v>
      </c>
      <c r="DK12" s="63"/>
      <c r="DL12" s="49"/>
      <c r="DM12" s="49"/>
      <c r="DN12" s="49">
        <f t="shared" si="53"/>
        <v>0</v>
      </c>
      <c r="DO12" s="32">
        <f t="shared" si="54"/>
        <v>0</v>
      </c>
      <c r="DP12" s="63">
        <f t="shared" si="55"/>
        <v>0</v>
      </c>
      <c r="DQ12" s="63"/>
      <c r="DR12" s="49"/>
      <c r="DS12" s="49"/>
      <c r="DT12" s="49">
        <f t="shared" si="56"/>
        <v>0</v>
      </c>
      <c r="DU12" s="32">
        <f t="shared" si="57"/>
        <v>0</v>
      </c>
      <c r="DV12" s="63">
        <f t="shared" si="58"/>
        <v>0</v>
      </c>
      <c r="DW12" s="63"/>
      <c r="DX12" s="49"/>
      <c r="DY12" s="49"/>
      <c r="DZ12" s="49">
        <f t="shared" si="59"/>
        <v>0</v>
      </c>
      <c r="EA12" s="32">
        <f t="shared" si="60"/>
        <v>0</v>
      </c>
      <c r="EB12" s="63">
        <f t="shared" si="61"/>
        <v>0</v>
      </c>
      <c r="EC12" s="63"/>
      <c r="ED12" s="49"/>
      <c r="EE12" s="49"/>
      <c r="EF12" s="49">
        <f t="shared" si="62"/>
        <v>0</v>
      </c>
      <c r="EG12" s="32">
        <f t="shared" si="63"/>
        <v>0</v>
      </c>
      <c r="EH12" s="63">
        <f t="shared" si="64"/>
        <v>0</v>
      </c>
      <c r="EI12" s="63"/>
      <c r="EJ12" s="49"/>
      <c r="EK12" s="49"/>
      <c r="EL12" s="49">
        <f t="shared" si="65"/>
        <v>0</v>
      </c>
      <c r="EM12" s="32">
        <f t="shared" si="66"/>
        <v>0</v>
      </c>
      <c r="EN12" s="63">
        <f t="shared" si="67"/>
        <v>0</v>
      </c>
      <c r="EO12" s="63"/>
      <c r="EP12" s="49"/>
      <c r="EQ12" s="49"/>
      <c r="ER12" s="49">
        <f t="shared" si="68"/>
        <v>0</v>
      </c>
      <c r="ES12" s="32">
        <f t="shared" si="69"/>
        <v>0</v>
      </c>
      <c r="ET12" s="63">
        <f t="shared" si="70"/>
        <v>0</v>
      </c>
      <c r="EU12" s="63"/>
      <c r="EV12" s="49"/>
      <c r="EW12" s="49"/>
      <c r="EX12" s="49">
        <f t="shared" si="71"/>
        <v>0</v>
      </c>
      <c r="EY12" s="32">
        <f t="shared" si="72"/>
        <v>0</v>
      </c>
      <c r="EZ12" s="63">
        <f t="shared" si="73"/>
        <v>0</v>
      </c>
      <c r="FA12" s="63"/>
      <c r="FB12" s="32"/>
      <c r="FC12" s="32"/>
      <c r="FD12" s="32">
        <f t="shared" si="74"/>
        <v>0</v>
      </c>
      <c r="FE12" s="32">
        <f t="shared" si="75"/>
        <v>0</v>
      </c>
      <c r="FF12" s="63">
        <f t="shared" si="76"/>
        <v>0</v>
      </c>
      <c r="FG12" s="63"/>
      <c r="FH12" s="49"/>
      <c r="FI12" s="49"/>
      <c r="FJ12" s="49">
        <f t="shared" si="77"/>
        <v>0</v>
      </c>
      <c r="FK12" s="32">
        <f t="shared" si="78"/>
        <v>0</v>
      </c>
      <c r="FL12" s="63">
        <f t="shared" si="79"/>
        <v>0</v>
      </c>
      <c r="FM12" s="63"/>
      <c r="FN12" s="49"/>
      <c r="FO12" s="32"/>
      <c r="FP12" s="32"/>
      <c r="FQ12" s="32"/>
    </row>
    <row r="13" spans="1:173" s="51" customFormat="1" ht="12.75">
      <c r="A13" s="50">
        <v>45017</v>
      </c>
      <c r="C13" s="34"/>
      <c r="D13" s="34"/>
      <c r="E13" s="34">
        <f t="shared" si="0"/>
        <v>0</v>
      </c>
      <c r="F13" s="34"/>
      <c r="G13" s="34"/>
      <c r="H13" s="49"/>
      <c r="I13" s="49"/>
      <c r="J13" s="49"/>
      <c r="K13" s="49">
        <f t="shared" si="1"/>
        <v>0</v>
      </c>
      <c r="L13" s="49"/>
      <c r="M13" s="34"/>
      <c r="N13" s="49"/>
      <c r="O13" s="49">
        <f>U13+AA13+AG13+AM13+AS13+AY13+BE13+BK13+BQ13+CC13+CO13+CU13+DA13+DG13+DM13+EK13+EQ13+EW13+FC13+FI13+FO13+BW13+CI13+DS13+DY13+EE13</f>
        <v>0</v>
      </c>
      <c r="P13" s="39">
        <f t="shared" si="2"/>
        <v>0</v>
      </c>
      <c r="Q13" s="32">
        <f t="shared" si="3"/>
        <v>0</v>
      </c>
      <c r="R13" s="39">
        <f t="shared" si="4"/>
        <v>0</v>
      </c>
      <c r="S13" s="34"/>
      <c r="T13" s="49"/>
      <c r="U13" s="63">
        <f t="shared" si="80"/>
        <v>0</v>
      </c>
      <c r="V13" s="63">
        <f t="shared" si="5"/>
        <v>0</v>
      </c>
      <c r="W13" s="20">
        <f t="shared" si="6"/>
        <v>0</v>
      </c>
      <c r="X13" s="63">
        <f t="shared" si="7"/>
        <v>0</v>
      </c>
      <c r="Y13" s="63"/>
      <c r="Z13" s="49"/>
      <c r="AA13" s="63">
        <f t="shared" si="81"/>
        <v>0</v>
      </c>
      <c r="AB13" s="63">
        <f t="shared" si="8"/>
        <v>0</v>
      </c>
      <c r="AC13" s="20">
        <f t="shared" si="9"/>
        <v>0</v>
      </c>
      <c r="AD13" s="63">
        <f t="shared" si="10"/>
        <v>0</v>
      </c>
      <c r="AE13" s="63"/>
      <c r="AF13" s="49"/>
      <c r="AG13" s="32">
        <f t="shared" si="82"/>
        <v>0</v>
      </c>
      <c r="AH13" s="32">
        <f t="shared" si="11"/>
        <v>0</v>
      </c>
      <c r="AI13" s="32">
        <f t="shared" si="12"/>
        <v>0</v>
      </c>
      <c r="AJ13" s="63">
        <f t="shared" si="13"/>
        <v>0</v>
      </c>
      <c r="AK13" s="63"/>
      <c r="AL13" s="49"/>
      <c r="AM13" s="63">
        <f t="shared" si="83"/>
        <v>0</v>
      </c>
      <c r="AN13" s="63">
        <f t="shared" si="14"/>
        <v>0</v>
      </c>
      <c r="AO13" s="20">
        <f t="shared" si="15"/>
        <v>0</v>
      </c>
      <c r="AP13" s="63">
        <f t="shared" si="16"/>
        <v>0</v>
      </c>
      <c r="AQ13" s="63"/>
      <c r="AR13" s="49"/>
      <c r="AS13" s="63">
        <f t="shared" si="84"/>
        <v>0</v>
      </c>
      <c r="AT13" s="63">
        <f t="shared" si="17"/>
        <v>0</v>
      </c>
      <c r="AU13" s="20">
        <f t="shared" si="18"/>
        <v>0</v>
      </c>
      <c r="AV13" s="63">
        <f t="shared" si="19"/>
        <v>0</v>
      </c>
      <c r="AW13" s="63"/>
      <c r="AX13" s="49"/>
      <c r="AY13" s="63">
        <f t="shared" si="85"/>
        <v>0</v>
      </c>
      <c r="AZ13" s="63">
        <f t="shared" si="20"/>
        <v>0</v>
      </c>
      <c r="BA13" s="20">
        <f t="shared" si="21"/>
        <v>0</v>
      </c>
      <c r="BB13" s="63">
        <f t="shared" si="22"/>
        <v>0</v>
      </c>
      <c r="BC13" s="63"/>
      <c r="BD13" s="49"/>
      <c r="BE13" s="49">
        <f t="shared" si="86"/>
        <v>0</v>
      </c>
      <c r="BF13" s="49">
        <f t="shared" si="23"/>
        <v>0</v>
      </c>
      <c r="BG13" s="32">
        <f t="shared" si="24"/>
        <v>0</v>
      </c>
      <c r="BH13" s="63">
        <f t="shared" si="25"/>
        <v>0</v>
      </c>
      <c r="BI13" s="63"/>
      <c r="BJ13" s="49"/>
      <c r="BK13" s="32">
        <f t="shared" si="87"/>
        <v>0</v>
      </c>
      <c r="BL13" s="32">
        <f t="shared" si="26"/>
        <v>0</v>
      </c>
      <c r="BM13" s="32">
        <f t="shared" si="27"/>
        <v>0</v>
      </c>
      <c r="BN13" s="63">
        <f t="shared" si="28"/>
        <v>0</v>
      </c>
      <c r="BO13" s="63"/>
      <c r="BP13" s="49"/>
      <c r="BQ13" s="49">
        <f t="shared" si="88"/>
        <v>0</v>
      </c>
      <c r="BR13" s="49">
        <f t="shared" si="29"/>
        <v>0</v>
      </c>
      <c r="BS13" s="32">
        <f t="shared" si="30"/>
        <v>0</v>
      </c>
      <c r="BT13" s="63">
        <f t="shared" si="31"/>
        <v>0</v>
      </c>
      <c r="BU13" s="63"/>
      <c r="BV13" s="49"/>
      <c r="BW13" s="49">
        <f t="shared" si="89"/>
        <v>0</v>
      </c>
      <c r="BX13" s="49">
        <f t="shared" si="32"/>
        <v>0</v>
      </c>
      <c r="BY13" s="32">
        <f t="shared" si="33"/>
        <v>0</v>
      </c>
      <c r="BZ13" s="63">
        <f t="shared" si="34"/>
        <v>0</v>
      </c>
      <c r="CA13" s="63"/>
      <c r="CB13" s="49"/>
      <c r="CC13" s="49">
        <f t="shared" si="90"/>
        <v>0</v>
      </c>
      <c r="CD13" s="49">
        <f t="shared" si="35"/>
        <v>0</v>
      </c>
      <c r="CE13" s="32">
        <f t="shared" si="36"/>
        <v>0</v>
      </c>
      <c r="CF13" s="63">
        <f t="shared" si="37"/>
        <v>0</v>
      </c>
      <c r="CG13" s="63"/>
      <c r="CH13" s="49"/>
      <c r="CI13" s="49">
        <f t="shared" si="91"/>
        <v>0</v>
      </c>
      <c r="CJ13" s="49">
        <f t="shared" si="38"/>
        <v>0</v>
      </c>
      <c r="CK13" s="32">
        <f t="shared" si="39"/>
        <v>0</v>
      </c>
      <c r="CL13" s="63">
        <f t="shared" si="40"/>
        <v>0</v>
      </c>
      <c r="CM13" s="63"/>
      <c r="CN13" s="49"/>
      <c r="CO13" s="49">
        <f t="shared" si="92"/>
        <v>0</v>
      </c>
      <c r="CP13" s="49">
        <f t="shared" si="41"/>
        <v>0</v>
      </c>
      <c r="CQ13" s="32">
        <f t="shared" si="42"/>
        <v>0</v>
      </c>
      <c r="CR13" s="63">
        <f t="shared" si="43"/>
        <v>0</v>
      </c>
      <c r="CS13" s="63"/>
      <c r="CT13" s="49"/>
      <c r="CU13" s="32">
        <f t="shared" si="93"/>
        <v>0</v>
      </c>
      <c r="CV13" s="32">
        <f t="shared" si="44"/>
        <v>0</v>
      </c>
      <c r="CW13" s="32">
        <f t="shared" si="45"/>
        <v>0</v>
      </c>
      <c r="CX13" s="63">
        <f t="shared" si="46"/>
        <v>0</v>
      </c>
      <c r="CY13" s="63"/>
      <c r="CZ13" s="49"/>
      <c r="DA13" s="49">
        <f t="shared" si="94"/>
        <v>0</v>
      </c>
      <c r="DB13" s="49">
        <f t="shared" si="47"/>
        <v>0</v>
      </c>
      <c r="DC13" s="32">
        <f t="shared" si="48"/>
        <v>0</v>
      </c>
      <c r="DD13" s="63">
        <f t="shared" si="49"/>
        <v>0</v>
      </c>
      <c r="DE13" s="63"/>
      <c r="DF13" s="49"/>
      <c r="DG13" s="49">
        <f t="shared" si="95"/>
        <v>0</v>
      </c>
      <c r="DH13" s="49">
        <f t="shared" si="50"/>
        <v>0</v>
      </c>
      <c r="DI13" s="32">
        <f t="shared" si="51"/>
        <v>0</v>
      </c>
      <c r="DJ13" s="63">
        <f t="shared" si="52"/>
        <v>0</v>
      </c>
      <c r="DK13" s="63"/>
      <c r="DL13" s="49"/>
      <c r="DM13" s="49">
        <f t="shared" si="96"/>
        <v>0</v>
      </c>
      <c r="DN13" s="49">
        <f t="shared" si="53"/>
        <v>0</v>
      </c>
      <c r="DO13" s="32">
        <f t="shared" si="54"/>
        <v>0</v>
      </c>
      <c r="DP13" s="63">
        <f t="shared" si="55"/>
        <v>0</v>
      </c>
      <c r="DQ13" s="63"/>
      <c r="DR13" s="49"/>
      <c r="DS13" s="49">
        <f t="shared" si="97"/>
        <v>0</v>
      </c>
      <c r="DT13" s="49">
        <f t="shared" si="56"/>
        <v>0</v>
      </c>
      <c r="DU13" s="32">
        <f t="shared" si="57"/>
        <v>0</v>
      </c>
      <c r="DV13" s="63">
        <f t="shared" si="58"/>
        <v>0</v>
      </c>
      <c r="DW13" s="63"/>
      <c r="DX13" s="49"/>
      <c r="DY13" s="49">
        <f t="shared" si="98"/>
        <v>0</v>
      </c>
      <c r="DZ13" s="49">
        <f t="shared" si="59"/>
        <v>0</v>
      </c>
      <c r="EA13" s="32">
        <f t="shared" si="60"/>
        <v>0</v>
      </c>
      <c r="EB13" s="63">
        <f t="shared" si="61"/>
        <v>0</v>
      </c>
      <c r="EC13" s="63"/>
      <c r="ED13" s="49"/>
      <c r="EE13" s="49">
        <f t="shared" si="99"/>
        <v>0</v>
      </c>
      <c r="EF13" s="49">
        <f t="shared" si="62"/>
        <v>0</v>
      </c>
      <c r="EG13" s="32">
        <f t="shared" si="63"/>
        <v>0</v>
      </c>
      <c r="EH13" s="63">
        <f t="shared" si="64"/>
        <v>0</v>
      </c>
      <c r="EI13" s="63"/>
      <c r="EJ13" s="49"/>
      <c r="EK13" s="49">
        <f t="shared" si="100"/>
        <v>0</v>
      </c>
      <c r="EL13" s="49">
        <f t="shared" si="65"/>
        <v>0</v>
      </c>
      <c r="EM13" s="32">
        <f t="shared" si="66"/>
        <v>0</v>
      </c>
      <c r="EN13" s="63">
        <f t="shared" si="67"/>
        <v>0</v>
      </c>
      <c r="EO13" s="63"/>
      <c r="EP13" s="49"/>
      <c r="EQ13" s="49">
        <f t="shared" si="101"/>
        <v>0</v>
      </c>
      <c r="ER13" s="49">
        <f t="shared" si="68"/>
        <v>0</v>
      </c>
      <c r="ES13" s="32">
        <f t="shared" si="69"/>
        <v>0</v>
      </c>
      <c r="ET13" s="63">
        <f t="shared" si="70"/>
        <v>0</v>
      </c>
      <c r="EU13" s="63"/>
      <c r="EV13" s="49"/>
      <c r="EW13" s="49">
        <f t="shared" si="102"/>
        <v>0</v>
      </c>
      <c r="EX13" s="49">
        <f t="shared" si="71"/>
        <v>0</v>
      </c>
      <c r="EY13" s="32">
        <f t="shared" si="72"/>
        <v>0</v>
      </c>
      <c r="EZ13" s="63">
        <f t="shared" si="73"/>
        <v>0</v>
      </c>
      <c r="FA13" s="63"/>
      <c r="FB13" s="32"/>
      <c r="FC13" s="32">
        <f t="shared" si="103"/>
        <v>0</v>
      </c>
      <c r="FD13" s="32">
        <f t="shared" si="74"/>
        <v>0</v>
      </c>
      <c r="FE13" s="32">
        <f t="shared" si="75"/>
        <v>0</v>
      </c>
      <c r="FF13" s="63">
        <f t="shared" si="76"/>
        <v>0</v>
      </c>
      <c r="FG13" s="63"/>
      <c r="FH13" s="49"/>
      <c r="FI13" s="49">
        <f t="shared" si="104"/>
        <v>0</v>
      </c>
      <c r="FJ13" s="49">
        <f t="shared" si="77"/>
        <v>0</v>
      </c>
      <c r="FK13" s="32">
        <f t="shared" si="78"/>
        <v>0</v>
      </c>
      <c r="FL13" s="63">
        <f t="shared" si="79"/>
        <v>0</v>
      </c>
      <c r="FM13" s="63"/>
      <c r="FN13" s="49"/>
      <c r="FO13" s="32"/>
      <c r="FP13" s="32"/>
      <c r="FQ13" s="32"/>
    </row>
    <row r="14" spans="1:173" s="51" customFormat="1" ht="12.75">
      <c r="A14" s="50">
        <v>45200</v>
      </c>
      <c r="C14" s="34"/>
      <c r="D14" s="34"/>
      <c r="E14" s="34">
        <f t="shared" si="0"/>
        <v>0</v>
      </c>
      <c r="F14" s="34"/>
      <c r="G14" s="34"/>
      <c r="H14" s="49"/>
      <c r="I14" s="49"/>
      <c r="J14" s="49"/>
      <c r="K14" s="49">
        <f t="shared" si="1"/>
        <v>0</v>
      </c>
      <c r="L14" s="49"/>
      <c r="M14" s="34"/>
      <c r="N14" s="49"/>
      <c r="O14" s="49"/>
      <c r="P14" s="39">
        <f t="shared" si="2"/>
        <v>0</v>
      </c>
      <c r="Q14" s="32">
        <f t="shared" si="3"/>
        <v>0</v>
      </c>
      <c r="R14" s="39">
        <f t="shared" si="4"/>
        <v>0</v>
      </c>
      <c r="S14" s="34"/>
      <c r="T14" s="49"/>
      <c r="U14" s="63"/>
      <c r="V14" s="63">
        <f t="shared" si="5"/>
        <v>0</v>
      </c>
      <c r="W14" s="20">
        <f t="shared" si="6"/>
        <v>0</v>
      </c>
      <c r="X14" s="63">
        <f t="shared" si="7"/>
        <v>0</v>
      </c>
      <c r="Y14" s="63"/>
      <c r="Z14" s="49"/>
      <c r="AA14" s="63"/>
      <c r="AB14" s="63">
        <f t="shared" si="8"/>
        <v>0</v>
      </c>
      <c r="AC14" s="20">
        <f t="shared" si="9"/>
        <v>0</v>
      </c>
      <c r="AD14" s="63">
        <f t="shared" si="10"/>
        <v>0</v>
      </c>
      <c r="AE14" s="63"/>
      <c r="AF14" s="49"/>
      <c r="AG14" s="32"/>
      <c r="AH14" s="32">
        <f t="shared" si="11"/>
        <v>0</v>
      </c>
      <c r="AI14" s="32">
        <f t="shared" si="12"/>
        <v>0</v>
      </c>
      <c r="AJ14" s="63">
        <f t="shared" si="13"/>
        <v>0</v>
      </c>
      <c r="AK14" s="63"/>
      <c r="AL14" s="49"/>
      <c r="AM14" s="63"/>
      <c r="AN14" s="63">
        <f t="shared" si="14"/>
        <v>0</v>
      </c>
      <c r="AO14" s="20">
        <f t="shared" si="15"/>
        <v>0</v>
      </c>
      <c r="AP14" s="63">
        <f t="shared" si="16"/>
        <v>0</v>
      </c>
      <c r="AQ14" s="63"/>
      <c r="AR14" s="49"/>
      <c r="AS14" s="63"/>
      <c r="AT14" s="63">
        <f t="shared" si="17"/>
        <v>0</v>
      </c>
      <c r="AU14" s="20">
        <f t="shared" si="18"/>
        <v>0</v>
      </c>
      <c r="AV14" s="63">
        <f t="shared" si="19"/>
        <v>0</v>
      </c>
      <c r="AW14" s="63"/>
      <c r="AX14" s="49"/>
      <c r="AY14" s="63"/>
      <c r="AZ14" s="63">
        <f t="shared" si="20"/>
        <v>0</v>
      </c>
      <c r="BA14" s="20">
        <f t="shared" si="21"/>
        <v>0</v>
      </c>
      <c r="BB14" s="63">
        <f t="shared" si="22"/>
        <v>0</v>
      </c>
      <c r="BC14" s="63"/>
      <c r="BD14" s="49"/>
      <c r="BE14" s="49"/>
      <c r="BF14" s="49">
        <f t="shared" si="23"/>
        <v>0</v>
      </c>
      <c r="BG14" s="32">
        <f t="shared" si="24"/>
        <v>0</v>
      </c>
      <c r="BH14" s="63">
        <f t="shared" si="25"/>
        <v>0</v>
      </c>
      <c r="BI14" s="63"/>
      <c r="BJ14" s="49"/>
      <c r="BK14" s="32"/>
      <c r="BL14" s="32">
        <f t="shared" si="26"/>
        <v>0</v>
      </c>
      <c r="BM14" s="32">
        <f t="shared" si="27"/>
        <v>0</v>
      </c>
      <c r="BN14" s="63">
        <f t="shared" si="28"/>
        <v>0</v>
      </c>
      <c r="BO14" s="63"/>
      <c r="BP14" s="49"/>
      <c r="BQ14" s="49"/>
      <c r="BR14" s="49">
        <f t="shared" si="29"/>
        <v>0</v>
      </c>
      <c r="BS14" s="32">
        <f t="shared" si="30"/>
        <v>0</v>
      </c>
      <c r="BT14" s="63">
        <f t="shared" si="31"/>
        <v>0</v>
      </c>
      <c r="BU14" s="63"/>
      <c r="BV14" s="49"/>
      <c r="BW14" s="49"/>
      <c r="BX14" s="49">
        <f t="shared" si="32"/>
        <v>0</v>
      </c>
      <c r="BY14" s="32">
        <f t="shared" si="33"/>
        <v>0</v>
      </c>
      <c r="BZ14" s="63">
        <f t="shared" si="34"/>
        <v>0</v>
      </c>
      <c r="CA14" s="63"/>
      <c r="CB14" s="49"/>
      <c r="CC14" s="49"/>
      <c r="CD14" s="49">
        <f t="shared" si="35"/>
        <v>0</v>
      </c>
      <c r="CE14" s="32">
        <f t="shared" si="36"/>
        <v>0</v>
      </c>
      <c r="CF14" s="63">
        <f t="shared" si="37"/>
        <v>0</v>
      </c>
      <c r="CG14" s="63"/>
      <c r="CH14" s="49"/>
      <c r="CI14" s="49"/>
      <c r="CJ14" s="49">
        <f t="shared" si="38"/>
        <v>0</v>
      </c>
      <c r="CK14" s="32">
        <f t="shared" si="39"/>
        <v>0</v>
      </c>
      <c r="CL14" s="63">
        <f t="shared" si="40"/>
        <v>0</v>
      </c>
      <c r="CM14" s="63"/>
      <c r="CN14" s="49"/>
      <c r="CO14" s="49"/>
      <c r="CP14" s="49">
        <f t="shared" si="41"/>
        <v>0</v>
      </c>
      <c r="CQ14" s="32">
        <f t="shared" si="42"/>
        <v>0</v>
      </c>
      <c r="CR14" s="63">
        <f t="shared" si="43"/>
        <v>0</v>
      </c>
      <c r="CS14" s="63"/>
      <c r="CT14" s="49"/>
      <c r="CU14" s="32"/>
      <c r="CV14" s="32">
        <f t="shared" si="44"/>
        <v>0</v>
      </c>
      <c r="CW14" s="32">
        <f t="shared" si="45"/>
        <v>0</v>
      </c>
      <c r="CX14" s="63">
        <f t="shared" si="46"/>
        <v>0</v>
      </c>
      <c r="CY14" s="63"/>
      <c r="CZ14" s="49"/>
      <c r="DA14" s="49"/>
      <c r="DB14" s="49">
        <f t="shared" si="47"/>
        <v>0</v>
      </c>
      <c r="DC14" s="32">
        <f t="shared" si="48"/>
        <v>0</v>
      </c>
      <c r="DD14" s="63">
        <f t="shared" si="49"/>
        <v>0</v>
      </c>
      <c r="DE14" s="63"/>
      <c r="DF14" s="49"/>
      <c r="DG14" s="49"/>
      <c r="DH14" s="49">
        <f t="shared" si="50"/>
        <v>0</v>
      </c>
      <c r="DI14" s="32">
        <f t="shared" si="51"/>
        <v>0</v>
      </c>
      <c r="DJ14" s="63">
        <f t="shared" si="52"/>
        <v>0</v>
      </c>
      <c r="DK14" s="63"/>
      <c r="DL14" s="49"/>
      <c r="DM14" s="49"/>
      <c r="DN14" s="49">
        <f t="shared" si="53"/>
        <v>0</v>
      </c>
      <c r="DO14" s="32">
        <f t="shared" si="54"/>
        <v>0</v>
      </c>
      <c r="DP14" s="63">
        <f t="shared" si="55"/>
        <v>0</v>
      </c>
      <c r="DQ14" s="63"/>
      <c r="DR14" s="49"/>
      <c r="DS14" s="49"/>
      <c r="DT14" s="49">
        <f t="shared" si="56"/>
        <v>0</v>
      </c>
      <c r="DU14" s="32">
        <f t="shared" si="57"/>
        <v>0</v>
      </c>
      <c r="DV14" s="63">
        <f t="shared" si="58"/>
        <v>0</v>
      </c>
      <c r="DW14" s="63"/>
      <c r="DX14" s="49"/>
      <c r="DY14" s="49"/>
      <c r="DZ14" s="49">
        <f t="shared" si="59"/>
        <v>0</v>
      </c>
      <c r="EA14" s="32">
        <f t="shared" si="60"/>
        <v>0</v>
      </c>
      <c r="EB14" s="63">
        <f t="shared" si="61"/>
        <v>0</v>
      </c>
      <c r="EC14" s="63"/>
      <c r="ED14" s="49"/>
      <c r="EE14" s="49"/>
      <c r="EF14" s="49">
        <f t="shared" si="62"/>
        <v>0</v>
      </c>
      <c r="EG14" s="32">
        <f t="shared" si="63"/>
        <v>0</v>
      </c>
      <c r="EH14" s="63">
        <f t="shared" si="64"/>
        <v>0</v>
      </c>
      <c r="EI14" s="63"/>
      <c r="EJ14" s="49"/>
      <c r="EK14" s="49"/>
      <c r="EL14" s="49">
        <f t="shared" si="65"/>
        <v>0</v>
      </c>
      <c r="EM14" s="32">
        <f t="shared" si="66"/>
        <v>0</v>
      </c>
      <c r="EN14" s="63">
        <f t="shared" si="67"/>
        <v>0</v>
      </c>
      <c r="EO14" s="63"/>
      <c r="EP14" s="49"/>
      <c r="EQ14" s="49"/>
      <c r="ER14" s="49">
        <f t="shared" si="68"/>
        <v>0</v>
      </c>
      <c r="ES14" s="32">
        <f t="shared" si="69"/>
        <v>0</v>
      </c>
      <c r="ET14" s="63">
        <f t="shared" si="70"/>
        <v>0</v>
      </c>
      <c r="EU14" s="63"/>
      <c r="EV14" s="49"/>
      <c r="EW14" s="49"/>
      <c r="EX14" s="49">
        <f t="shared" si="71"/>
        <v>0</v>
      </c>
      <c r="EY14" s="32">
        <f t="shared" si="72"/>
        <v>0</v>
      </c>
      <c r="EZ14" s="63">
        <f t="shared" si="73"/>
        <v>0</v>
      </c>
      <c r="FA14" s="63"/>
      <c r="FB14" s="32"/>
      <c r="FC14" s="32"/>
      <c r="FD14" s="32">
        <f t="shared" si="74"/>
        <v>0</v>
      </c>
      <c r="FE14" s="32">
        <f t="shared" si="75"/>
        <v>0</v>
      </c>
      <c r="FF14" s="63">
        <f t="shared" si="76"/>
        <v>0</v>
      </c>
      <c r="FG14" s="63"/>
      <c r="FH14" s="49"/>
      <c r="FI14" s="49"/>
      <c r="FJ14" s="49">
        <f t="shared" si="77"/>
        <v>0</v>
      </c>
      <c r="FK14" s="32">
        <f t="shared" si="78"/>
        <v>0</v>
      </c>
      <c r="FL14" s="63">
        <f t="shared" si="79"/>
        <v>0</v>
      </c>
      <c r="FM14" s="63"/>
      <c r="FN14" s="49"/>
      <c r="FO14" s="32"/>
      <c r="FP14" s="32"/>
      <c r="FQ14" s="32"/>
    </row>
    <row r="15" spans="1:173" s="51" customFormat="1" ht="12.75">
      <c r="A15" s="50">
        <v>45383</v>
      </c>
      <c r="C15" s="34"/>
      <c r="D15" s="34"/>
      <c r="E15" s="34">
        <f t="shared" si="0"/>
        <v>0</v>
      </c>
      <c r="F15" s="34"/>
      <c r="G15" s="34"/>
      <c r="H15" s="49"/>
      <c r="I15" s="49"/>
      <c r="J15" s="49"/>
      <c r="K15" s="49">
        <f t="shared" si="1"/>
        <v>0</v>
      </c>
      <c r="L15" s="49"/>
      <c r="M15" s="34"/>
      <c r="N15" s="49"/>
      <c r="O15" s="49">
        <f>U15+AA15+AG15+AM15+AS15+AY15+BE15+BK15+BQ15+CC15+CO15+CU15+DA15+DG15+DM15+EK15+EQ15+EW15+FC15+FI15+FO15+BW15+CI15+DS15+DY15+EE15</f>
        <v>0</v>
      </c>
      <c r="P15" s="39">
        <f t="shared" si="2"/>
        <v>0</v>
      </c>
      <c r="Q15" s="32">
        <f t="shared" si="3"/>
        <v>0</v>
      </c>
      <c r="R15" s="39">
        <f t="shared" si="4"/>
        <v>0</v>
      </c>
      <c r="S15" s="34"/>
      <c r="T15" s="49"/>
      <c r="U15" s="63">
        <f t="shared" si="80"/>
        <v>0</v>
      </c>
      <c r="V15" s="63">
        <f t="shared" si="5"/>
        <v>0</v>
      </c>
      <c r="W15" s="20">
        <f t="shared" si="6"/>
        <v>0</v>
      </c>
      <c r="X15" s="63">
        <f t="shared" si="7"/>
        <v>0</v>
      </c>
      <c r="Y15" s="63"/>
      <c r="Z15" s="49"/>
      <c r="AA15" s="63">
        <f t="shared" si="81"/>
        <v>0</v>
      </c>
      <c r="AB15" s="63">
        <f t="shared" si="8"/>
        <v>0</v>
      </c>
      <c r="AC15" s="20">
        <f t="shared" si="9"/>
        <v>0</v>
      </c>
      <c r="AD15" s="63">
        <f t="shared" si="10"/>
        <v>0</v>
      </c>
      <c r="AE15" s="63"/>
      <c r="AF15" s="49"/>
      <c r="AG15" s="32">
        <f t="shared" si="82"/>
        <v>0</v>
      </c>
      <c r="AH15" s="32">
        <f t="shared" si="11"/>
        <v>0</v>
      </c>
      <c r="AI15" s="32">
        <f t="shared" si="12"/>
        <v>0</v>
      </c>
      <c r="AJ15" s="63">
        <f t="shared" si="13"/>
        <v>0</v>
      </c>
      <c r="AK15" s="63"/>
      <c r="AL15" s="49"/>
      <c r="AM15" s="63">
        <f t="shared" si="83"/>
        <v>0</v>
      </c>
      <c r="AN15" s="63">
        <f t="shared" si="14"/>
        <v>0</v>
      </c>
      <c r="AO15" s="20">
        <f t="shared" si="15"/>
        <v>0</v>
      </c>
      <c r="AP15" s="63">
        <f t="shared" si="16"/>
        <v>0</v>
      </c>
      <c r="AQ15" s="63"/>
      <c r="AR15" s="49"/>
      <c r="AS15" s="63">
        <f t="shared" si="84"/>
        <v>0</v>
      </c>
      <c r="AT15" s="63">
        <f t="shared" si="17"/>
        <v>0</v>
      </c>
      <c r="AU15" s="20">
        <f t="shared" si="18"/>
        <v>0</v>
      </c>
      <c r="AV15" s="63">
        <f t="shared" si="19"/>
        <v>0</v>
      </c>
      <c r="AW15" s="63"/>
      <c r="AX15" s="49"/>
      <c r="AY15" s="63">
        <f t="shared" si="85"/>
        <v>0</v>
      </c>
      <c r="AZ15" s="63">
        <f t="shared" si="20"/>
        <v>0</v>
      </c>
      <c r="BA15" s="20">
        <f t="shared" si="21"/>
        <v>0</v>
      </c>
      <c r="BB15" s="63">
        <f t="shared" si="22"/>
        <v>0</v>
      </c>
      <c r="BC15" s="63"/>
      <c r="BD15" s="49"/>
      <c r="BE15" s="49">
        <f t="shared" si="86"/>
        <v>0</v>
      </c>
      <c r="BF15" s="49">
        <f t="shared" si="23"/>
        <v>0</v>
      </c>
      <c r="BG15" s="32">
        <f t="shared" si="24"/>
        <v>0</v>
      </c>
      <c r="BH15" s="63">
        <f t="shared" si="25"/>
        <v>0</v>
      </c>
      <c r="BI15" s="63"/>
      <c r="BJ15" s="49"/>
      <c r="BK15" s="32">
        <f t="shared" si="87"/>
        <v>0</v>
      </c>
      <c r="BL15" s="32">
        <f t="shared" si="26"/>
        <v>0</v>
      </c>
      <c r="BM15" s="32">
        <f t="shared" si="27"/>
        <v>0</v>
      </c>
      <c r="BN15" s="63">
        <f t="shared" si="28"/>
        <v>0</v>
      </c>
      <c r="BO15" s="63"/>
      <c r="BP15" s="49"/>
      <c r="BQ15" s="49">
        <f t="shared" si="88"/>
        <v>0</v>
      </c>
      <c r="BR15" s="49">
        <f t="shared" si="29"/>
        <v>0</v>
      </c>
      <c r="BS15" s="32">
        <f t="shared" si="30"/>
        <v>0</v>
      </c>
      <c r="BT15" s="63">
        <f t="shared" si="31"/>
        <v>0</v>
      </c>
      <c r="BU15" s="63"/>
      <c r="BV15" s="49"/>
      <c r="BW15" s="49">
        <f t="shared" si="89"/>
        <v>0</v>
      </c>
      <c r="BX15" s="49">
        <f t="shared" si="32"/>
        <v>0</v>
      </c>
      <c r="BY15" s="32">
        <f t="shared" si="33"/>
        <v>0</v>
      </c>
      <c r="BZ15" s="63">
        <f t="shared" si="34"/>
        <v>0</v>
      </c>
      <c r="CA15" s="63"/>
      <c r="CB15" s="49"/>
      <c r="CC15" s="49">
        <f t="shared" si="90"/>
        <v>0</v>
      </c>
      <c r="CD15" s="49">
        <f t="shared" si="35"/>
        <v>0</v>
      </c>
      <c r="CE15" s="32">
        <f t="shared" si="36"/>
        <v>0</v>
      </c>
      <c r="CF15" s="63">
        <f t="shared" si="37"/>
        <v>0</v>
      </c>
      <c r="CG15" s="63"/>
      <c r="CH15" s="49"/>
      <c r="CI15" s="49">
        <f t="shared" si="91"/>
        <v>0</v>
      </c>
      <c r="CJ15" s="49">
        <f t="shared" si="38"/>
        <v>0</v>
      </c>
      <c r="CK15" s="32">
        <f t="shared" si="39"/>
        <v>0</v>
      </c>
      <c r="CL15" s="63">
        <f t="shared" si="40"/>
        <v>0</v>
      </c>
      <c r="CM15" s="63"/>
      <c r="CN15" s="49"/>
      <c r="CO15" s="49">
        <f t="shared" si="92"/>
        <v>0</v>
      </c>
      <c r="CP15" s="49">
        <f t="shared" si="41"/>
        <v>0</v>
      </c>
      <c r="CQ15" s="32">
        <f t="shared" si="42"/>
        <v>0</v>
      </c>
      <c r="CR15" s="63">
        <f t="shared" si="43"/>
        <v>0</v>
      </c>
      <c r="CS15" s="63"/>
      <c r="CT15" s="49"/>
      <c r="CU15" s="32">
        <f t="shared" si="93"/>
        <v>0</v>
      </c>
      <c r="CV15" s="32">
        <f t="shared" si="44"/>
        <v>0</v>
      </c>
      <c r="CW15" s="32">
        <f t="shared" si="45"/>
        <v>0</v>
      </c>
      <c r="CX15" s="63">
        <f t="shared" si="46"/>
        <v>0</v>
      </c>
      <c r="CY15" s="63"/>
      <c r="CZ15" s="49"/>
      <c r="DA15" s="49">
        <f t="shared" si="94"/>
        <v>0</v>
      </c>
      <c r="DB15" s="49">
        <f t="shared" si="47"/>
        <v>0</v>
      </c>
      <c r="DC15" s="32">
        <f t="shared" si="48"/>
        <v>0</v>
      </c>
      <c r="DD15" s="63">
        <f t="shared" si="49"/>
        <v>0</v>
      </c>
      <c r="DE15" s="63"/>
      <c r="DF15" s="49"/>
      <c r="DG15" s="49">
        <f t="shared" si="95"/>
        <v>0</v>
      </c>
      <c r="DH15" s="49">
        <f t="shared" si="50"/>
        <v>0</v>
      </c>
      <c r="DI15" s="32">
        <f t="shared" si="51"/>
        <v>0</v>
      </c>
      <c r="DJ15" s="63">
        <f t="shared" si="52"/>
        <v>0</v>
      </c>
      <c r="DK15" s="63"/>
      <c r="DL15" s="49"/>
      <c r="DM15" s="49">
        <f t="shared" si="96"/>
        <v>0</v>
      </c>
      <c r="DN15" s="49">
        <f t="shared" si="53"/>
        <v>0</v>
      </c>
      <c r="DO15" s="32">
        <f t="shared" si="54"/>
        <v>0</v>
      </c>
      <c r="DP15" s="63">
        <f t="shared" si="55"/>
        <v>0</v>
      </c>
      <c r="DQ15" s="63"/>
      <c r="DR15" s="49"/>
      <c r="DS15" s="49">
        <f t="shared" si="97"/>
        <v>0</v>
      </c>
      <c r="DT15" s="49">
        <f t="shared" si="56"/>
        <v>0</v>
      </c>
      <c r="DU15" s="32">
        <f t="shared" si="57"/>
        <v>0</v>
      </c>
      <c r="DV15" s="63">
        <f t="shared" si="58"/>
        <v>0</v>
      </c>
      <c r="DW15" s="63"/>
      <c r="DX15" s="49"/>
      <c r="DY15" s="49">
        <f t="shared" si="98"/>
        <v>0</v>
      </c>
      <c r="DZ15" s="49">
        <f t="shared" si="59"/>
        <v>0</v>
      </c>
      <c r="EA15" s="32">
        <f t="shared" si="60"/>
        <v>0</v>
      </c>
      <c r="EB15" s="63">
        <f t="shared" si="61"/>
        <v>0</v>
      </c>
      <c r="EC15" s="63"/>
      <c r="ED15" s="49"/>
      <c r="EE15" s="49">
        <f t="shared" si="99"/>
        <v>0</v>
      </c>
      <c r="EF15" s="49">
        <f t="shared" si="62"/>
        <v>0</v>
      </c>
      <c r="EG15" s="32">
        <f t="shared" si="63"/>
        <v>0</v>
      </c>
      <c r="EH15" s="63">
        <f t="shared" si="64"/>
        <v>0</v>
      </c>
      <c r="EI15" s="63"/>
      <c r="EJ15" s="49"/>
      <c r="EK15" s="49">
        <f t="shared" si="100"/>
        <v>0</v>
      </c>
      <c r="EL15" s="49">
        <f t="shared" si="65"/>
        <v>0</v>
      </c>
      <c r="EM15" s="32">
        <f t="shared" si="66"/>
        <v>0</v>
      </c>
      <c r="EN15" s="63">
        <f t="shared" si="67"/>
        <v>0</v>
      </c>
      <c r="EO15" s="63"/>
      <c r="EP15" s="49"/>
      <c r="EQ15" s="49">
        <f t="shared" si="101"/>
        <v>0</v>
      </c>
      <c r="ER15" s="49">
        <f t="shared" si="68"/>
        <v>0</v>
      </c>
      <c r="ES15" s="32">
        <f t="shared" si="69"/>
        <v>0</v>
      </c>
      <c r="ET15" s="63">
        <f t="shared" si="70"/>
        <v>0</v>
      </c>
      <c r="EU15" s="63"/>
      <c r="EV15" s="49"/>
      <c r="EW15" s="49">
        <f t="shared" si="102"/>
        <v>0</v>
      </c>
      <c r="EX15" s="49">
        <f t="shared" si="71"/>
        <v>0</v>
      </c>
      <c r="EY15" s="32">
        <f t="shared" si="72"/>
        <v>0</v>
      </c>
      <c r="EZ15" s="63">
        <f t="shared" si="73"/>
        <v>0</v>
      </c>
      <c r="FA15" s="63"/>
      <c r="FB15" s="32"/>
      <c r="FC15" s="32">
        <f t="shared" si="103"/>
        <v>0</v>
      </c>
      <c r="FD15" s="32">
        <f t="shared" si="74"/>
        <v>0</v>
      </c>
      <c r="FE15" s="32">
        <f t="shared" si="75"/>
        <v>0</v>
      </c>
      <c r="FF15" s="63">
        <f t="shared" si="76"/>
        <v>0</v>
      </c>
      <c r="FG15" s="63"/>
      <c r="FH15" s="49"/>
      <c r="FI15" s="49">
        <f t="shared" si="104"/>
        <v>0</v>
      </c>
      <c r="FJ15" s="49">
        <f t="shared" si="77"/>
        <v>0</v>
      </c>
      <c r="FK15" s="32">
        <f t="shared" si="78"/>
        <v>0</v>
      </c>
      <c r="FL15" s="63">
        <f t="shared" si="79"/>
        <v>0</v>
      </c>
      <c r="FM15" s="63"/>
      <c r="FN15" s="49"/>
      <c r="FO15" s="32"/>
      <c r="FP15" s="32"/>
      <c r="FQ15" s="32"/>
    </row>
    <row r="16" spans="1:173" s="51" customFormat="1" ht="12.75">
      <c r="A16" s="50">
        <v>45566</v>
      </c>
      <c r="C16" s="34"/>
      <c r="D16" s="34"/>
      <c r="E16" s="34">
        <f t="shared" si="0"/>
        <v>0</v>
      </c>
      <c r="F16" s="34"/>
      <c r="G16" s="34"/>
      <c r="H16" s="49"/>
      <c r="I16" s="49"/>
      <c r="J16" s="49"/>
      <c r="K16" s="49">
        <f t="shared" si="1"/>
        <v>0</v>
      </c>
      <c r="L16" s="49"/>
      <c r="M16" s="34"/>
      <c r="N16" s="49"/>
      <c r="O16" s="49"/>
      <c r="P16" s="39">
        <f t="shared" si="2"/>
        <v>0</v>
      </c>
      <c r="Q16" s="32">
        <f t="shared" si="3"/>
        <v>0</v>
      </c>
      <c r="R16" s="39">
        <f t="shared" si="4"/>
        <v>0</v>
      </c>
      <c r="S16" s="34"/>
      <c r="T16" s="49"/>
      <c r="U16" s="63"/>
      <c r="V16" s="63">
        <f t="shared" si="5"/>
        <v>0</v>
      </c>
      <c r="W16" s="20">
        <f t="shared" si="6"/>
        <v>0</v>
      </c>
      <c r="X16" s="63">
        <f t="shared" si="7"/>
        <v>0</v>
      </c>
      <c r="Y16" s="63"/>
      <c r="Z16" s="49"/>
      <c r="AA16" s="63"/>
      <c r="AB16" s="63">
        <f t="shared" si="8"/>
        <v>0</v>
      </c>
      <c r="AC16" s="20">
        <f t="shared" si="9"/>
        <v>0</v>
      </c>
      <c r="AD16" s="63">
        <f t="shared" si="10"/>
        <v>0</v>
      </c>
      <c r="AE16" s="63"/>
      <c r="AF16" s="49"/>
      <c r="AG16" s="32"/>
      <c r="AH16" s="32">
        <f t="shared" si="11"/>
        <v>0</v>
      </c>
      <c r="AI16" s="32">
        <f t="shared" si="12"/>
        <v>0</v>
      </c>
      <c r="AJ16" s="63">
        <f t="shared" si="13"/>
        <v>0</v>
      </c>
      <c r="AK16" s="63"/>
      <c r="AL16" s="49"/>
      <c r="AM16" s="63"/>
      <c r="AN16" s="63">
        <f t="shared" si="14"/>
        <v>0</v>
      </c>
      <c r="AO16" s="20">
        <f t="shared" si="15"/>
        <v>0</v>
      </c>
      <c r="AP16" s="63">
        <f t="shared" si="16"/>
        <v>0</v>
      </c>
      <c r="AQ16" s="63"/>
      <c r="AR16" s="49"/>
      <c r="AS16" s="63"/>
      <c r="AT16" s="63">
        <f t="shared" si="17"/>
        <v>0</v>
      </c>
      <c r="AU16" s="20">
        <f t="shared" si="18"/>
        <v>0</v>
      </c>
      <c r="AV16" s="63">
        <f t="shared" si="19"/>
        <v>0</v>
      </c>
      <c r="AW16" s="63"/>
      <c r="AX16" s="49"/>
      <c r="AY16" s="63"/>
      <c r="AZ16" s="63">
        <f t="shared" si="20"/>
        <v>0</v>
      </c>
      <c r="BA16" s="20">
        <f t="shared" si="21"/>
        <v>0</v>
      </c>
      <c r="BB16" s="63">
        <f t="shared" si="22"/>
        <v>0</v>
      </c>
      <c r="BC16" s="63"/>
      <c r="BD16" s="49"/>
      <c r="BE16" s="49"/>
      <c r="BF16" s="49">
        <f t="shared" si="23"/>
        <v>0</v>
      </c>
      <c r="BG16" s="32">
        <f t="shared" si="24"/>
        <v>0</v>
      </c>
      <c r="BH16" s="63">
        <f t="shared" si="25"/>
        <v>0</v>
      </c>
      <c r="BI16" s="63"/>
      <c r="BJ16" s="49"/>
      <c r="BK16" s="32"/>
      <c r="BL16" s="32">
        <f t="shared" si="26"/>
        <v>0</v>
      </c>
      <c r="BM16" s="32">
        <f t="shared" si="27"/>
        <v>0</v>
      </c>
      <c r="BN16" s="63">
        <f t="shared" si="28"/>
        <v>0</v>
      </c>
      <c r="BO16" s="63"/>
      <c r="BP16" s="49"/>
      <c r="BQ16" s="49"/>
      <c r="BR16" s="49">
        <f t="shared" si="29"/>
        <v>0</v>
      </c>
      <c r="BS16" s="32">
        <f t="shared" si="30"/>
        <v>0</v>
      </c>
      <c r="BT16" s="63">
        <f t="shared" si="31"/>
        <v>0</v>
      </c>
      <c r="BU16" s="63"/>
      <c r="BV16" s="49"/>
      <c r="BW16" s="49"/>
      <c r="BX16" s="49">
        <f t="shared" si="32"/>
        <v>0</v>
      </c>
      <c r="BY16" s="32">
        <f t="shared" si="33"/>
        <v>0</v>
      </c>
      <c r="BZ16" s="63">
        <f t="shared" si="34"/>
        <v>0</v>
      </c>
      <c r="CA16" s="63"/>
      <c r="CB16" s="49"/>
      <c r="CC16" s="49"/>
      <c r="CD16" s="49">
        <f t="shared" si="35"/>
        <v>0</v>
      </c>
      <c r="CE16" s="32">
        <f t="shared" si="36"/>
        <v>0</v>
      </c>
      <c r="CF16" s="63">
        <f t="shared" si="37"/>
        <v>0</v>
      </c>
      <c r="CG16" s="63"/>
      <c r="CH16" s="49"/>
      <c r="CI16" s="49"/>
      <c r="CJ16" s="49">
        <f t="shared" si="38"/>
        <v>0</v>
      </c>
      <c r="CK16" s="32">
        <f t="shared" si="39"/>
        <v>0</v>
      </c>
      <c r="CL16" s="63">
        <f t="shared" si="40"/>
        <v>0</v>
      </c>
      <c r="CM16" s="63"/>
      <c r="CN16" s="49"/>
      <c r="CO16" s="49"/>
      <c r="CP16" s="49">
        <f t="shared" si="41"/>
        <v>0</v>
      </c>
      <c r="CQ16" s="32">
        <f t="shared" si="42"/>
        <v>0</v>
      </c>
      <c r="CR16" s="63">
        <f t="shared" si="43"/>
        <v>0</v>
      </c>
      <c r="CS16" s="63"/>
      <c r="CT16" s="49"/>
      <c r="CU16" s="32"/>
      <c r="CV16" s="32">
        <f t="shared" si="44"/>
        <v>0</v>
      </c>
      <c r="CW16" s="32">
        <f t="shared" si="45"/>
        <v>0</v>
      </c>
      <c r="CX16" s="63">
        <f t="shared" si="46"/>
        <v>0</v>
      </c>
      <c r="CY16" s="63"/>
      <c r="CZ16" s="49"/>
      <c r="DA16" s="49"/>
      <c r="DB16" s="49">
        <f t="shared" si="47"/>
        <v>0</v>
      </c>
      <c r="DC16" s="32">
        <f t="shared" si="48"/>
        <v>0</v>
      </c>
      <c r="DD16" s="63">
        <f t="shared" si="49"/>
        <v>0</v>
      </c>
      <c r="DE16" s="63"/>
      <c r="DF16" s="49"/>
      <c r="DG16" s="49"/>
      <c r="DH16" s="49">
        <f t="shared" si="50"/>
        <v>0</v>
      </c>
      <c r="DI16" s="32">
        <f t="shared" si="51"/>
        <v>0</v>
      </c>
      <c r="DJ16" s="63">
        <f t="shared" si="52"/>
        <v>0</v>
      </c>
      <c r="DK16" s="63"/>
      <c r="DL16" s="49"/>
      <c r="DM16" s="49"/>
      <c r="DN16" s="49">
        <f t="shared" si="53"/>
        <v>0</v>
      </c>
      <c r="DO16" s="32">
        <f t="shared" si="54"/>
        <v>0</v>
      </c>
      <c r="DP16" s="63">
        <f t="shared" si="55"/>
        <v>0</v>
      </c>
      <c r="DQ16" s="63"/>
      <c r="DR16" s="49"/>
      <c r="DS16" s="49"/>
      <c r="DT16" s="49">
        <f t="shared" si="56"/>
        <v>0</v>
      </c>
      <c r="DU16" s="32">
        <f t="shared" si="57"/>
        <v>0</v>
      </c>
      <c r="DV16" s="63">
        <f t="shared" si="58"/>
        <v>0</v>
      </c>
      <c r="DW16" s="63"/>
      <c r="DX16" s="49"/>
      <c r="DY16" s="49"/>
      <c r="DZ16" s="49">
        <f t="shared" si="59"/>
        <v>0</v>
      </c>
      <c r="EA16" s="32">
        <f t="shared" si="60"/>
        <v>0</v>
      </c>
      <c r="EB16" s="63">
        <f t="shared" si="61"/>
        <v>0</v>
      </c>
      <c r="EC16" s="63"/>
      <c r="ED16" s="49"/>
      <c r="EE16" s="49"/>
      <c r="EF16" s="49">
        <f t="shared" si="62"/>
        <v>0</v>
      </c>
      <c r="EG16" s="32">
        <f t="shared" si="63"/>
        <v>0</v>
      </c>
      <c r="EH16" s="63">
        <f t="shared" si="64"/>
        <v>0</v>
      </c>
      <c r="EI16" s="63"/>
      <c r="EJ16" s="49"/>
      <c r="EK16" s="49"/>
      <c r="EL16" s="49">
        <f t="shared" si="65"/>
        <v>0</v>
      </c>
      <c r="EM16" s="32">
        <f t="shared" si="66"/>
        <v>0</v>
      </c>
      <c r="EN16" s="63">
        <f t="shared" si="67"/>
        <v>0</v>
      </c>
      <c r="EO16" s="63"/>
      <c r="EP16" s="49"/>
      <c r="EQ16" s="49"/>
      <c r="ER16" s="49">
        <f t="shared" si="68"/>
        <v>0</v>
      </c>
      <c r="ES16" s="32">
        <f t="shared" si="69"/>
        <v>0</v>
      </c>
      <c r="ET16" s="63">
        <f t="shared" si="70"/>
        <v>0</v>
      </c>
      <c r="EU16" s="63"/>
      <c r="EV16" s="49"/>
      <c r="EW16" s="49"/>
      <c r="EX16" s="49">
        <f t="shared" si="71"/>
        <v>0</v>
      </c>
      <c r="EY16" s="32">
        <f t="shared" si="72"/>
        <v>0</v>
      </c>
      <c r="EZ16" s="63">
        <f t="shared" si="73"/>
        <v>0</v>
      </c>
      <c r="FA16" s="63"/>
      <c r="FB16" s="32"/>
      <c r="FC16" s="32"/>
      <c r="FD16" s="32">
        <f t="shared" si="74"/>
        <v>0</v>
      </c>
      <c r="FE16" s="32">
        <f t="shared" si="75"/>
        <v>0</v>
      </c>
      <c r="FF16" s="63">
        <f t="shared" si="76"/>
        <v>0</v>
      </c>
      <c r="FG16" s="63"/>
      <c r="FH16" s="49"/>
      <c r="FI16" s="49"/>
      <c r="FJ16" s="49">
        <f t="shared" si="77"/>
        <v>0</v>
      </c>
      <c r="FK16" s="32">
        <f t="shared" si="78"/>
        <v>0</v>
      </c>
      <c r="FL16" s="63">
        <f t="shared" si="79"/>
        <v>0</v>
      </c>
      <c r="FM16" s="63"/>
      <c r="FN16" s="49"/>
      <c r="FO16" s="32"/>
      <c r="FP16" s="32"/>
      <c r="FQ16" s="32"/>
    </row>
    <row r="17" spans="1:173" s="51" customFormat="1" ht="12.75">
      <c r="A17" s="50">
        <v>45748</v>
      </c>
      <c r="C17" s="34"/>
      <c r="D17" s="34"/>
      <c r="E17" s="34">
        <f t="shared" si="0"/>
        <v>0</v>
      </c>
      <c r="F17" s="34"/>
      <c r="G17" s="34"/>
      <c r="H17" s="49"/>
      <c r="I17" s="49"/>
      <c r="J17" s="49"/>
      <c r="K17" s="49">
        <f t="shared" si="1"/>
        <v>0</v>
      </c>
      <c r="L17" s="49"/>
      <c r="M17" s="34"/>
      <c r="N17" s="49"/>
      <c r="O17" s="49">
        <f>U17+AA17+AG17+AM17+AS17+AY17+BE17+BK17+BQ17+CC17+CO17+CU17+DA17+DG17+DM17+EK17+EQ17+EW17+FC17+FI17+FO17+BW17+CI17+DS17+DY17+EE17</f>
        <v>0</v>
      </c>
      <c r="P17" s="39">
        <f t="shared" si="2"/>
        <v>0</v>
      </c>
      <c r="Q17" s="32">
        <f t="shared" si="3"/>
        <v>0</v>
      </c>
      <c r="R17" s="39">
        <f t="shared" si="4"/>
        <v>0</v>
      </c>
      <c r="S17" s="34"/>
      <c r="T17" s="49"/>
      <c r="U17" s="63">
        <f t="shared" si="80"/>
        <v>0</v>
      </c>
      <c r="V17" s="63">
        <f t="shared" si="5"/>
        <v>0</v>
      </c>
      <c r="W17" s="20">
        <f t="shared" si="6"/>
        <v>0</v>
      </c>
      <c r="X17" s="63">
        <f t="shared" si="7"/>
        <v>0</v>
      </c>
      <c r="Y17" s="63"/>
      <c r="Z17" s="49"/>
      <c r="AA17" s="63">
        <f t="shared" si="81"/>
        <v>0</v>
      </c>
      <c r="AB17" s="63">
        <f t="shared" si="8"/>
        <v>0</v>
      </c>
      <c r="AC17" s="20">
        <f t="shared" si="9"/>
        <v>0</v>
      </c>
      <c r="AD17" s="63">
        <f t="shared" si="10"/>
        <v>0</v>
      </c>
      <c r="AE17" s="63"/>
      <c r="AF17" s="49"/>
      <c r="AG17" s="32">
        <f t="shared" si="82"/>
        <v>0</v>
      </c>
      <c r="AH17" s="32">
        <f t="shared" si="11"/>
        <v>0</v>
      </c>
      <c r="AI17" s="32">
        <f t="shared" si="12"/>
        <v>0</v>
      </c>
      <c r="AJ17" s="63">
        <f t="shared" si="13"/>
        <v>0</v>
      </c>
      <c r="AK17" s="63"/>
      <c r="AL17" s="49"/>
      <c r="AM17" s="63">
        <f t="shared" si="83"/>
        <v>0</v>
      </c>
      <c r="AN17" s="63">
        <f t="shared" si="14"/>
        <v>0</v>
      </c>
      <c r="AO17" s="20">
        <f t="shared" si="15"/>
        <v>0</v>
      </c>
      <c r="AP17" s="63">
        <f t="shared" si="16"/>
        <v>0</v>
      </c>
      <c r="AQ17" s="63"/>
      <c r="AR17" s="49"/>
      <c r="AS17" s="63">
        <f t="shared" si="84"/>
        <v>0</v>
      </c>
      <c r="AT17" s="63">
        <f t="shared" si="17"/>
        <v>0</v>
      </c>
      <c r="AU17" s="20">
        <f t="shared" si="18"/>
        <v>0</v>
      </c>
      <c r="AV17" s="63">
        <f t="shared" si="19"/>
        <v>0</v>
      </c>
      <c r="AW17" s="63"/>
      <c r="AX17" s="49"/>
      <c r="AY17" s="63">
        <f t="shared" si="85"/>
        <v>0</v>
      </c>
      <c r="AZ17" s="63">
        <f t="shared" si="20"/>
        <v>0</v>
      </c>
      <c r="BA17" s="20">
        <f t="shared" si="21"/>
        <v>0</v>
      </c>
      <c r="BB17" s="63">
        <f t="shared" si="22"/>
        <v>0</v>
      </c>
      <c r="BC17" s="63"/>
      <c r="BD17" s="49"/>
      <c r="BE17" s="49">
        <f t="shared" si="86"/>
        <v>0</v>
      </c>
      <c r="BF17" s="49">
        <f t="shared" si="23"/>
        <v>0</v>
      </c>
      <c r="BG17" s="32">
        <f t="shared" si="24"/>
        <v>0</v>
      </c>
      <c r="BH17" s="63">
        <f t="shared" si="25"/>
        <v>0</v>
      </c>
      <c r="BI17" s="63"/>
      <c r="BJ17" s="49"/>
      <c r="BK17" s="32">
        <f t="shared" si="87"/>
        <v>0</v>
      </c>
      <c r="BL17" s="32">
        <f t="shared" si="26"/>
        <v>0</v>
      </c>
      <c r="BM17" s="32">
        <f t="shared" si="27"/>
        <v>0</v>
      </c>
      <c r="BN17" s="63">
        <f t="shared" si="28"/>
        <v>0</v>
      </c>
      <c r="BO17" s="63"/>
      <c r="BP17" s="49"/>
      <c r="BQ17" s="49">
        <f t="shared" si="88"/>
        <v>0</v>
      </c>
      <c r="BR17" s="49">
        <f t="shared" si="29"/>
        <v>0</v>
      </c>
      <c r="BS17" s="32">
        <f t="shared" si="30"/>
        <v>0</v>
      </c>
      <c r="BT17" s="63">
        <f t="shared" si="31"/>
        <v>0</v>
      </c>
      <c r="BU17" s="63"/>
      <c r="BV17" s="49"/>
      <c r="BW17" s="49">
        <f t="shared" si="89"/>
        <v>0</v>
      </c>
      <c r="BX17" s="49">
        <f t="shared" si="32"/>
        <v>0</v>
      </c>
      <c r="BY17" s="32">
        <f t="shared" si="33"/>
        <v>0</v>
      </c>
      <c r="BZ17" s="63">
        <f t="shared" si="34"/>
        <v>0</v>
      </c>
      <c r="CA17" s="63"/>
      <c r="CB17" s="49"/>
      <c r="CC17" s="49">
        <f t="shared" si="90"/>
        <v>0</v>
      </c>
      <c r="CD17" s="49">
        <f t="shared" si="35"/>
        <v>0</v>
      </c>
      <c r="CE17" s="32">
        <f t="shared" si="36"/>
        <v>0</v>
      </c>
      <c r="CF17" s="63">
        <f t="shared" si="37"/>
        <v>0</v>
      </c>
      <c r="CG17" s="63"/>
      <c r="CH17" s="49"/>
      <c r="CI17" s="49">
        <f t="shared" si="91"/>
        <v>0</v>
      </c>
      <c r="CJ17" s="49">
        <f t="shared" si="38"/>
        <v>0</v>
      </c>
      <c r="CK17" s="32">
        <f t="shared" si="39"/>
        <v>0</v>
      </c>
      <c r="CL17" s="63">
        <f t="shared" si="40"/>
        <v>0</v>
      </c>
      <c r="CM17" s="63"/>
      <c r="CN17" s="49"/>
      <c r="CO17" s="49">
        <f t="shared" si="92"/>
        <v>0</v>
      </c>
      <c r="CP17" s="49">
        <f t="shared" si="41"/>
        <v>0</v>
      </c>
      <c r="CQ17" s="32">
        <f t="shared" si="42"/>
        <v>0</v>
      </c>
      <c r="CR17" s="63">
        <f t="shared" si="43"/>
        <v>0</v>
      </c>
      <c r="CS17" s="63"/>
      <c r="CT17" s="49"/>
      <c r="CU17" s="32">
        <f t="shared" si="93"/>
        <v>0</v>
      </c>
      <c r="CV17" s="32">
        <f t="shared" si="44"/>
        <v>0</v>
      </c>
      <c r="CW17" s="32">
        <f t="shared" si="45"/>
        <v>0</v>
      </c>
      <c r="CX17" s="63">
        <f t="shared" si="46"/>
        <v>0</v>
      </c>
      <c r="CY17" s="63"/>
      <c r="CZ17" s="49"/>
      <c r="DA17" s="49">
        <f t="shared" si="94"/>
        <v>0</v>
      </c>
      <c r="DB17" s="49">
        <f t="shared" si="47"/>
        <v>0</v>
      </c>
      <c r="DC17" s="32">
        <f t="shared" si="48"/>
        <v>0</v>
      </c>
      <c r="DD17" s="63">
        <f t="shared" si="49"/>
        <v>0</v>
      </c>
      <c r="DE17" s="63"/>
      <c r="DF17" s="49"/>
      <c r="DG17" s="49">
        <f t="shared" si="95"/>
        <v>0</v>
      </c>
      <c r="DH17" s="49">
        <f t="shared" si="50"/>
        <v>0</v>
      </c>
      <c r="DI17" s="32">
        <f t="shared" si="51"/>
        <v>0</v>
      </c>
      <c r="DJ17" s="63">
        <f t="shared" si="52"/>
        <v>0</v>
      </c>
      <c r="DK17" s="63"/>
      <c r="DL17" s="49"/>
      <c r="DM17" s="49">
        <f t="shared" si="96"/>
        <v>0</v>
      </c>
      <c r="DN17" s="49">
        <f t="shared" si="53"/>
        <v>0</v>
      </c>
      <c r="DO17" s="32">
        <f t="shared" si="54"/>
        <v>0</v>
      </c>
      <c r="DP17" s="63">
        <f t="shared" si="55"/>
        <v>0</v>
      </c>
      <c r="DQ17" s="63"/>
      <c r="DR17" s="49"/>
      <c r="DS17" s="49">
        <f t="shared" si="97"/>
        <v>0</v>
      </c>
      <c r="DT17" s="49">
        <f t="shared" si="56"/>
        <v>0</v>
      </c>
      <c r="DU17" s="32">
        <f t="shared" si="57"/>
        <v>0</v>
      </c>
      <c r="DV17" s="63">
        <f t="shared" si="58"/>
        <v>0</v>
      </c>
      <c r="DW17" s="63"/>
      <c r="DX17" s="49"/>
      <c r="DY17" s="49">
        <f t="shared" si="98"/>
        <v>0</v>
      </c>
      <c r="DZ17" s="49">
        <f t="shared" si="59"/>
        <v>0</v>
      </c>
      <c r="EA17" s="32">
        <f t="shared" si="60"/>
        <v>0</v>
      </c>
      <c r="EB17" s="63">
        <f t="shared" si="61"/>
        <v>0</v>
      </c>
      <c r="EC17" s="63"/>
      <c r="ED17" s="49"/>
      <c r="EE17" s="49">
        <f t="shared" si="99"/>
        <v>0</v>
      </c>
      <c r="EF17" s="49">
        <f t="shared" si="62"/>
        <v>0</v>
      </c>
      <c r="EG17" s="32">
        <f t="shared" si="63"/>
        <v>0</v>
      </c>
      <c r="EH17" s="63">
        <f t="shared" si="64"/>
        <v>0</v>
      </c>
      <c r="EI17" s="63"/>
      <c r="EJ17" s="49"/>
      <c r="EK17" s="49">
        <f t="shared" si="100"/>
        <v>0</v>
      </c>
      <c r="EL17" s="49">
        <f t="shared" si="65"/>
        <v>0</v>
      </c>
      <c r="EM17" s="32">
        <f t="shared" si="66"/>
        <v>0</v>
      </c>
      <c r="EN17" s="63">
        <f t="shared" si="67"/>
        <v>0</v>
      </c>
      <c r="EO17" s="63"/>
      <c r="EP17" s="49"/>
      <c r="EQ17" s="49">
        <f t="shared" si="101"/>
        <v>0</v>
      </c>
      <c r="ER17" s="49">
        <f t="shared" si="68"/>
        <v>0</v>
      </c>
      <c r="ES17" s="32">
        <f t="shared" si="69"/>
        <v>0</v>
      </c>
      <c r="ET17" s="63">
        <f t="shared" si="70"/>
        <v>0</v>
      </c>
      <c r="EU17" s="63"/>
      <c r="EV17" s="49"/>
      <c r="EW17" s="49">
        <f t="shared" si="102"/>
        <v>0</v>
      </c>
      <c r="EX17" s="49">
        <f t="shared" si="71"/>
        <v>0</v>
      </c>
      <c r="EY17" s="32">
        <f t="shared" si="72"/>
        <v>0</v>
      </c>
      <c r="EZ17" s="63">
        <f t="shared" si="73"/>
        <v>0</v>
      </c>
      <c r="FA17" s="63"/>
      <c r="FB17" s="32"/>
      <c r="FC17" s="32">
        <f t="shared" si="103"/>
        <v>0</v>
      </c>
      <c r="FD17" s="32">
        <f t="shared" si="74"/>
        <v>0</v>
      </c>
      <c r="FE17" s="32">
        <f t="shared" si="75"/>
        <v>0</v>
      </c>
      <c r="FF17" s="63">
        <f t="shared" si="76"/>
        <v>0</v>
      </c>
      <c r="FG17" s="63"/>
      <c r="FH17" s="49"/>
      <c r="FI17" s="49">
        <f t="shared" si="104"/>
        <v>0</v>
      </c>
      <c r="FJ17" s="49">
        <f t="shared" si="77"/>
        <v>0</v>
      </c>
      <c r="FK17" s="32">
        <f t="shared" si="78"/>
        <v>0</v>
      </c>
      <c r="FL17" s="63">
        <f t="shared" si="79"/>
        <v>0</v>
      </c>
      <c r="FM17" s="63"/>
      <c r="FN17" s="49"/>
      <c r="FO17" s="32"/>
      <c r="FP17" s="32"/>
      <c r="FQ17" s="32"/>
    </row>
    <row r="18" spans="1:173" s="51" customFormat="1" ht="12.75">
      <c r="A18" s="50">
        <v>45931</v>
      </c>
      <c r="C18" s="34"/>
      <c r="D18" s="34"/>
      <c r="E18" s="34">
        <f t="shared" si="0"/>
        <v>0</v>
      </c>
      <c r="F18" s="34"/>
      <c r="G18" s="34"/>
      <c r="H18" s="49"/>
      <c r="I18" s="49"/>
      <c r="J18" s="49"/>
      <c r="K18" s="49">
        <f t="shared" si="1"/>
        <v>0</v>
      </c>
      <c r="L18" s="49"/>
      <c r="M18" s="34"/>
      <c r="N18" s="49"/>
      <c r="O18" s="49"/>
      <c r="P18" s="39">
        <f t="shared" si="2"/>
        <v>0</v>
      </c>
      <c r="Q18" s="32">
        <f t="shared" si="3"/>
        <v>0</v>
      </c>
      <c r="R18" s="39">
        <f t="shared" si="4"/>
        <v>0</v>
      </c>
      <c r="S18" s="34"/>
      <c r="T18" s="49"/>
      <c r="U18" s="63"/>
      <c r="V18" s="63">
        <f t="shared" si="5"/>
        <v>0</v>
      </c>
      <c r="W18" s="20">
        <f t="shared" si="6"/>
        <v>0</v>
      </c>
      <c r="X18" s="63">
        <f t="shared" si="7"/>
        <v>0</v>
      </c>
      <c r="Y18" s="63"/>
      <c r="Z18" s="49"/>
      <c r="AA18" s="63"/>
      <c r="AB18" s="63">
        <f t="shared" si="8"/>
        <v>0</v>
      </c>
      <c r="AC18" s="20">
        <f t="shared" si="9"/>
        <v>0</v>
      </c>
      <c r="AD18" s="63">
        <f t="shared" si="10"/>
        <v>0</v>
      </c>
      <c r="AE18" s="63"/>
      <c r="AF18" s="49"/>
      <c r="AG18" s="32"/>
      <c r="AH18" s="32">
        <f t="shared" si="11"/>
        <v>0</v>
      </c>
      <c r="AI18" s="32">
        <f t="shared" si="12"/>
        <v>0</v>
      </c>
      <c r="AJ18" s="63">
        <f t="shared" si="13"/>
        <v>0</v>
      </c>
      <c r="AK18" s="63"/>
      <c r="AL18" s="49"/>
      <c r="AM18" s="63"/>
      <c r="AN18" s="63">
        <f t="shared" si="14"/>
        <v>0</v>
      </c>
      <c r="AO18" s="20">
        <f t="shared" si="15"/>
        <v>0</v>
      </c>
      <c r="AP18" s="63">
        <f t="shared" si="16"/>
        <v>0</v>
      </c>
      <c r="AQ18" s="63"/>
      <c r="AR18" s="49"/>
      <c r="AS18" s="63"/>
      <c r="AT18" s="63">
        <f t="shared" si="17"/>
        <v>0</v>
      </c>
      <c r="AU18" s="20">
        <f t="shared" si="18"/>
        <v>0</v>
      </c>
      <c r="AV18" s="63">
        <f t="shared" si="19"/>
        <v>0</v>
      </c>
      <c r="AW18" s="63"/>
      <c r="AX18" s="49"/>
      <c r="AY18" s="63"/>
      <c r="AZ18" s="63">
        <f t="shared" si="20"/>
        <v>0</v>
      </c>
      <c r="BA18" s="20">
        <f t="shared" si="21"/>
        <v>0</v>
      </c>
      <c r="BB18" s="63">
        <f t="shared" si="22"/>
        <v>0</v>
      </c>
      <c r="BC18" s="63"/>
      <c r="BD18" s="49"/>
      <c r="BE18" s="49"/>
      <c r="BF18" s="49">
        <f t="shared" si="23"/>
        <v>0</v>
      </c>
      <c r="BG18" s="32">
        <f t="shared" si="24"/>
        <v>0</v>
      </c>
      <c r="BH18" s="63">
        <f t="shared" si="25"/>
        <v>0</v>
      </c>
      <c r="BI18" s="63"/>
      <c r="BJ18" s="49"/>
      <c r="BK18" s="32"/>
      <c r="BL18" s="32">
        <f t="shared" si="26"/>
        <v>0</v>
      </c>
      <c r="BM18" s="32">
        <f t="shared" si="27"/>
        <v>0</v>
      </c>
      <c r="BN18" s="63">
        <f t="shared" si="28"/>
        <v>0</v>
      </c>
      <c r="BO18" s="63"/>
      <c r="BP18" s="49"/>
      <c r="BQ18" s="49"/>
      <c r="BR18" s="49">
        <f t="shared" si="29"/>
        <v>0</v>
      </c>
      <c r="BS18" s="32">
        <f t="shared" si="30"/>
        <v>0</v>
      </c>
      <c r="BT18" s="63">
        <f t="shared" si="31"/>
        <v>0</v>
      </c>
      <c r="BU18" s="63"/>
      <c r="BV18" s="49"/>
      <c r="BW18" s="49"/>
      <c r="BX18" s="49">
        <f t="shared" si="32"/>
        <v>0</v>
      </c>
      <c r="BY18" s="32">
        <f t="shared" si="33"/>
        <v>0</v>
      </c>
      <c r="BZ18" s="63">
        <f t="shared" si="34"/>
        <v>0</v>
      </c>
      <c r="CA18" s="63"/>
      <c r="CB18" s="49"/>
      <c r="CC18" s="49"/>
      <c r="CD18" s="49">
        <f t="shared" si="35"/>
        <v>0</v>
      </c>
      <c r="CE18" s="32">
        <f t="shared" si="36"/>
        <v>0</v>
      </c>
      <c r="CF18" s="63">
        <f t="shared" si="37"/>
        <v>0</v>
      </c>
      <c r="CG18" s="63"/>
      <c r="CH18" s="49"/>
      <c r="CI18" s="49"/>
      <c r="CJ18" s="49">
        <f t="shared" si="38"/>
        <v>0</v>
      </c>
      <c r="CK18" s="32">
        <f t="shared" si="39"/>
        <v>0</v>
      </c>
      <c r="CL18" s="63">
        <f t="shared" si="40"/>
        <v>0</v>
      </c>
      <c r="CM18" s="63"/>
      <c r="CN18" s="49"/>
      <c r="CO18" s="49"/>
      <c r="CP18" s="49">
        <f t="shared" si="41"/>
        <v>0</v>
      </c>
      <c r="CQ18" s="32">
        <f t="shared" si="42"/>
        <v>0</v>
      </c>
      <c r="CR18" s="63">
        <f t="shared" si="43"/>
        <v>0</v>
      </c>
      <c r="CS18" s="63"/>
      <c r="CT18" s="49"/>
      <c r="CU18" s="32"/>
      <c r="CV18" s="32">
        <f t="shared" si="44"/>
        <v>0</v>
      </c>
      <c r="CW18" s="32">
        <f t="shared" si="45"/>
        <v>0</v>
      </c>
      <c r="CX18" s="63">
        <f t="shared" si="46"/>
        <v>0</v>
      </c>
      <c r="CY18" s="63"/>
      <c r="CZ18" s="49"/>
      <c r="DA18" s="49"/>
      <c r="DB18" s="49">
        <f t="shared" si="47"/>
        <v>0</v>
      </c>
      <c r="DC18" s="32">
        <f t="shared" si="48"/>
        <v>0</v>
      </c>
      <c r="DD18" s="63">
        <f t="shared" si="49"/>
        <v>0</v>
      </c>
      <c r="DE18" s="63"/>
      <c r="DF18" s="49"/>
      <c r="DG18" s="49"/>
      <c r="DH18" s="49">
        <f t="shared" si="50"/>
        <v>0</v>
      </c>
      <c r="DI18" s="32">
        <f t="shared" si="51"/>
        <v>0</v>
      </c>
      <c r="DJ18" s="63">
        <f t="shared" si="52"/>
        <v>0</v>
      </c>
      <c r="DK18" s="63"/>
      <c r="DL18" s="49"/>
      <c r="DM18" s="49"/>
      <c r="DN18" s="49">
        <f t="shared" si="53"/>
        <v>0</v>
      </c>
      <c r="DO18" s="32">
        <f t="shared" si="54"/>
        <v>0</v>
      </c>
      <c r="DP18" s="63">
        <f t="shared" si="55"/>
        <v>0</v>
      </c>
      <c r="DQ18" s="63"/>
      <c r="DR18" s="49"/>
      <c r="DS18" s="49"/>
      <c r="DT18" s="49">
        <f t="shared" si="56"/>
        <v>0</v>
      </c>
      <c r="DU18" s="32">
        <f t="shared" si="57"/>
        <v>0</v>
      </c>
      <c r="DV18" s="63">
        <f t="shared" si="58"/>
        <v>0</v>
      </c>
      <c r="DW18" s="63"/>
      <c r="DX18" s="49"/>
      <c r="DY18" s="49"/>
      <c r="DZ18" s="49">
        <f t="shared" si="59"/>
        <v>0</v>
      </c>
      <c r="EA18" s="32">
        <f t="shared" si="60"/>
        <v>0</v>
      </c>
      <c r="EB18" s="63">
        <f t="shared" si="61"/>
        <v>0</v>
      </c>
      <c r="EC18" s="63"/>
      <c r="ED18" s="49"/>
      <c r="EE18" s="49"/>
      <c r="EF18" s="49">
        <f t="shared" si="62"/>
        <v>0</v>
      </c>
      <c r="EG18" s="32">
        <f t="shared" si="63"/>
        <v>0</v>
      </c>
      <c r="EH18" s="63">
        <f t="shared" si="64"/>
        <v>0</v>
      </c>
      <c r="EI18" s="63"/>
      <c r="EJ18" s="49"/>
      <c r="EK18" s="49"/>
      <c r="EL18" s="49">
        <f t="shared" si="65"/>
        <v>0</v>
      </c>
      <c r="EM18" s="32">
        <f t="shared" si="66"/>
        <v>0</v>
      </c>
      <c r="EN18" s="63">
        <f t="shared" si="67"/>
        <v>0</v>
      </c>
      <c r="EO18" s="63"/>
      <c r="EP18" s="49"/>
      <c r="EQ18" s="49"/>
      <c r="ER18" s="49">
        <f t="shared" si="68"/>
        <v>0</v>
      </c>
      <c r="ES18" s="32">
        <f t="shared" si="69"/>
        <v>0</v>
      </c>
      <c r="ET18" s="63">
        <f t="shared" si="70"/>
        <v>0</v>
      </c>
      <c r="EU18" s="63"/>
      <c r="EV18" s="49"/>
      <c r="EW18" s="49"/>
      <c r="EX18" s="49">
        <f t="shared" si="71"/>
        <v>0</v>
      </c>
      <c r="EY18" s="32">
        <f t="shared" si="72"/>
        <v>0</v>
      </c>
      <c r="EZ18" s="63">
        <f t="shared" si="73"/>
        <v>0</v>
      </c>
      <c r="FA18" s="63"/>
      <c r="FB18" s="32"/>
      <c r="FC18" s="32"/>
      <c r="FD18" s="32">
        <f t="shared" si="74"/>
        <v>0</v>
      </c>
      <c r="FE18" s="32">
        <f t="shared" si="75"/>
        <v>0</v>
      </c>
      <c r="FF18" s="63">
        <f t="shared" si="76"/>
        <v>0</v>
      </c>
      <c r="FG18" s="63"/>
      <c r="FH18" s="49"/>
      <c r="FI18" s="49"/>
      <c r="FJ18" s="49">
        <f t="shared" si="77"/>
        <v>0</v>
      </c>
      <c r="FK18" s="32">
        <f t="shared" si="78"/>
        <v>0</v>
      </c>
      <c r="FL18" s="63">
        <f t="shared" si="79"/>
        <v>0</v>
      </c>
      <c r="FM18" s="63"/>
      <c r="FN18" s="49"/>
      <c r="FO18" s="32"/>
      <c r="FP18" s="32"/>
      <c r="FQ18" s="32"/>
    </row>
    <row r="19" spans="1:173" s="51" customFormat="1" ht="12.75">
      <c r="A19" s="50">
        <v>46113</v>
      </c>
      <c r="C19" s="34"/>
      <c r="D19" s="34"/>
      <c r="E19" s="34">
        <f t="shared" si="0"/>
        <v>0</v>
      </c>
      <c r="F19" s="34"/>
      <c r="G19" s="34"/>
      <c r="H19" s="49"/>
      <c r="I19" s="49"/>
      <c r="J19" s="49"/>
      <c r="K19" s="49">
        <f t="shared" si="1"/>
        <v>0</v>
      </c>
      <c r="L19" s="49"/>
      <c r="M19" s="34"/>
      <c r="N19" s="49"/>
      <c r="O19" s="49">
        <f>U19+AA19+AG19+AM19+AS19+AY19+BE19+BK19+BQ19+CC19+CO19+CU19+DA19+DG19+DM19+EK19+EQ19+EW19+FC19+FI19+FO19+BW19+CI19+DS19+DY19+EE19</f>
        <v>0</v>
      </c>
      <c r="P19" s="39">
        <f t="shared" si="2"/>
        <v>0</v>
      </c>
      <c r="Q19" s="32">
        <f t="shared" si="3"/>
        <v>0</v>
      </c>
      <c r="R19" s="39">
        <f t="shared" si="4"/>
        <v>0</v>
      </c>
      <c r="S19" s="34"/>
      <c r="T19" s="49"/>
      <c r="U19" s="63">
        <f t="shared" si="80"/>
        <v>0</v>
      </c>
      <c r="V19" s="63">
        <f t="shared" si="5"/>
        <v>0</v>
      </c>
      <c r="W19" s="20">
        <f t="shared" si="6"/>
        <v>0</v>
      </c>
      <c r="X19" s="63">
        <f t="shared" si="7"/>
        <v>0</v>
      </c>
      <c r="Y19" s="63"/>
      <c r="Z19" s="49"/>
      <c r="AA19" s="63">
        <f t="shared" si="81"/>
        <v>0</v>
      </c>
      <c r="AB19" s="63">
        <f t="shared" si="8"/>
        <v>0</v>
      </c>
      <c r="AC19" s="20">
        <f t="shared" si="9"/>
        <v>0</v>
      </c>
      <c r="AD19" s="63">
        <f t="shared" si="10"/>
        <v>0</v>
      </c>
      <c r="AE19" s="63"/>
      <c r="AF19" s="49"/>
      <c r="AG19" s="32">
        <f t="shared" si="82"/>
        <v>0</v>
      </c>
      <c r="AH19" s="32">
        <f t="shared" si="11"/>
        <v>0</v>
      </c>
      <c r="AI19" s="32">
        <f t="shared" si="12"/>
        <v>0</v>
      </c>
      <c r="AJ19" s="63">
        <f t="shared" si="13"/>
        <v>0</v>
      </c>
      <c r="AK19" s="63"/>
      <c r="AL19" s="49"/>
      <c r="AM19" s="63">
        <f t="shared" si="83"/>
        <v>0</v>
      </c>
      <c r="AN19" s="63">
        <f t="shared" si="14"/>
        <v>0</v>
      </c>
      <c r="AO19" s="20">
        <f t="shared" si="15"/>
        <v>0</v>
      </c>
      <c r="AP19" s="63">
        <f t="shared" si="16"/>
        <v>0</v>
      </c>
      <c r="AQ19" s="63"/>
      <c r="AR19" s="49"/>
      <c r="AS19" s="63">
        <f t="shared" si="84"/>
        <v>0</v>
      </c>
      <c r="AT19" s="63">
        <f t="shared" si="17"/>
        <v>0</v>
      </c>
      <c r="AU19" s="20">
        <f t="shared" si="18"/>
        <v>0</v>
      </c>
      <c r="AV19" s="63">
        <f t="shared" si="19"/>
        <v>0</v>
      </c>
      <c r="AW19" s="63"/>
      <c r="AX19" s="49"/>
      <c r="AY19" s="63">
        <f t="shared" si="85"/>
        <v>0</v>
      </c>
      <c r="AZ19" s="63">
        <f t="shared" si="20"/>
        <v>0</v>
      </c>
      <c r="BA19" s="20">
        <f t="shared" si="21"/>
        <v>0</v>
      </c>
      <c r="BB19" s="63">
        <f t="shared" si="22"/>
        <v>0</v>
      </c>
      <c r="BC19" s="63"/>
      <c r="BD19" s="49"/>
      <c r="BE19" s="49">
        <f t="shared" si="86"/>
        <v>0</v>
      </c>
      <c r="BF19" s="49">
        <f t="shared" si="23"/>
        <v>0</v>
      </c>
      <c r="BG19" s="32">
        <f t="shared" si="24"/>
        <v>0</v>
      </c>
      <c r="BH19" s="63">
        <f t="shared" si="25"/>
        <v>0</v>
      </c>
      <c r="BI19" s="63"/>
      <c r="BJ19" s="49"/>
      <c r="BK19" s="32">
        <f t="shared" si="87"/>
        <v>0</v>
      </c>
      <c r="BL19" s="32">
        <f t="shared" si="26"/>
        <v>0</v>
      </c>
      <c r="BM19" s="32">
        <f t="shared" si="27"/>
        <v>0</v>
      </c>
      <c r="BN19" s="63">
        <f t="shared" si="28"/>
        <v>0</v>
      </c>
      <c r="BO19" s="63"/>
      <c r="BP19" s="49"/>
      <c r="BQ19" s="49">
        <f t="shared" si="88"/>
        <v>0</v>
      </c>
      <c r="BR19" s="49">
        <f t="shared" si="29"/>
        <v>0</v>
      </c>
      <c r="BS19" s="32">
        <f t="shared" si="30"/>
        <v>0</v>
      </c>
      <c r="BT19" s="63">
        <f t="shared" si="31"/>
        <v>0</v>
      </c>
      <c r="BU19" s="63"/>
      <c r="BV19" s="49"/>
      <c r="BW19" s="49">
        <f t="shared" si="89"/>
        <v>0</v>
      </c>
      <c r="BX19" s="49">
        <f t="shared" si="32"/>
        <v>0</v>
      </c>
      <c r="BY19" s="32">
        <f t="shared" si="33"/>
        <v>0</v>
      </c>
      <c r="BZ19" s="63">
        <f t="shared" si="34"/>
        <v>0</v>
      </c>
      <c r="CA19" s="63"/>
      <c r="CB19" s="49"/>
      <c r="CC19" s="49">
        <f t="shared" si="90"/>
        <v>0</v>
      </c>
      <c r="CD19" s="49">
        <f t="shared" si="35"/>
        <v>0</v>
      </c>
      <c r="CE19" s="32">
        <f t="shared" si="36"/>
        <v>0</v>
      </c>
      <c r="CF19" s="63">
        <f t="shared" si="37"/>
        <v>0</v>
      </c>
      <c r="CG19" s="63"/>
      <c r="CH19" s="49"/>
      <c r="CI19" s="49">
        <f t="shared" si="91"/>
        <v>0</v>
      </c>
      <c r="CJ19" s="49">
        <f t="shared" si="38"/>
        <v>0</v>
      </c>
      <c r="CK19" s="32">
        <f t="shared" si="39"/>
        <v>0</v>
      </c>
      <c r="CL19" s="63">
        <f t="shared" si="40"/>
        <v>0</v>
      </c>
      <c r="CM19" s="63"/>
      <c r="CN19" s="49"/>
      <c r="CO19" s="49">
        <f t="shared" si="92"/>
        <v>0</v>
      </c>
      <c r="CP19" s="49">
        <f t="shared" si="41"/>
        <v>0</v>
      </c>
      <c r="CQ19" s="32">
        <f t="shared" si="42"/>
        <v>0</v>
      </c>
      <c r="CR19" s="63">
        <f t="shared" si="43"/>
        <v>0</v>
      </c>
      <c r="CS19" s="63"/>
      <c r="CT19" s="49"/>
      <c r="CU19" s="32">
        <f t="shared" si="93"/>
        <v>0</v>
      </c>
      <c r="CV19" s="32">
        <f t="shared" si="44"/>
        <v>0</v>
      </c>
      <c r="CW19" s="32">
        <f t="shared" si="45"/>
        <v>0</v>
      </c>
      <c r="CX19" s="63">
        <f t="shared" si="46"/>
        <v>0</v>
      </c>
      <c r="CY19" s="63"/>
      <c r="CZ19" s="49"/>
      <c r="DA19" s="49">
        <f t="shared" si="94"/>
        <v>0</v>
      </c>
      <c r="DB19" s="49">
        <f t="shared" si="47"/>
        <v>0</v>
      </c>
      <c r="DC19" s="32">
        <f t="shared" si="48"/>
        <v>0</v>
      </c>
      <c r="DD19" s="63">
        <f t="shared" si="49"/>
        <v>0</v>
      </c>
      <c r="DE19" s="63"/>
      <c r="DF19" s="49"/>
      <c r="DG19" s="49">
        <f t="shared" si="95"/>
        <v>0</v>
      </c>
      <c r="DH19" s="49">
        <f t="shared" si="50"/>
        <v>0</v>
      </c>
      <c r="DI19" s="32">
        <f t="shared" si="51"/>
        <v>0</v>
      </c>
      <c r="DJ19" s="63">
        <f t="shared" si="52"/>
        <v>0</v>
      </c>
      <c r="DK19" s="63"/>
      <c r="DL19" s="49"/>
      <c r="DM19" s="49">
        <f t="shared" si="96"/>
        <v>0</v>
      </c>
      <c r="DN19" s="49">
        <f t="shared" si="53"/>
        <v>0</v>
      </c>
      <c r="DO19" s="32">
        <f t="shared" si="54"/>
        <v>0</v>
      </c>
      <c r="DP19" s="63">
        <f t="shared" si="55"/>
        <v>0</v>
      </c>
      <c r="DQ19" s="63"/>
      <c r="DR19" s="49"/>
      <c r="DS19" s="49">
        <f t="shared" si="97"/>
        <v>0</v>
      </c>
      <c r="DT19" s="49">
        <f t="shared" si="56"/>
        <v>0</v>
      </c>
      <c r="DU19" s="32">
        <f t="shared" si="57"/>
        <v>0</v>
      </c>
      <c r="DV19" s="63">
        <f t="shared" si="58"/>
        <v>0</v>
      </c>
      <c r="DW19" s="63"/>
      <c r="DX19" s="49"/>
      <c r="DY19" s="49">
        <f t="shared" si="98"/>
        <v>0</v>
      </c>
      <c r="DZ19" s="49">
        <f t="shared" si="59"/>
        <v>0</v>
      </c>
      <c r="EA19" s="32">
        <f t="shared" si="60"/>
        <v>0</v>
      </c>
      <c r="EB19" s="63">
        <f t="shared" si="61"/>
        <v>0</v>
      </c>
      <c r="EC19" s="63"/>
      <c r="ED19" s="49"/>
      <c r="EE19" s="49">
        <f t="shared" si="99"/>
        <v>0</v>
      </c>
      <c r="EF19" s="49">
        <f t="shared" si="62"/>
        <v>0</v>
      </c>
      <c r="EG19" s="32">
        <f t="shared" si="63"/>
        <v>0</v>
      </c>
      <c r="EH19" s="63">
        <f t="shared" si="64"/>
        <v>0</v>
      </c>
      <c r="EI19" s="63"/>
      <c r="EJ19" s="49"/>
      <c r="EK19" s="49">
        <f t="shared" si="100"/>
        <v>0</v>
      </c>
      <c r="EL19" s="49">
        <f t="shared" si="65"/>
        <v>0</v>
      </c>
      <c r="EM19" s="32">
        <f t="shared" si="66"/>
        <v>0</v>
      </c>
      <c r="EN19" s="63">
        <f t="shared" si="67"/>
        <v>0</v>
      </c>
      <c r="EO19" s="63"/>
      <c r="EP19" s="49"/>
      <c r="EQ19" s="49">
        <f t="shared" si="101"/>
        <v>0</v>
      </c>
      <c r="ER19" s="49">
        <f t="shared" si="68"/>
        <v>0</v>
      </c>
      <c r="ES19" s="32">
        <f t="shared" si="69"/>
        <v>0</v>
      </c>
      <c r="ET19" s="63">
        <f t="shared" si="70"/>
        <v>0</v>
      </c>
      <c r="EU19" s="63"/>
      <c r="EV19" s="49"/>
      <c r="EW19" s="49">
        <f t="shared" si="102"/>
        <v>0</v>
      </c>
      <c r="EX19" s="49">
        <f t="shared" si="71"/>
        <v>0</v>
      </c>
      <c r="EY19" s="32">
        <f t="shared" si="72"/>
        <v>0</v>
      </c>
      <c r="EZ19" s="63">
        <f t="shared" si="73"/>
        <v>0</v>
      </c>
      <c r="FA19" s="63"/>
      <c r="FB19" s="32"/>
      <c r="FC19" s="32">
        <f t="shared" si="103"/>
        <v>0</v>
      </c>
      <c r="FD19" s="32">
        <f t="shared" si="74"/>
        <v>0</v>
      </c>
      <c r="FE19" s="32">
        <f t="shared" si="75"/>
        <v>0</v>
      </c>
      <c r="FF19" s="63">
        <f t="shared" si="76"/>
        <v>0</v>
      </c>
      <c r="FG19" s="63"/>
      <c r="FH19" s="49"/>
      <c r="FI19" s="49">
        <f t="shared" si="104"/>
        <v>0</v>
      </c>
      <c r="FJ19" s="49">
        <f t="shared" si="77"/>
        <v>0</v>
      </c>
      <c r="FK19" s="32">
        <f t="shared" si="78"/>
        <v>0</v>
      </c>
      <c r="FL19" s="63">
        <f t="shared" si="79"/>
        <v>0</v>
      </c>
      <c r="FM19" s="63"/>
      <c r="FN19" s="49"/>
      <c r="FO19" s="32"/>
      <c r="FP19" s="32"/>
      <c r="FQ19" s="32"/>
    </row>
    <row r="20" spans="1:173" s="51" customFormat="1" ht="12.75">
      <c r="A20" s="50">
        <v>46296</v>
      </c>
      <c r="C20" s="34"/>
      <c r="D20" s="34"/>
      <c r="E20" s="34">
        <f t="shared" si="0"/>
        <v>0</v>
      </c>
      <c r="F20" s="34"/>
      <c r="G20" s="34"/>
      <c r="H20" s="49"/>
      <c r="I20" s="49"/>
      <c r="J20" s="49"/>
      <c r="K20" s="49">
        <f t="shared" si="1"/>
        <v>0</v>
      </c>
      <c r="L20" s="49"/>
      <c r="M20" s="34"/>
      <c r="N20" s="49"/>
      <c r="O20" s="49"/>
      <c r="P20" s="39">
        <f t="shared" si="2"/>
        <v>0</v>
      </c>
      <c r="Q20" s="32">
        <f t="shared" si="3"/>
        <v>0</v>
      </c>
      <c r="R20" s="39">
        <f t="shared" si="4"/>
        <v>0</v>
      </c>
      <c r="S20" s="34"/>
      <c r="T20" s="49"/>
      <c r="U20" s="63"/>
      <c r="V20" s="63">
        <f t="shared" si="5"/>
        <v>0</v>
      </c>
      <c r="W20" s="20">
        <f t="shared" si="6"/>
        <v>0</v>
      </c>
      <c r="X20" s="63">
        <f t="shared" si="7"/>
        <v>0</v>
      </c>
      <c r="Y20" s="63"/>
      <c r="Z20" s="49"/>
      <c r="AA20" s="63"/>
      <c r="AB20" s="63">
        <f t="shared" si="8"/>
        <v>0</v>
      </c>
      <c r="AC20" s="20">
        <f t="shared" si="9"/>
        <v>0</v>
      </c>
      <c r="AD20" s="63">
        <f t="shared" si="10"/>
        <v>0</v>
      </c>
      <c r="AE20" s="63"/>
      <c r="AF20" s="49"/>
      <c r="AG20" s="32"/>
      <c r="AH20" s="32">
        <f t="shared" si="11"/>
        <v>0</v>
      </c>
      <c r="AI20" s="32">
        <f t="shared" si="12"/>
        <v>0</v>
      </c>
      <c r="AJ20" s="63">
        <f t="shared" si="13"/>
        <v>0</v>
      </c>
      <c r="AK20" s="63"/>
      <c r="AL20" s="49"/>
      <c r="AM20" s="63"/>
      <c r="AN20" s="63">
        <f t="shared" si="14"/>
        <v>0</v>
      </c>
      <c r="AO20" s="20">
        <f t="shared" si="15"/>
        <v>0</v>
      </c>
      <c r="AP20" s="63">
        <f t="shared" si="16"/>
        <v>0</v>
      </c>
      <c r="AQ20" s="63"/>
      <c r="AR20" s="49"/>
      <c r="AS20" s="63"/>
      <c r="AT20" s="63">
        <f t="shared" si="17"/>
        <v>0</v>
      </c>
      <c r="AU20" s="20">
        <f t="shared" si="18"/>
        <v>0</v>
      </c>
      <c r="AV20" s="63">
        <f t="shared" si="19"/>
        <v>0</v>
      </c>
      <c r="AW20" s="63"/>
      <c r="AX20" s="49"/>
      <c r="AY20" s="63"/>
      <c r="AZ20" s="63">
        <f t="shared" si="20"/>
        <v>0</v>
      </c>
      <c r="BA20" s="20">
        <f t="shared" si="21"/>
        <v>0</v>
      </c>
      <c r="BB20" s="63">
        <f t="shared" si="22"/>
        <v>0</v>
      </c>
      <c r="BC20" s="63"/>
      <c r="BD20" s="49"/>
      <c r="BE20" s="49"/>
      <c r="BF20" s="49">
        <f t="shared" si="23"/>
        <v>0</v>
      </c>
      <c r="BG20" s="32">
        <f t="shared" si="24"/>
        <v>0</v>
      </c>
      <c r="BH20" s="63">
        <f t="shared" si="25"/>
        <v>0</v>
      </c>
      <c r="BI20" s="63"/>
      <c r="BJ20" s="49"/>
      <c r="BK20" s="32"/>
      <c r="BL20" s="32">
        <f t="shared" si="26"/>
        <v>0</v>
      </c>
      <c r="BM20" s="32">
        <f t="shared" si="27"/>
        <v>0</v>
      </c>
      <c r="BN20" s="63">
        <f t="shared" si="28"/>
        <v>0</v>
      </c>
      <c r="BO20" s="63"/>
      <c r="BP20" s="49"/>
      <c r="BQ20" s="49"/>
      <c r="BR20" s="49">
        <f t="shared" si="29"/>
        <v>0</v>
      </c>
      <c r="BS20" s="32">
        <f t="shared" si="30"/>
        <v>0</v>
      </c>
      <c r="BT20" s="63">
        <f t="shared" si="31"/>
        <v>0</v>
      </c>
      <c r="BU20" s="63"/>
      <c r="BV20" s="49"/>
      <c r="BW20" s="49"/>
      <c r="BX20" s="49">
        <f t="shared" si="32"/>
        <v>0</v>
      </c>
      <c r="BY20" s="32">
        <f t="shared" si="33"/>
        <v>0</v>
      </c>
      <c r="BZ20" s="63">
        <f t="shared" si="34"/>
        <v>0</v>
      </c>
      <c r="CA20" s="63"/>
      <c r="CB20" s="49"/>
      <c r="CC20" s="49"/>
      <c r="CD20" s="49">
        <f t="shared" si="35"/>
        <v>0</v>
      </c>
      <c r="CE20" s="32">
        <f t="shared" si="36"/>
        <v>0</v>
      </c>
      <c r="CF20" s="63">
        <f t="shared" si="37"/>
        <v>0</v>
      </c>
      <c r="CG20" s="63"/>
      <c r="CH20" s="49"/>
      <c r="CI20" s="49"/>
      <c r="CJ20" s="49">
        <f t="shared" si="38"/>
        <v>0</v>
      </c>
      <c r="CK20" s="32">
        <f t="shared" si="39"/>
        <v>0</v>
      </c>
      <c r="CL20" s="63">
        <f t="shared" si="40"/>
        <v>0</v>
      </c>
      <c r="CM20" s="63"/>
      <c r="CN20" s="49"/>
      <c r="CO20" s="49"/>
      <c r="CP20" s="49">
        <f t="shared" si="41"/>
        <v>0</v>
      </c>
      <c r="CQ20" s="32">
        <f t="shared" si="42"/>
        <v>0</v>
      </c>
      <c r="CR20" s="63">
        <f t="shared" si="43"/>
        <v>0</v>
      </c>
      <c r="CS20" s="63"/>
      <c r="CT20" s="49"/>
      <c r="CU20" s="32"/>
      <c r="CV20" s="32">
        <f t="shared" si="44"/>
        <v>0</v>
      </c>
      <c r="CW20" s="32">
        <f t="shared" si="45"/>
        <v>0</v>
      </c>
      <c r="CX20" s="63">
        <f t="shared" si="46"/>
        <v>0</v>
      </c>
      <c r="CY20" s="63"/>
      <c r="CZ20" s="49"/>
      <c r="DA20" s="49"/>
      <c r="DB20" s="49">
        <f t="shared" si="47"/>
        <v>0</v>
      </c>
      <c r="DC20" s="32">
        <f t="shared" si="48"/>
        <v>0</v>
      </c>
      <c r="DD20" s="63">
        <f t="shared" si="49"/>
        <v>0</v>
      </c>
      <c r="DE20" s="63"/>
      <c r="DF20" s="49"/>
      <c r="DG20" s="49"/>
      <c r="DH20" s="49">
        <f t="shared" si="50"/>
        <v>0</v>
      </c>
      <c r="DI20" s="32">
        <f t="shared" si="51"/>
        <v>0</v>
      </c>
      <c r="DJ20" s="63">
        <f t="shared" si="52"/>
        <v>0</v>
      </c>
      <c r="DK20" s="63"/>
      <c r="DL20" s="49"/>
      <c r="DM20" s="49"/>
      <c r="DN20" s="49">
        <f t="shared" si="53"/>
        <v>0</v>
      </c>
      <c r="DO20" s="32">
        <f t="shared" si="54"/>
        <v>0</v>
      </c>
      <c r="DP20" s="63">
        <f t="shared" si="55"/>
        <v>0</v>
      </c>
      <c r="DQ20" s="63"/>
      <c r="DR20" s="49"/>
      <c r="DS20" s="49"/>
      <c r="DT20" s="49">
        <f t="shared" si="56"/>
        <v>0</v>
      </c>
      <c r="DU20" s="32">
        <f t="shared" si="57"/>
        <v>0</v>
      </c>
      <c r="DV20" s="63">
        <f t="shared" si="58"/>
        <v>0</v>
      </c>
      <c r="DW20" s="63"/>
      <c r="DX20" s="49"/>
      <c r="DY20" s="49"/>
      <c r="DZ20" s="49">
        <f t="shared" si="59"/>
        <v>0</v>
      </c>
      <c r="EA20" s="32">
        <f t="shared" si="60"/>
        <v>0</v>
      </c>
      <c r="EB20" s="63">
        <f t="shared" si="61"/>
        <v>0</v>
      </c>
      <c r="EC20" s="63"/>
      <c r="ED20" s="49"/>
      <c r="EE20" s="49"/>
      <c r="EF20" s="49">
        <f t="shared" si="62"/>
        <v>0</v>
      </c>
      <c r="EG20" s="32">
        <f t="shared" si="63"/>
        <v>0</v>
      </c>
      <c r="EH20" s="63">
        <f t="shared" si="64"/>
        <v>0</v>
      </c>
      <c r="EI20" s="63"/>
      <c r="EJ20" s="49"/>
      <c r="EK20" s="49"/>
      <c r="EL20" s="49">
        <f t="shared" si="65"/>
        <v>0</v>
      </c>
      <c r="EM20" s="32">
        <f t="shared" si="66"/>
        <v>0</v>
      </c>
      <c r="EN20" s="63">
        <f t="shared" si="67"/>
        <v>0</v>
      </c>
      <c r="EO20" s="63"/>
      <c r="EP20" s="49"/>
      <c r="EQ20" s="49"/>
      <c r="ER20" s="49">
        <f t="shared" si="68"/>
        <v>0</v>
      </c>
      <c r="ES20" s="32">
        <f t="shared" si="69"/>
        <v>0</v>
      </c>
      <c r="ET20" s="63">
        <f t="shared" si="70"/>
        <v>0</v>
      </c>
      <c r="EU20" s="63"/>
      <c r="EV20" s="49"/>
      <c r="EW20" s="49"/>
      <c r="EX20" s="49">
        <f t="shared" si="71"/>
        <v>0</v>
      </c>
      <c r="EY20" s="32">
        <f t="shared" si="72"/>
        <v>0</v>
      </c>
      <c r="EZ20" s="63">
        <f t="shared" si="73"/>
        <v>0</v>
      </c>
      <c r="FA20" s="63"/>
      <c r="FB20" s="32"/>
      <c r="FC20" s="32"/>
      <c r="FD20" s="32">
        <f t="shared" si="74"/>
        <v>0</v>
      </c>
      <c r="FE20" s="32">
        <f t="shared" si="75"/>
        <v>0</v>
      </c>
      <c r="FF20" s="63">
        <f t="shared" si="76"/>
        <v>0</v>
      </c>
      <c r="FG20" s="63"/>
      <c r="FH20" s="49"/>
      <c r="FI20" s="49"/>
      <c r="FJ20" s="49">
        <f t="shared" si="77"/>
        <v>0</v>
      </c>
      <c r="FK20" s="32">
        <f t="shared" si="78"/>
        <v>0</v>
      </c>
      <c r="FL20" s="63">
        <f t="shared" si="79"/>
        <v>0</v>
      </c>
      <c r="FM20" s="63"/>
      <c r="FN20" s="49"/>
      <c r="FO20" s="32"/>
      <c r="FP20" s="32"/>
      <c r="FQ20" s="32"/>
    </row>
    <row r="21" spans="1:173" s="51" customFormat="1" ht="12.75">
      <c r="A21" s="50">
        <v>46478</v>
      </c>
      <c r="C21" s="34"/>
      <c r="D21" s="34"/>
      <c r="E21" s="34">
        <f t="shared" si="0"/>
        <v>0</v>
      </c>
      <c r="F21" s="34"/>
      <c r="G21" s="34"/>
      <c r="H21" s="49"/>
      <c r="I21" s="49"/>
      <c r="J21" s="49"/>
      <c r="K21" s="49">
        <f t="shared" si="1"/>
        <v>0</v>
      </c>
      <c r="L21" s="49"/>
      <c r="M21" s="34"/>
      <c r="N21" s="49"/>
      <c r="O21" s="49">
        <f>U21+AA21+AG21+AM21+AS21+AY21+BE21+BK21+BQ21+CC21+CO21+CU21+DA21+DG21+DM21+EK21+EQ21+EW21+FC21+FI21+FO21+BW21+CI21+DS21+DY21+EE21</f>
        <v>0</v>
      </c>
      <c r="P21" s="39">
        <f t="shared" si="2"/>
        <v>0</v>
      </c>
      <c r="Q21" s="32">
        <f t="shared" si="3"/>
        <v>0</v>
      </c>
      <c r="R21" s="39">
        <f t="shared" si="4"/>
        <v>0</v>
      </c>
      <c r="S21" s="34"/>
      <c r="T21" s="49"/>
      <c r="U21" s="63">
        <f t="shared" si="80"/>
        <v>0</v>
      </c>
      <c r="V21" s="63">
        <f t="shared" si="5"/>
        <v>0</v>
      </c>
      <c r="W21" s="20">
        <f t="shared" si="6"/>
        <v>0</v>
      </c>
      <c r="X21" s="63">
        <f t="shared" si="7"/>
        <v>0</v>
      </c>
      <c r="Y21" s="63"/>
      <c r="Z21" s="49"/>
      <c r="AA21" s="63">
        <f t="shared" si="81"/>
        <v>0</v>
      </c>
      <c r="AB21" s="63">
        <f t="shared" si="8"/>
        <v>0</v>
      </c>
      <c r="AC21" s="20">
        <f t="shared" si="9"/>
        <v>0</v>
      </c>
      <c r="AD21" s="63">
        <f t="shared" si="10"/>
        <v>0</v>
      </c>
      <c r="AE21" s="63"/>
      <c r="AF21" s="49"/>
      <c r="AG21" s="32">
        <f t="shared" si="82"/>
        <v>0</v>
      </c>
      <c r="AH21" s="32">
        <f t="shared" si="11"/>
        <v>0</v>
      </c>
      <c r="AI21" s="32">
        <f t="shared" si="12"/>
        <v>0</v>
      </c>
      <c r="AJ21" s="63">
        <f t="shared" si="13"/>
        <v>0</v>
      </c>
      <c r="AK21" s="63"/>
      <c r="AL21" s="49"/>
      <c r="AM21" s="63">
        <f t="shared" si="83"/>
        <v>0</v>
      </c>
      <c r="AN21" s="63">
        <f t="shared" si="14"/>
        <v>0</v>
      </c>
      <c r="AO21" s="20">
        <f t="shared" si="15"/>
        <v>0</v>
      </c>
      <c r="AP21" s="63">
        <f t="shared" si="16"/>
        <v>0</v>
      </c>
      <c r="AQ21" s="63"/>
      <c r="AR21" s="49"/>
      <c r="AS21" s="63">
        <f t="shared" si="84"/>
        <v>0</v>
      </c>
      <c r="AT21" s="63">
        <f t="shared" si="17"/>
        <v>0</v>
      </c>
      <c r="AU21" s="20">
        <f t="shared" si="18"/>
        <v>0</v>
      </c>
      <c r="AV21" s="63">
        <f t="shared" si="19"/>
        <v>0</v>
      </c>
      <c r="AW21" s="63"/>
      <c r="AX21" s="49"/>
      <c r="AY21" s="63">
        <f t="shared" si="85"/>
        <v>0</v>
      </c>
      <c r="AZ21" s="63">
        <f t="shared" si="20"/>
        <v>0</v>
      </c>
      <c r="BA21" s="20">
        <f t="shared" si="21"/>
        <v>0</v>
      </c>
      <c r="BB21" s="63">
        <f t="shared" si="22"/>
        <v>0</v>
      </c>
      <c r="BC21" s="63"/>
      <c r="BD21" s="49"/>
      <c r="BE21" s="49">
        <f t="shared" si="86"/>
        <v>0</v>
      </c>
      <c r="BF21" s="49">
        <f t="shared" si="23"/>
        <v>0</v>
      </c>
      <c r="BG21" s="32">
        <f t="shared" si="24"/>
        <v>0</v>
      </c>
      <c r="BH21" s="63">
        <f t="shared" si="25"/>
        <v>0</v>
      </c>
      <c r="BI21" s="63"/>
      <c r="BJ21" s="49"/>
      <c r="BK21" s="32">
        <f t="shared" si="87"/>
        <v>0</v>
      </c>
      <c r="BL21" s="32">
        <f t="shared" si="26"/>
        <v>0</v>
      </c>
      <c r="BM21" s="32">
        <f t="shared" si="27"/>
        <v>0</v>
      </c>
      <c r="BN21" s="63">
        <f t="shared" si="28"/>
        <v>0</v>
      </c>
      <c r="BO21" s="63"/>
      <c r="BP21" s="49"/>
      <c r="BQ21" s="49">
        <f t="shared" si="88"/>
        <v>0</v>
      </c>
      <c r="BR21" s="49">
        <f t="shared" si="29"/>
        <v>0</v>
      </c>
      <c r="BS21" s="32">
        <f t="shared" si="30"/>
        <v>0</v>
      </c>
      <c r="BT21" s="63">
        <f t="shared" si="31"/>
        <v>0</v>
      </c>
      <c r="BU21" s="63"/>
      <c r="BV21" s="49"/>
      <c r="BW21" s="49">
        <f t="shared" si="89"/>
        <v>0</v>
      </c>
      <c r="BX21" s="49">
        <f t="shared" si="32"/>
        <v>0</v>
      </c>
      <c r="BY21" s="32">
        <f t="shared" si="33"/>
        <v>0</v>
      </c>
      <c r="BZ21" s="63">
        <f t="shared" si="34"/>
        <v>0</v>
      </c>
      <c r="CA21" s="63"/>
      <c r="CB21" s="49"/>
      <c r="CC21" s="49">
        <f t="shared" si="90"/>
        <v>0</v>
      </c>
      <c r="CD21" s="49">
        <f t="shared" si="35"/>
        <v>0</v>
      </c>
      <c r="CE21" s="32">
        <f t="shared" si="36"/>
        <v>0</v>
      </c>
      <c r="CF21" s="63">
        <f t="shared" si="37"/>
        <v>0</v>
      </c>
      <c r="CG21" s="63"/>
      <c r="CH21" s="49"/>
      <c r="CI21" s="49">
        <f t="shared" si="91"/>
        <v>0</v>
      </c>
      <c r="CJ21" s="49">
        <f t="shared" si="38"/>
        <v>0</v>
      </c>
      <c r="CK21" s="32">
        <f t="shared" si="39"/>
        <v>0</v>
      </c>
      <c r="CL21" s="63">
        <f t="shared" si="40"/>
        <v>0</v>
      </c>
      <c r="CM21" s="63"/>
      <c r="CN21" s="49"/>
      <c r="CO21" s="49">
        <f t="shared" si="92"/>
        <v>0</v>
      </c>
      <c r="CP21" s="49">
        <f t="shared" si="41"/>
        <v>0</v>
      </c>
      <c r="CQ21" s="32">
        <f t="shared" si="42"/>
        <v>0</v>
      </c>
      <c r="CR21" s="63">
        <f t="shared" si="43"/>
        <v>0</v>
      </c>
      <c r="CS21" s="63"/>
      <c r="CT21" s="49"/>
      <c r="CU21" s="32">
        <f t="shared" si="93"/>
        <v>0</v>
      </c>
      <c r="CV21" s="32">
        <f t="shared" si="44"/>
        <v>0</v>
      </c>
      <c r="CW21" s="32">
        <f t="shared" si="45"/>
        <v>0</v>
      </c>
      <c r="CX21" s="63">
        <f t="shared" si="46"/>
        <v>0</v>
      </c>
      <c r="CY21" s="63"/>
      <c r="CZ21" s="49"/>
      <c r="DA21" s="49">
        <f t="shared" si="94"/>
        <v>0</v>
      </c>
      <c r="DB21" s="49">
        <f t="shared" si="47"/>
        <v>0</v>
      </c>
      <c r="DC21" s="32">
        <f t="shared" si="48"/>
        <v>0</v>
      </c>
      <c r="DD21" s="63">
        <f t="shared" si="49"/>
        <v>0</v>
      </c>
      <c r="DE21" s="63"/>
      <c r="DF21" s="49"/>
      <c r="DG21" s="49">
        <f t="shared" si="95"/>
        <v>0</v>
      </c>
      <c r="DH21" s="49">
        <f t="shared" si="50"/>
        <v>0</v>
      </c>
      <c r="DI21" s="32">
        <f t="shared" si="51"/>
        <v>0</v>
      </c>
      <c r="DJ21" s="63">
        <f t="shared" si="52"/>
        <v>0</v>
      </c>
      <c r="DK21" s="63"/>
      <c r="DL21" s="49"/>
      <c r="DM21" s="49">
        <f t="shared" si="96"/>
        <v>0</v>
      </c>
      <c r="DN21" s="49">
        <f t="shared" si="53"/>
        <v>0</v>
      </c>
      <c r="DO21" s="32">
        <f t="shared" si="54"/>
        <v>0</v>
      </c>
      <c r="DP21" s="63">
        <f t="shared" si="55"/>
        <v>0</v>
      </c>
      <c r="DQ21" s="63"/>
      <c r="DR21" s="49"/>
      <c r="DS21" s="49">
        <f t="shared" si="97"/>
        <v>0</v>
      </c>
      <c r="DT21" s="49">
        <f t="shared" si="56"/>
        <v>0</v>
      </c>
      <c r="DU21" s="32">
        <f t="shared" si="57"/>
        <v>0</v>
      </c>
      <c r="DV21" s="63">
        <f t="shared" si="58"/>
        <v>0</v>
      </c>
      <c r="DW21" s="63"/>
      <c r="DX21" s="49"/>
      <c r="DY21" s="49">
        <f t="shared" si="98"/>
        <v>0</v>
      </c>
      <c r="DZ21" s="49">
        <f t="shared" si="59"/>
        <v>0</v>
      </c>
      <c r="EA21" s="32">
        <f t="shared" si="60"/>
        <v>0</v>
      </c>
      <c r="EB21" s="63">
        <f t="shared" si="61"/>
        <v>0</v>
      </c>
      <c r="EC21" s="63"/>
      <c r="ED21" s="49"/>
      <c r="EE21" s="49">
        <f t="shared" si="99"/>
        <v>0</v>
      </c>
      <c r="EF21" s="49">
        <f t="shared" si="62"/>
        <v>0</v>
      </c>
      <c r="EG21" s="32">
        <f t="shared" si="63"/>
        <v>0</v>
      </c>
      <c r="EH21" s="63">
        <f t="shared" si="64"/>
        <v>0</v>
      </c>
      <c r="EI21" s="63"/>
      <c r="EJ21" s="49"/>
      <c r="EK21" s="49">
        <f t="shared" si="100"/>
        <v>0</v>
      </c>
      <c r="EL21" s="49">
        <f t="shared" si="65"/>
        <v>0</v>
      </c>
      <c r="EM21" s="32">
        <f t="shared" si="66"/>
        <v>0</v>
      </c>
      <c r="EN21" s="63">
        <f t="shared" si="67"/>
        <v>0</v>
      </c>
      <c r="EO21" s="63"/>
      <c r="EP21" s="49"/>
      <c r="EQ21" s="49">
        <f t="shared" si="101"/>
        <v>0</v>
      </c>
      <c r="ER21" s="49">
        <f t="shared" si="68"/>
        <v>0</v>
      </c>
      <c r="ES21" s="32">
        <f t="shared" si="69"/>
        <v>0</v>
      </c>
      <c r="ET21" s="63">
        <f t="shared" si="70"/>
        <v>0</v>
      </c>
      <c r="EU21" s="63"/>
      <c r="EV21" s="49"/>
      <c r="EW21" s="49">
        <f t="shared" si="102"/>
        <v>0</v>
      </c>
      <c r="EX21" s="49">
        <f t="shared" si="71"/>
        <v>0</v>
      </c>
      <c r="EY21" s="32">
        <f t="shared" si="72"/>
        <v>0</v>
      </c>
      <c r="EZ21" s="63">
        <f t="shared" si="73"/>
        <v>0</v>
      </c>
      <c r="FA21" s="63"/>
      <c r="FB21" s="32"/>
      <c r="FC21" s="32">
        <f t="shared" si="103"/>
        <v>0</v>
      </c>
      <c r="FD21" s="32">
        <f t="shared" si="74"/>
        <v>0</v>
      </c>
      <c r="FE21" s="32">
        <f t="shared" si="75"/>
        <v>0</v>
      </c>
      <c r="FF21" s="63">
        <f t="shared" si="76"/>
        <v>0</v>
      </c>
      <c r="FG21" s="63"/>
      <c r="FH21" s="49"/>
      <c r="FI21" s="49">
        <f t="shared" si="104"/>
        <v>0</v>
      </c>
      <c r="FJ21" s="49">
        <f t="shared" si="77"/>
        <v>0</v>
      </c>
      <c r="FK21" s="32">
        <f t="shared" si="78"/>
        <v>0</v>
      </c>
      <c r="FL21" s="63">
        <f t="shared" si="79"/>
        <v>0</v>
      </c>
      <c r="FM21" s="63"/>
      <c r="FN21" s="49"/>
      <c r="FO21" s="32"/>
      <c r="FP21" s="32"/>
      <c r="FQ21" s="32"/>
    </row>
    <row r="22" spans="1:173" s="51" customFormat="1" ht="12.75">
      <c r="A22" s="50">
        <v>46661</v>
      </c>
      <c r="C22" s="34"/>
      <c r="D22" s="34"/>
      <c r="E22" s="34">
        <f t="shared" si="0"/>
        <v>0</v>
      </c>
      <c r="F22" s="34"/>
      <c r="G22" s="34"/>
      <c r="H22" s="49"/>
      <c r="I22" s="49"/>
      <c r="J22" s="49"/>
      <c r="K22" s="49">
        <f t="shared" si="1"/>
        <v>0</v>
      </c>
      <c r="L22" s="49"/>
      <c r="M22" s="34"/>
      <c r="N22" s="49"/>
      <c r="O22" s="49"/>
      <c r="P22" s="39">
        <f t="shared" si="2"/>
        <v>0</v>
      </c>
      <c r="Q22" s="32">
        <f t="shared" si="3"/>
        <v>0</v>
      </c>
      <c r="R22" s="39">
        <f t="shared" si="4"/>
        <v>0</v>
      </c>
      <c r="S22" s="34"/>
      <c r="T22" s="49"/>
      <c r="U22" s="63"/>
      <c r="V22" s="63">
        <f t="shared" si="5"/>
        <v>0</v>
      </c>
      <c r="W22" s="20">
        <f t="shared" si="6"/>
        <v>0</v>
      </c>
      <c r="X22" s="63">
        <f t="shared" si="7"/>
        <v>0</v>
      </c>
      <c r="Y22" s="63"/>
      <c r="Z22" s="49"/>
      <c r="AA22" s="63"/>
      <c r="AB22" s="63">
        <f t="shared" si="8"/>
        <v>0</v>
      </c>
      <c r="AC22" s="20">
        <f t="shared" si="9"/>
        <v>0</v>
      </c>
      <c r="AD22" s="63">
        <f t="shared" si="10"/>
        <v>0</v>
      </c>
      <c r="AE22" s="63"/>
      <c r="AF22" s="49"/>
      <c r="AG22" s="32"/>
      <c r="AH22" s="32">
        <f t="shared" si="11"/>
        <v>0</v>
      </c>
      <c r="AI22" s="32">
        <f t="shared" si="12"/>
        <v>0</v>
      </c>
      <c r="AJ22" s="63">
        <f t="shared" si="13"/>
        <v>0</v>
      </c>
      <c r="AK22" s="63"/>
      <c r="AL22" s="49"/>
      <c r="AM22" s="63"/>
      <c r="AN22" s="63">
        <f t="shared" si="14"/>
        <v>0</v>
      </c>
      <c r="AO22" s="20">
        <f t="shared" si="15"/>
        <v>0</v>
      </c>
      <c r="AP22" s="63">
        <f t="shared" si="16"/>
        <v>0</v>
      </c>
      <c r="AQ22" s="63"/>
      <c r="AR22" s="49"/>
      <c r="AS22" s="63"/>
      <c r="AT22" s="63">
        <f t="shared" si="17"/>
        <v>0</v>
      </c>
      <c r="AU22" s="20">
        <f t="shared" si="18"/>
        <v>0</v>
      </c>
      <c r="AV22" s="63">
        <f t="shared" si="19"/>
        <v>0</v>
      </c>
      <c r="AW22" s="63"/>
      <c r="AX22" s="49"/>
      <c r="AY22" s="63"/>
      <c r="AZ22" s="63">
        <f t="shared" si="20"/>
        <v>0</v>
      </c>
      <c r="BA22" s="20">
        <f t="shared" si="21"/>
        <v>0</v>
      </c>
      <c r="BB22" s="63">
        <f t="shared" si="22"/>
        <v>0</v>
      </c>
      <c r="BC22" s="63"/>
      <c r="BD22" s="49"/>
      <c r="BE22" s="49"/>
      <c r="BF22" s="49">
        <f t="shared" si="23"/>
        <v>0</v>
      </c>
      <c r="BG22" s="32">
        <f t="shared" si="24"/>
        <v>0</v>
      </c>
      <c r="BH22" s="63">
        <f t="shared" si="25"/>
        <v>0</v>
      </c>
      <c r="BI22" s="63"/>
      <c r="BJ22" s="49"/>
      <c r="BK22" s="32"/>
      <c r="BL22" s="32">
        <f t="shared" si="26"/>
        <v>0</v>
      </c>
      <c r="BM22" s="32">
        <f t="shared" si="27"/>
        <v>0</v>
      </c>
      <c r="BN22" s="63">
        <f t="shared" si="28"/>
        <v>0</v>
      </c>
      <c r="BO22" s="63"/>
      <c r="BP22" s="49"/>
      <c r="BQ22" s="49"/>
      <c r="BR22" s="49">
        <f t="shared" si="29"/>
        <v>0</v>
      </c>
      <c r="BS22" s="32">
        <f t="shared" si="30"/>
        <v>0</v>
      </c>
      <c r="BT22" s="63">
        <f t="shared" si="31"/>
        <v>0</v>
      </c>
      <c r="BU22" s="63"/>
      <c r="BV22" s="49"/>
      <c r="BW22" s="49"/>
      <c r="BX22" s="49">
        <f t="shared" si="32"/>
        <v>0</v>
      </c>
      <c r="BY22" s="32">
        <f t="shared" si="33"/>
        <v>0</v>
      </c>
      <c r="BZ22" s="63">
        <f t="shared" si="34"/>
        <v>0</v>
      </c>
      <c r="CA22" s="63"/>
      <c r="CB22" s="49"/>
      <c r="CC22" s="49"/>
      <c r="CD22" s="49">
        <f t="shared" si="35"/>
        <v>0</v>
      </c>
      <c r="CE22" s="32">
        <f t="shared" si="36"/>
        <v>0</v>
      </c>
      <c r="CF22" s="63">
        <f t="shared" si="37"/>
        <v>0</v>
      </c>
      <c r="CG22" s="63"/>
      <c r="CH22" s="49"/>
      <c r="CI22" s="49"/>
      <c r="CJ22" s="49">
        <f t="shared" si="38"/>
        <v>0</v>
      </c>
      <c r="CK22" s="32">
        <f t="shared" si="39"/>
        <v>0</v>
      </c>
      <c r="CL22" s="63">
        <f t="shared" si="40"/>
        <v>0</v>
      </c>
      <c r="CM22" s="63"/>
      <c r="CN22" s="49"/>
      <c r="CO22" s="49"/>
      <c r="CP22" s="49">
        <f t="shared" si="41"/>
        <v>0</v>
      </c>
      <c r="CQ22" s="32">
        <f t="shared" si="42"/>
        <v>0</v>
      </c>
      <c r="CR22" s="63">
        <f t="shared" si="43"/>
        <v>0</v>
      </c>
      <c r="CS22" s="63"/>
      <c r="CT22" s="49"/>
      <c r="CU22" s="32"/>
      <c r="CV22" s="32">
        <f t="shared" si="44"/>
        <v>0</v>
      </c>
      <c r="CW22" s="32">
        <f t="shared" si="45"/>
        <v>0</v>
      </c>
      <c r="CX22" s="63">
        <f t="shared" si="46"/>
        <v>0</v>
      </c>
      <c r="CY22" s="63"/>
      <c r="CZ22" s="49"/>
      <c r="DA22" s="49"/>
      <c r="DB22" s="49">
        <f t="shared" si="47"/>
        <v>0</v>
      </c>
      <c r="DC22" s="32">
        <f t="shared" si="48"/>
        <v>0</v>
      </c>
      <c r="DD22" s="63">
        <f t="shared" si="49"/>
        <v>0</v>
      </c>
      <c r="DE22" s="63"/>
      <c r="DF22" s="49"/>
      <c r="DG22" s="49"/>
      <c r="DH22" s="49">
        <f t="shared" si="50"/>
        <v>0</v>
      </c>
      <c r="DI22" s="32">
        <f t="shared" si="51"/>
        <v>0</v>
      </c>
      <c r="DJ22" s="63">
        <f t="shared" si="52"/>
        <v>0</v>
      </c>
      <c r="DK22" s="63"/>
      <c r="DL22" s="49"/>
      <c r="DM22" s="49"/>
      <c r="DN22" s="49">
        <f t="shared" si="53"/>
        <v>0</v>
      </c>
      <c r="DO22" s="32">
        <f t="shared" si="54"/>
        <v>0</v>
      </c>
      <c r="DP22" s="63">
        <f t="shared" si="55"/>
        <v>0</v>
      </c>
      <c r="DQ22" s="63"/>
      <c r="DR22" s="49"/>
      <c r="DS22" s="49"/>
      <c r="DT22" s="49">
        <f t="shared" si="56"/>
        <v>0</v>
      </c>
      <c r="DU22" s="32">
        <f t="shared" si="57"/>
        <v>0</v>
      </c>
      <c r="DV22" s="63">
        <f t="shared" si="58"/>
        <v>0</v>
      </c>
      <c r="DW22" s="63"/>
      <c r="DX22" s="49"/>
      <c r="DY22" s="49"/>
      <c r="DZ22" s="49">
        <f t="shared" si="59"/>
        <v>0</v>
      </c>
      <c r="EA22" s="32">
        <f t="shared" si="60"/>
        <v>0</v>
      </c>
      <c r="EB22" s="63">
        <f t="shared" si="61"/>
        <v>0</v>
      </c>
      <c r="EC22" s="63"/>
      <c r="ED22" s="49"/>
      <c r="EE22" s="49"/>
      <c r="EF22" s="49">
        <f t="shared" si="62"/>
        <v>0</v>
      </c>
      <c r="EG22" s="32">
        <f t="shared" si="63"/>
        <v>0</v>
      </c>
      <c r="EH22" s="63">
        <f t="shared" si="64"/>
        <v>0</v>
      </c>
      <c r="EI22" s="63"/>
      <c r="EJ22" s="49"/>
      <c r="EK22" s="49"/>
      <c r="EL22" s="49">
        <f t="shared" si="65"/>
        <v>0</v>
      </c>
      <c r="EM22" s="32">
        <f t="shared" si="66"/>
        <v>0</v>
      </c>
      <c r="EN22" s="63">
        <f t="shared" si="67"/>
        <v>0</v>
      </c>
      <c r="EO22" s="63"/>
      <c r="EP22" s="49"/>
      <c r="EQ22" s="49"/>
      <c r="ER22" s="49">
        <f t="shared" si="68"/>
        <v>0</v>
      </c>
      <c r="ES22" s="32">
        <f t="shared" si="69"/>
        <v>0</v>
      </c>
      <c r="ET22" s="63">
        <f t="shared" si="70"/>
        <v>0</v>
      </c>
      <c r="EU22" s="63"/>
      <c r="EV22" s="49"/>
      <c r="EW22" s="49"/>
      <c r="EX22" s="49">
        <f t="shared" si="71"/>
        <v>0</v>
      </c>
      <c r="EY22" s="32">
        <f t="shared" si="72"/>
        <v>0</v>
      </c>
      <c r="EZ22" s="63">
        <f t="shared" si="73"/>
        <v>0</v>
      </c>
      <c r="FA22" s="63"/>
      <c r="FB22" s="32"/>
      <c r="FC22" s="32"/>
      <c r="FD22" s="32">
        <f t="shared" si="74"/>
        <v>0</v>
      </c>
      <c r="FE22" s="32">
        <f t="shared" si="75"/>
        <v>0</v>
      </c>
      <c r="FF22" s="63">
        <f t="shared" si="76"/>
        <v>0</v>
      </c>
      <c r="FG22" s="63"/>
      <c r="FH22" s="49"/>
      <c r="FI22" s="49"/>
      <c r="FJ22" s="49">
        <f t="shared" si="77"/>
        <v>0</v>
      </c>
      <c r="FK22" s="32">
        <f t="shared" si="78"/>
        <v>0</v>
      </c>
      <c r="FL22" s="63">
        <f t="shared" si="79"/>
        <v>0</v>
      </c>
      <c r="FM22" s="63"/>
      <c r="FN22" s="49"/>
      <c r="FO22" s="32"/>
      <c r="FP22" s="32"/>
      <c r="FQ22" s="32"/>
    </row>
    <row r="23" spans="1:173" s="51" customFormat="1" ht="12.75">
      <c r="A23" s="50">
        <v>46844</v>
      </c>
      <c r="C23" s="34"/>
      <c r="D23" s="34"/>
      <c r="E23" s="34">
        <f t="shared" si="0"/>
        <v>0</v>
      </c>
      <c r="F23" s="34"/>
      <c r="G23" s="34"/>
      <c r="H23" s="49"/>
      <c r="I23" s="49"/>
      <c r="J23" s="49"/>
      <c r="K23" s="49">
        <f t="shared" si="1"/>
        <v>0</v>
      </c>
      <c r="L23" s="49"/>
      <c r="M23" s="34"/>
      <c r="N23" s="49"/>
      <c r="O23" s="49">
        <f>U23+AA23+AG23+AM23+AS23+AY23+BE23+BK23+BQ23+CC23+CO23+CU23+DA23+DG23+DM23+EK23+EQ23+EW23+FC23+FI23+FO23+BW23+CI23+DS23+DY23+EE23</f>
        <v>0</v>
      </c>
      <c r="P23" s="39">
        <f t="shared" si="2"/>
        <v>0</v>
      </c>
      <c r="Q23" s="32">
        <f t="shared" si="3"/>
        <v>0</v>
      </c>
      <c r="R23" s="39">
        <f t="shared" si="4"/>
        <v>0</v>
      </c>
      <c r="S23" s="34"/>
      <c r="T23" s="49"/>
      <c r="U23" s="63">
        <f t="shared" si="80"/>
        <v>0</v>
      </c>
      <c r="V23" s="63">
        <f t="shared" si="5"/>
        <v>0</v>
      </c>
      <c r="W23" s="20">
        <f t="shared" si="6"/>
        <v>0</v>
      </c>
      <c r="X23" s="63">
        <f t="shared" si="7"/>
        <v>0</v>
      </c>
      <c r="Y23" s="63"/>
      <c r="Z23" s="49"/>
      <c r="AA23" s="63">
        <f t="shared" si="81"/>
        <v>0</v>
      </c>
      <c r="AB23" s="63">
        <f t="shared" si="8"/>
        <v>0</v>
      </c>
      <c r="AC23" s="20">
        <f t="shared" si="9"/>
        <v>0</v>
      </c>
      <c r="AD23" s="63">
        <f t="shared" si="10"/>
        <v>0</v>
      </c>
      <c r="AE23" s="63"/>
      <c r="AF23" s="49"/>
      <c r="AG23" s="32">
        <f t="shared" si="82"/>
        <v>0</v>
      </c>
      <c r="AH23" s="32">
        <f t="shared" si="11"/>
        <v>0</v>
      </c>
      <c r="AI23" s="32">
        <f t="shared" si="12"/>
        <v>0</v>
      </c>
      <c r="AJ23" s="63">
        <f t="shared" si="13"/>
        <v>0</v>
      </c>
      <c r="AK23" s="63"/>
      <c r="AL23" s="49"/>
      <c r="AM23" s="63">
        <f t="shared" si="83"/>
        <v>0</v>
      </c>
      <c r="AN23" s="63">
        <f t="shared" si="14"/>
        <v>0</v>
      </c>
      <c r="AO23" s="20">
        <f t="shared" si="15"/>
        <v>0</v>
      </c>
      <c r="AP23" s="63">
        <f t="shared" si="16"/>
        <v>0</v>
      </c>
      <c r="AQ23" s="63"/>
      <c r="AR23" s="49"/>
      <c r="AS23" s="63">
        <f t="shared" si="84"/>
        <v>0</v>
      </c>
      <c r="AT23" s="63">
        <f t="shared" si="17"/>
        <v>0</v>
      </c>
      <c r="AU23" s="20">
        <f t="shared" si="18"/>
        <v>0</v>
      </c>
      <c r="AV23" s="63">
        <f t="shared" si="19"/>
        <v>0</v>
      </c>
      <c r="AW23" s="63"/>
      <c r="AX23" s="49"/>
      <c r="AY23" s="63">
        <f t="shared" si="85"/>
        <v>0</v>
      </c>
      <c r="AZ23" s="63">
        <f t="shared" si="20"/>
        <v>0</v>
      </c>
      <c r="BA23" s="20">
        <f t="shared" si="21"/>
        <v>0</v>
      </c>
      <c r="BB23" s="63">
        <f t="shared" si="22"/>
        <v>0</v>
      </c>
      <c r="BC23" s="63"/>
      <c r="BD23" s="49"/>
      <c r="BE23" s="49">
        <f t="shared" si="86"/>
        <v>0</v>
      </c>
      <c r="BF23" s="49">
        <f t="shared" si="23"/>
        <v>0</v>
      </c>
      <c r="BG23" s="32">
        <f t="shared" si="24"/>
        <v>0</v>
      </c>
      <c r="BH23" s="63">
        <f t="shared" si="25"/>
        <v>0</v>
      </c>
      <c r="BI23" s="63"/>
      <c r="BJ23" s="49"/>
      <c r="BK23" s="32">
        <f t="shared" si="87"/>
        <v>0</v>
      </c>
      <c r="BL23" s="32">
        <f t="shared" si="26"/>
        <v>0</v>
      </c>
      <c r="BM23" s="32">
        <f t="shared" si="27"/>
        <v>0</v>
      </c>
      <c r="BN23" s="63">
        <f t="shared" si="28"/>
        <v>0</v>
      </c>
      <c r="BO23" s="63"/>
      <c r="BP23" s="49"/>
      <c r="BQ23" s="49">
        <f t="shared" si="88"/>
        <v>0</v>
      </c>
      <c r="BR23" s="49">
        <f t="shared" si="29"/>
        <v>0</v>
      </c>
      <c r="BS23" s="32">
        <f t="shared" si="30"/>
        <v>0</v>
      </c>
      <c r="BT23" s="63">
        <f t="shared" si="31"/>
        <v>0</v>
      </c>
      <c r="BU23" s="63"/>
      <c r="BV23" s="49"/>
      <c r="BW23" s="49">
        <f t="shared" si="89"/>
        <v>0</v>
      </c>
      <c r="BX23" s="49">
        <f t="shared" si="32"/>
        <v>0</v>
      </c>
      <c r="BY23" s="32">
        <f t="shared" si="33"/>
        <v>0</v>
      </c>
      <c r="BZ23" s="63">
        <f t="shared" si="34"/>
        <v>0</v>
      </c>
      <c r="CA23" s="63"/>
      <c r="CB23" s="49"/>
      <c r="CC23" s="49">
        <f t="shared" si="90"/>
        <v>0</v>
      </c>
      <c r="CD23" s="49">
        <f t="shared" si="35"/>
        <v>0</v>
      </c>
      <c r="CE23" s="32">
        <f t="shared" si="36"/>
        <v>0</v>
      </c>
      <c r="CF23" s="63">
        <f t="shared" si="37"/>
        <v>0</v>
      </c>
      <c r="CG23" s="63"/>
      <c r="CH23" s="49"/>
      <c r="CI23" s="49">
        <f t="shared" si="91"/>
        <v>0</v>
      </c>
      <c r="CJ23" s="49">
        <f t="shared" si="38"/>
        <v>0</v>
      </c>
      <c r="CK23" s="32">
        <f t="shared" si="39"/>
        <v>0</v>
      </c>
      <c r="CL23" s="63">
        <f t="shared" si="40"/>
        <v>0</v>
      </c>
      <c r="CM23" s="63"/>
      <c r="CN23" s="49"/>
      <c r="CO23" s="49">
        <f t="shared" si="92"/>
        <v>0</v>
      </c>
      <c r="CP23" s="49">
        <f t="shared" si="41"/>
        <v>0</v>
      </c>
      <c r="CQ23" s="32">
        <f t="shared" si="42"/>
        <v>0</v>
      </c>
      <c r="CR23" s="63">
        <f t="shared" si="43"/>
        <v>0</v>
      </c>
      <c r="CS23" s="63"/>
      <c r="CT23" s="49"/>
      <c r="CU23" s="32">
        <f t="shared" si="93"/>
        <v>0</v>
      </c>
      <c r="CV23" s="32">
        <f t="shared" si="44"/>
        <v>0</v>
      </c>
      <c r="CW23" s="32">
        <f t="shared" si="45"/>
        <v>0</v>
      </c>
      <c r="CX23" s="63">
        <f t="shared" si="46"/>
        <v>0</v>
      </c>
      <c r="CY23" s="63"/>
      <c r="CZ23" s="49"/>
      <c r="DA23" s="49">
        <f t="shared" si="94"/>
        <v>0</v>
      </c>
      <c r="DB23" s="49">
        <f t="shared" si="47"/>
        <v>0</v>
      </c>
      <c r="DC23" s="32">
        <f t="shared" si="48"/>
        <v>0</v>
      </c>
      <c r="DD23" s="63">
        <f t="shared" si="49"/>
        <v>0</v>
      </c>
      <c r="DE23" s="63"/>
      <c r="DF23" s="49"/>
      <c r="DG23" s="49">
        <f t="shared" si="95"/>
        <v>0</v>
      </c>
      <c r="DH23" s="49">
        <f t="shared" si="50"/>
        <v>0</v>
      </c>
      <c r="DI23" s="32">
        <f t="shared" si="51"/>
        <v>0</v>
      </c>
      <c r="DJ23" s="63">
        <f t="shared" si="52"/>
        <v>0</v>
      </c>
      <c r="DK23" s="63"/>
      <c r="DL23" s="49"/>
      <c r="DM23" s="49">
        <f t="shared" si="96"/>
        <v>0</v>
      </c>
      <c r="DN23" s="49">
        <f t="shared" si="53"/>
        <v>0</v>
      </c>
      <c r="DO23" s="32">
        <f t="shared" si="54"/>
        <v>0</v>
      </c>
      <c r="DP23" s="63">
        <f t="shared" si="55"/>
        <v>0</v>
      </c>
      <c r="DQ23" s="63"/>
      <c r="DR23" s="49"/>
      <c r="DS23" s="49">
        <f t="shared" si="97"/>
        <v>0</v>
      </c>
      <c r="DT23" s="49">
        <f t="shared" si="56"/>
        <v>0</v>
      </c>
      <c r="DU23" s="32">
        <f t="shared" si="57"/>
        <v>0</v>
      </c>
      <c r="DV23" s="63">
        <f t="shared" si="58"/>
        <v>0</v>
      </c>
      <c r="DW23" s="63"/>
      <c r="DX23" s="49"/>
      <c r="DY23" s="49">
        <f t="shared" si="98"/>
        <v>0</v>
      </c>
      <c r="DZ23" s="49">
        <f t="shared" si="59"/>
        <v>0</v>
      </c>
      <c r="EA23" s="32">
        <f t="shared" si="60"/>
        <v>0</v>
      </c>
      <c r="EB23" s="63">
        <f t="shared" si="61"/>
        <v>0</v>
      </c>
      <c r="EC23" s="63"/>
      <c r="ED23" s="49"/>
      <c r="EE23" s="49">
        <f t="shared" si="99"/>
        <v>0</v>
      </c>
      <c r="EF23" s="49">
        <f t="shared" si="62"/>
        <v>0</v>
      </c>
      <c r="EG23" s="32">
        <f t="shared" si="63"/>
        <v>0</v>
      </c>
      <c r="EH23" s="63">
        <f t="shared" si="64"/>
        <v>0</v>
      </c>
      <c r="EI23" s="63"/>
      <c r="EJ23" s="49"/>
      <c r="EK23" s="49">
        <f t="shared" si="100"/>
        <v>0</v>
      </c>
      <c r="EL23" s="49">
        <f t="shared" si="65"/>
        <v>0</v>
      </c>
      <c r="EM23" s="32">
        <f t="shared" si="66"/>
        <v>0</v>
      </c>
      <c r="EN23" s="63">
        <f t="shared" si="67"/>
        <v>0</v>
      </c>
      <c r="EO23" s="63"/>
      <c r="EP23" s="49"/>
      <c r="EQ23" s="49">
        <f t="shared" si="101"/>
        <v>0</v>
      </c>
      <c r="ER23" s="49">
        <f t="shared" si="68"/>
        <v>0</v>
      </c>
      <c r="ES23" s="32">
        <f t="shared" si="69"/>
        <v>0</v>
      </c>
      <c r="ET23" s="63">
        <f t="shared" si="70"/>
        <v>0</v>
      </c>
      <c r="EU23" s="63"/>
      <c r="EV23" s="49"/>
      <c r="EW23" s="49">
        <f t="shared" si="102"/>
        <v>0</v>
      </c>
      <c r="EX23" s="49">
        <f t="shared" si="71"/>
        <v>0</v>
      </c>
      <c r="EY23" s="32">
        <f t="shared" si="72"/>
        <v>0</v>
      </c>
      <c r="EZ23" s="63">
        <f t="shared" si="73"/>
        <v>0</v>
      </c>
      <c r="FA23" s="63"/>
      <c r="FB23" s="32"/>
      <c r="FC23" s="32">
        <f t="shared" si="103"/>
        <v>0</v>
      </c>
      <c r="FD23" s="32">
        <f t="shared" si="74"/>
        <v>0</v>
      </c>
      <c r="FE23" s="32">
        <f t="shared" si="75"/>
        <v>0</v>
      </c>
      <c r="FF23" s="63">
        <f t="shared" si="76"/>
        <v>0</v>
      </c>
      <c r="FG23" s="63"/>
      <c r="FH23" s="49"/>
      <c r="FI23" s="49">
        <f t="shared" si="104"/>
        <v>0</v>
      </c>
      <c r="FJ23" s="49">
        <f t="shared" si="77"/>
        <v>0</v>
      </c>
      <c r="FK23" s="32">
        <f t="shared" si="78"/>
        <v>0</v>
      </c>
      <c r="FL23" s="63">
        <f t="shared" si="79"/>
        <v>0</v>
      </c>
      <c r="FM23" s="63"/>
      <c r="FN23" s="49"/>
      <c r="FO23" s="32"/>
      <c r="FP23" s="32"/>
      <c r="FQ23" s="32"/>
    </row>
    <row r="24" spans="1:173" s="51" customFormat="1" ht="12.75">
      <c r="A24" s="50">
        <v>47027</v>
      </c>
      <c r="C24" s="34"/>
      <c r="D24" s="34"/>
      <c r="E24" s="34">
        <f t="shared" si="0"/>
        <v>0</v>
      </c>
      <c r="F24" s="34"/>
      <c r="G24" s="34"/>
      <c r="H24" s="49"/>
      <c r="I24" s="49"/>
      <c r="J24" s="49"/>
      <c r="K24" s="49">
        <f t="shared" si="1"/>
        <v>0</v>
      </c>
      <c r="L24" s="49"/>
      <c r="M24" s="34"/>
      <c r="N24" s="49"/>
      <c r="O24" s="49"/>
      <c r="P24" s="39">
        <f t="shared" si="2"/>
        <v>0</v>
      </c>
      <c r="Q24" s="32">
        <f t="shared" si="3"/>
        <v>0</v>
      </c>
      <c r="R24" s="39">
        <f t="shared" si="4"/>
        <v>0</v>
      </c>
      <c r="S24" s="34"/>
      <c r="T24" s="49"/>
      <c r="U24" s="63"/>
      <c r="V24" s="63">
        <f t="shared" si="5"/>
        <v>0</v>
      </c>
      <c r="W24" s="20">
        <f t="shared" si="6"/>
        <v>0</v>
      </c>
      <c r="X24" s="63">
        <f t="shared" si="7"/>
        <v>0</v>
      </c>
      <c r="Y24" s="63"/>
      <c r="Z24" s="49"/>
      <c r="AA24" s="63"/>
      <c r="AB24" s="63">
        <f t="shared" si="8"/>
        <v>0</v>
      </c>
      <c r="AC24" s="20">
        <f t="shared" si="9"/>
        <v>0</v>
      </c>
      <c r="AD24" s="63">
        <f t="shared" si="10"/>
        <v>0</v>
      </c>
      <c r="AE24" s="63"/>
      <c r="AF24" s="49"/>
      <c r="AG24" s="32"/>
      <c r="AH24" s="32">
        <f t="shared" si="11"/>
        <v>0</v>
      </c>
      <c r="AI24" s="32">
        <f t="shared" si="12"/>
        <v>0</v>
      </c>
      <c r="AJ24" s="63">
        <f t="shared" si="13"/>
        <v>0</v>
      </c>
      <c r="AK24" s="63"/>
      <c r="AL24" s="49"/>
      <c r="AM24" s="63"/>
      <c r="AN24" s="63">
        <f t="shared" si="14"/>
        <v>0</v>
      </c>
      <c r="AO24" s="20">
        <f t="shared" si="15"/>
        <v>0</v>
      </c>
      <c r="AP24" s="63">
        <f t="shared" si="16"/>
        <v>0</v>
      </c>
      <c r="AQ24" s="63"/>
      <c r="AR24" s="49"/>
      <c r="AS24" s="63"/>
      <c r="AT24" s="63">
        <f t="shared" si="17"/>
        <v>0</v>
      </c>
      <c r="AU24" s="20">
        <f t="shared" si="18"/>
        <v>0</v>
      </c>
      <c r="AV24" s="63">
        <f t="shared" si="19"/>
        <v>0</v>
      </c>
      <c r="AW24" s="63"/>
      <c r="AX24" s="49"/>
      <c r="AY24" s="63"/>
      <c r="AZ24" s="63">
        <f t="shared" si="20"/>
        <v>0</v>
      </c>
      <c r="BA24" s="20">
        <f t="shared" si="21"/>
        <v>0</v>
      </c>
      <c r="BB24" s="63">
        <f t="shared" si="22"/>
        <v>0</v>
      </c>
      <c r="BC24" s="63"/>
      <c r="BD24" s="49"/>
      <c r="BE24" s="49"/>
      <c r="BF24" s="49">
        <f t="shared" si="23"/>
        <v>0</v>
      </c>
      <c r="BG24" s="32">
        <f t="shared" si="24"/>
        <v>0</v>
      </c>
      <c r="BH24" s="63">
        <f t="shared" si="25"/>
        <v>0</v>
      </c>
      <c r="BI24" s="63"/>
      <c r="BJ24" s="49"/>
      <c r="BK24" s="32"/>
      <c r="BL24" s="32">
        <f t="shared" si="26"/>
        <v>0</v>
      </c>
      <c r="BM24" s="32">
        <f t="shared" si="27"/>
        <v>0</v>
      </c>
      <c r="BN24" s="63">
        <f t="shared" si="28"/>
        <v>0</v>
      </c>
      <c r="BO24" s="63"/>
      <c r="BP24" s="49"/>
      <c r="BQ24" s="49"/>
      <c r="BR24" s="49">
        <f t="shared" si="29"/>
        <v>0</v>
      </c>
      <c r="BS24" s="32">
        <f t="shared" si="30"/>
        <v>0</v>
      </c>
      <c r="BT24" s="63">
        <f t="shared" si="31"/>
        <v>0</v>
      </c>
      <c r="BU24" s="63"/>
      <c r="BV24" s="49"/>
      <c r="BW24" s="49"/>
      <c r="BX24" s="49">
        <f t="shared" si="32"/>
        <v>0</v>
      </c>
      <c r="BY24" s="32">
        <f t="shared" si="33"/>
        <v>0</v>
      </c>
      <c r="BZ24" s="63">
        <f t="shared" si="34"/>
        <v>0</v>
      </c>
      <c r="CA24" s="63"/>
      <c r="CB24" s="49"/>
      <c r="CC24" s="49"/>
      <c r="CD24" s="49">
        <f t="shared" si="35"/>
        <v>0</v>
      </c>
      <c r="CE24" s="32">
        <f t="shared" si="36"/>
        <v>0</v>
      </c>
      <c r="CF24" s="63">
        <f t="shared" si="37"/>
        <v>0</v>
      </c>
      <c r="CG24" s="63"/>
      <c r="CH24" s="49"/>
      <c r="CI24" s="49"/>
      <c r="CJ24" s="49">
        <f t="shared" si="38"/>
        <v>0</v>
      </c>
      <c r="CK24" s="32">
        <f t="shared" si="39"/>
        <v>0</v>
      </c>
      <c r="CL24" s="63">
        <f t="shared" si="40"/>
        <v>0</v>
      </c>
      <c r="CM24" s="63"/>
      <c r="CN24" s="49"/>
      <c r="CO24" s="49"/>
      <c r="CP24" s="49">
        <f t="shared" si="41"/>
        <v>0</v>
      </c>
      <c r="CQ24" s="32">
        <f t="shared" si="42"/>
        <v>0</v>
      </c>
      <c r="CR24" s="63">
        <f t="shared" si="43"/>
        <v>0</v>
      </c>
      <c r="CS24" s="63"/>
      <c r="CT24" s="49"/>
      <c r="CU24" s="32"/>
      <c r="CV24" s="32">
        <f t="shared" si="44"/>
        <v>0</v>
      </c>
      <c r="CW24" s="32">
        <f t="shared" si="45"/>
        <v>0</v>
      </c>
      <c r="CX24" s="63">
        <f t="shared" si="46"/>
        <v>0</v>
      </c>
      <c r="CY24" s="63"/>
      <c r="CZ24" s="49"/>
      <c r="DA24" s="49"/>
      <c r="DB24" s="49">
        <f t="shared" si="47"/>
        <v>0</v>
      </c>
      <c r="DC24" s="32">
        <f t="shared" si="48"/>
        <v>0</v>
      </c>
      <c r="DD24" s="63">
        <f t="shared" si="49"/>
        <v>0</v>
      </c>
      <c r="DE24" s="63"/>
      <c r="DF24" s="49"/>
      <c r="DG24" s="49"/>
      <c r="DH24" s="49">
        <f t="shared" si="50"/>
        <v>0</v>
      </c>
      <c r="DI24" s="32">
        <f t="shared" si="51"/>
        <v>0</v>
      </c>
      <c r="DJ24" s="63">
        <f t="shared" si="52"/>
        <v>0</v>
      </c>
      <c r="DK24" s="63"/>
      <c r="DL24" s="49"/>
      <c r="DM24" s="49"/>
      <c r="DN24" s="49">
        <f t="shared" si="53"/>
        <v>0</v>
      </c>
      <c r="DO24" s="32">
        <f t="shared" si="54"/>
        <v>0</v>
      </c>
      <c r="DP24" s="63">
        <f t="shared" si="55"/>
        <v>0</v>
      </c>
      <c r="DQ24" s="63"/>
      <c r="DR24" s="49"/>
      <c r="DS24" s="49"/>
      <c r="DT24" s="49">
        <f t="shared" si="56"/>
        <v>0</v>
      </c>
      <c r="DU24" s="32">
        <f t="shared" si="57"/>
        <v>0</v>
      </c>
      <c r="DV24" s="63">
        <f t="shared" si="58"/>
        <v>0</v>
      </c>
      <c r="DW24" s="63"/>
      <c r="DX24" s="49"/>
      <c r="DY24" s="49"/>
      <c r="DZ24" s="49">
        <f t="shared" si="59"/>
        <v>0</v>
      </c>
      <c r="EA24" s="32">
        <f t="shared" si="60"/>
        <v>0</v>
      </c>
      <c r="EB24" s="63">
        <f t="shared" si="61"/>
        <v>0</v>
      </c>
      <c r="EC24" s="63"/>
      <c r="ED24" s="49"/>
      <c r="EE24" s="49"/>
      <c r="EF24" s="49">
        <f t="shared" si="62"/>
        <v>0</v>
      </c>
      <c r="EG24" s="32">
        <f t="shared" si="63"/>
        <v>0</v>
      </c>
      <c r="EH24" s="63">
        <f t="shared" si="64"/>
        <v>0</v>
      </c>
      <c r="EI24" s="63"/>
      <c r="EJ24" s="49"/>
      <c r="EK24" s="49"/>
      <c r="EL24" s="49">
        <f t="shared" si="65"/>
        <v>0</v>
      </c>
      <c r="EM24" s="32">
        <f t="shared" si="66"/>
        <v>0</v>
      </c>
      <c r="EN24" s="63">
        <f t="shared" si="67"/>
        <v>0</v>
      </c>
      <c r="EO24" s="63"/>
      <c r="EP24" s="49"/>
      <c r="EQ24" s="49"/>
      <c r="ER24" s="49">
        <f t="shared" si="68"/>
        <v>0</v>
      </c>
      <c r="ES24" s="32">
        <f t="shared" si="69"/>
        <v>0</v>
      </c>
      <c r="ET24" s="63">
        <f t="shared" si="70"/>
        <v>0</v>
      </c>
      <c r="EU24" s="63"/>
      <c r="EV24" s="49"/>
      <c r="EW24" s="49"/>
      <c r="EX24" s="49">
        <f t="shared" si="71"/>
        <v>0</v>
      </c>
      <c r="EY24" s="32">
        <f t="shared" si="72"/>
        <v>0</v>
      </c>
      <c r="EZ24" s="63">
        <f t="shared" si="73"/>
        <v>0</v>
      </c>
      <c r="FA24" s="63"/>
      <c r="FB24" s="32"/>
      <c r="FC24" s="32"/>
      <c r="FD24" s="32">
        <f t="shared" si="74"/>
        <v>0</v>
      </c>
      <c r="FE24" s="32">
        <f t="shared" si="75"/>
        <v>0</v>
      </c>
      <c r="FF24" s="63">
        <f t="shared" si="76"/>
        <v>0</v>
      </c>
      <c r="FG24" s="63"/>
      <c r="FH24" s="49"/>
      <c r="FI24" s="49"/>
      <c r="FJ24" s="49">
        <f t="shared" si="77"/>
        <v>0</v>
      </c>
      <c r="FK24" s="32">
        <f t="shared" si="78"/>
        <v>0</v>
      </c>
      <c r="FL24" s="63">
        <f t="shared" si="79"/>
        <v>0</v>
      </c>
      <c r="FM24" s="63"/>
      <c r="FN24" s="49"/>
      <c r="FO24" s="32"/>
      <c r="FP24" s="32"/>
      <c r="FQ24" s="32"/>
    </row>
    <row r="25" spans="1:173" s="51" customFormat="1" ht="12.75">
      <c r="A25" s="50">
        <v>47209</v>
      </c>
      <c r="C25" s="34"/>
      <c r="D25" s="34"/>
      <c r="E25" s="34">
        <f t="shared" si="0"/>
        <v>0</v>
      </c>
      <c r="F25" s="34"/>
      <c r="G25" s="34"/>
      <c r="H25" s="49"/>
      <c r="I25" s="49"/>
      <c r="J25" s="49"/>
      <c r="K25" s="49">
        <f t="shared" si="1"/>
        <v>0</v>
      </c>
      <c r="L25" s="49"/>
      <c r="M25" s="34"/>
      <c r="N25" s="49"/>
      <c r="O25" s="49">
        <f>U25+AA25+AG25+AM25+AS25+AY25+BE25+BK25+BQ25+CC25+CO25+CU25+DA25+DG25+DM25+EK25+EQ25+EW25+FC25+FI25+FO25+BW25+CI25+DS25+DY25+EE25</f>
        <v>0</v>
      </c>
      <c r="P25" s="39">
        <f t="shared" si="2"/>
        <v>0</v>
      </c>
      <c r="Q25" s="32">
        <f t="shared" si="3"/>
        <v>0</v>
      </c>
      <c r="R25" s="39">
        <f t="shared" si="4"/>
        <v>0</v>
      </c>
      <c r="S25" s="34"/>
      <c r="T25" s="49"/>
      <c r="U25" s="63">
        <f t="shared" si="80"/>
        <v>0</v>
      </c>
      <c r="V25" s="63">
        <f t="shared" si="5"/>
        <v>0</v>
      </c>
      <c r="W25" s="20">
        <f t="shared" si="6"/>
        <v>0</v>
      </c>
      <c r="X25" s="63">
        <f t="shared" si="7"/>
        <v>0</v>
      </c>
      <c r="Y25" s="63"/>
      <c r="Z25" s="49"/>
      <c r="AA25" s="63">
        <f t="shared" si="81"/>
        <v>0</v>
      </c>
      <c r="AB25" s="63">
        <f t="shared" si="8"/>
        <v>0</v>
      </c>
      <c r="AC25" s="20">
        <f t="shared" si="9"/>
        <v>0</v>
      </c>
      <c r="AD25" s="63">
        <f t="shared" si="10"/>
        <v>0</v>
      </c>
      <c r="AE25" s="63"/>
      <c r="AF25" s="49"/>
      <c r="AG25" s="32">
        <f t="shared" si="82"/>
        <v>0</v>
      </c>
      <c r="AH25" s="32">
        <f t="shared" si="11"/>
        <v>0</v>
      </c>
      <c r="AI25" s="32">
        <f t="shared" si="12"/>
        <v>0</v>
      </c>
      <c r="AJ25" s="63">
        <f t="shared" si="13"/>
        <v>0</v>
      </c>
      <c r="AK25" s="63"/>
      <c r="AL25" s="49"/>
      <c r="AM25" s="63">
        <f t="shared" si="83"/>
        <v>0</v>
      </c>
      <c r="AN25" s="63">
        <f t="shared" si="14"/>
        <v>0</v>
      </c>
      <c r="AO25" s="20">
        <f t="shared" si="15"/>
        <v>0</v>
      </c>
      <c r="AP25" s="63">
        <f t="shared" si="16"/>
        <v>0</v>
      </c>
      <c r="AQ25" s="63"/>
      <c r="AR25" s="49"/>
      <c r="AS25" s="63">
        <f t="shared" si="84"/>
        <v>0</v>
      </c>
      <c r="AT25" s="63">
        <f t="shared" si="17"/>
        <v>0</v>
      </c>
      <c r="AU25" s="20">
        <f t="shared" si="18"/>
        <v>0</v>
      </c>
      <c r="AV25" s="63">
        <f t="shared" si="19"/>
        <v>0</v>
      </c>
      <c r="AW25" s="63"/>
      <c r="AX25" s="49"/>
      <c r="AY25" s="63">
        <f t="shared" si="85"/>
        <v>0</v>
      </c>
      <c r="AZ25" s="63">
        <f t="shared" si="20"/>
        <v>0</v>
      </c>
      <c r="BA25" s="20">
        <f t="shared" si="21"/>
        <v>0</v>
      </c>
      <c r="BB25" s="63">
        <f t="shared" si="22"/>
        <v>0</v>
      </c>
      <c r="BC25" s="63"/>
      <c r="BD25" s="49"/>
      <c r="BE25" s="49">
        <f t="shared" si="86"/>
        <v>0</v>
      </c>
      <c r="BF25" s="49">
        <f t="shared" si="23"/>
        <v>0</v>
      </c>
      <c r="BG25" s="32">
        <f t="shared" si="24"/>
        <v>0</v>
      </c>
      <c r="BH25" s="63">
        <f t="shared" si="25"/>
        <v>0</v>
      </c>
      <c r="BI25" s="63"/>
      <c r="BJ25" s="49"/>
      <c r="BK25" s="32">
        <f t="shared" si="87"/>
        <v>0</v>
      </c>
      <c r="BL25" s="32">
        <f t="shared" si="26"/>
        <v>0</v>
      </c>
      <c r="BM25" s="32">
        <f t="shared" si="27"/>
        <v>0</v>
      </c>
      <c r="BN25" s="63">
        <f t="shared" si="28"/>
        <v>0</v>
      </c>
      <c r="BO25" s="63"/>
      <c r="BP25" s="49"/>
      <c r="BQ25" s="49">
        <f t="shared" si="88"/>
        <v>0</v>
      </c>
      <c r="BR25" s="49">
        <f t="shared" si="29"/>
        <v>0</v>
      </c>
      <c r="BS25" s="32">
        <f t="shared" si="30"/>
        <v>0</v>
      </c>
      <c r="BT25" s="63">
        <f t="shared" si="31"/>
        <v>0</v>
      </c>
      <c r="BU25" s="63"/>
      <c r="BV25" s="49"/>
      <c r="BW25" s="49">
        <f t="shared" si="89"/>
        <v>0</v>
      </c>
      <c r="BX25" s="49">
        <f t="shared" si="32"/>
        <v>0</v>
      </c>
      <c r="BY25" s="32">
        <f t="shared" si="33"/>
        <v>0</v>
      </c>
      <c r="BZ25" s="63">
        <f t="shared" si="34"/>
        <v>0</v>
      </c>
      <c r="CA25" s="63"/>
      <c r="CB25" s="49"/>
      <c r="CC25" s="49">
        <f t="shared" si="90"/>
        <v>0</v>
      </c>
      <c r="CD25" s="49">
        <f t="shared" si="35"/>
        <v>0</v>
      </c>
      <c r="CE25" s="32">
        <f t="shared" si="36"/>
        <v>0</v>
      </c>
      <c r="CF25" s="63">
        <f t="shared" si="37"/>
        <v>0</v>
      </c>
      <c r="CG25" s="63"/>
      <c r="CH25" s="49"/>
      <c r="CI25" s="49">
        <f t="shared" si="91"/>
        <v>0</v>
      </c>
      <c r="CJ25" s="49">
        <f t="shared" si="38"/>
        <v>0</v>
      </c>
      <c r="CK25" s="32">
        <f t="shared" si="39"/>
        <v>0</v>
      </c>
      <c r="CL25" s="63">
        <f t="shared" si="40"/>
        <v>0</v>
      </c>
      <c r="CM25" s="63"/>
      <c r="CN25" s="49"/>
      <c r="CO25" s="49">
        <f t="shared" si="92"/>
        <v>0</v>
      </c>
      <c r="CP25" s="49">
        <f t="shared" si="41"/>
        <v>0</v>
      </c>
      <c r="CQ25" s="32">
        <f t="shared" si="42"/>
        <v>0</v>
      </c>
      <c r="CR25" s="63">
        <f t="shared" si="43"/>
        <v>0</v>
      </c>
      <c r="CS25" s="63"/>
      <c r="CT25" s="49"/>
      <c r="CU25" s="32">
        <f t="shared" si="93"/>
        <v>0</v>
      </c>
      <c r="CV25" s="32">
        <f t="shared" si="44"/>
        <v>0</v>
      </c>
      <c r="CW25" s="32">
        <f t="shared" si="45"/>
        <v>0</v>
      </c>
      <c r="CX25" s="63">
        <f t="shared" si="46"/>
        <v>0</v>
      </c>
      <c r="CY25" s="63"/>
      <c r="CZ25" s="49"/>
      <c r="DA25" s="49">
        <f t="shared" si="94"/>
        <v>0</v>
      </c>
      <c r="DB25" s="49">
        <f t="shared" si="47"/>
        <v>0</v>
      </c>
      <c r="DC25" s="32">
        <f t="shared" si="48"/>
        <v>0</v>
      </c>
      <c r="DD25" s="63">
        <f t="shared" si="49"/>
        <v>0</v>
      </c>
      <c r="DE25" s="63"/>
      <c r="DF25" s="49"/>
      <c r="DG25" s="49">
        <f t="shared" si="95"/>
        <v>0</v>
      </c>
      <c r="DH25" s="49">
        <f t="shared" si="50"/>
        <v>0</v>
      </c>
      <c r="DI25" s="32">
        <f t="shared" si="51"/>
        <v>0</v>
      </c>
      <c r="DJ25" s="63">
        <f t="shared" si="52"/>
        <v>0</v>
      </c>
      <c r="DK25" s="63"/>
      <c r="DL25" s="49"/>
      <c r="DM25" s="49">
        <f t="shared" si="96"/>
        <v>0</v>
      </c>
      <c r="DN25" s="49">
        <f t="shared" si="53"/>
        <v>0</v>
      </c>
      <c r="DO25" s="32">
        <f t="shared" si="54"/>
        <v>0</v>
      </c>
      <c r="DP25" s="63">
        <f t="shared" si="55"/>
        <v>0</v>
      </c>
      <c r="DQ25" s="63"/>
      <c r="DR25" s="49"/>
      <c r="DS25" s="49">
        <f t="shared" si="97"/>
        <v>0</v>
      </c>
      <c r="DT25" s="49">
        <f t="shared" si="56"/>
        <v>0</v>
      </c>
      <c r="DU25" s="32">
        <f t="shared" si="57"/>
        <v>0</v>
      </c>
      <c r="DV25" s="63">
        <f t="shared" si="58"/>
        <v>0</v>
      </c>
      <c r="DW25" s="63"/>
      <c r="DX25" s="49"/>
      <c r="DY25" s="49">
        <f t="shared" si="98"/>
        <v>0</v>
      </c>
      <c r="DZ25" s="49">
        <f t="shared" si="59"/>
        <v>0</v>
      </c>
      <c r="EA25" s="32">
        <f t="shared" si="60"/>
        <v>0</v>
      </c>
      <c r="EB25" s="63">
        <f t="shared" si="61"/>
        <v>0</v>
      </c>
      <c r="EC25" s="63"/>
      <c r="ED25" s="49"/>
      <c r="EE25" s="49">
        <f t="shared" si="99"/>
        <v>0</v>
      </c>
      <c r="EF25" s="49">
        <f t="shared" si="62"/>
        <v>0</v>
      </c>
      <c r="EG25" s="32">
        <f t="shared" si="63"/>
        <v>0</v>
      </c>
      <c r="EH25" s="63">
        <f t="shared" si="64"/>
        <v>0</v>
      </c>
      <c r="EI25" s="63"/>
      <c r="EJ25" s="49"/>
      <c r="EK25" s="49">
        <f t="shared" si="100"/>
        <v>0</v>
      </c>
      <c r="EL25" s="49">
        <f t="shared" si="65"/>
        <v>0</v>
      </c>
      <c r="EM25" s="32">
        <f t="shared" si="66"/>
        <v>0</v>
      </c>
      <c r="EN25" s="63">
        <f t="shared" si="67"/>
        <v>0</v>
      </c>
      <c r="EO25" s="63"/>
      <c r="EP25" s="49"/>
      <c r="EQ25" s="49">
        <f t="shared" si="101"/>
        <v>0</v>
      </c>
      <c r="ER25" s="49">
        <f t="shared" si="68"/>
        <v>0</v>
      </c>
      <c r="ES25" s="32">
        <f t="shared" si="69"/>
        <v>0</v>
      </c>
      <c r="ET25" s="63">
        <f t="shared" si="70"/>
        <v>0</v>
      </c>
      <c r="EU25" s="63"/>
      <c r="EV25" s="49"/>
      <c r="EW25" s="49">
        <f t="shared" si="102"/>
        <v>0</v>
      </c>
      <c r="EX25" s="49">
        <f t="shared" si="71"/>
        <v>0</v>
      </c>
      <c r="EY25" s="32">
        <f t="shared" si="72"/>
        <v>0</v>
      </c>
      <c r="EZ25" s="63">
        <f t="shared" si="73"/>
        <v>0</v>
      </c>
      <c r="FA25" s="63"/>
      <c r="FB25" s="32"/>
      <c r="FC25" s="32">
        <f t="shared" si="103"/>
        <v>0</v>
      </c>
      <c r="FD25" s="32">
        <f t="shared" si="74"/>
        <v>0</v>
      </c>
      <c r="FE25" s="32">
        <f t="shared" si="75"/>
        <v>0</v>
      </c>
      <c r="FF25" s="63">
        <f t="shared" si="76"/>
        <v>0</v>
      </c>
      <c r="FG25" s="63"/>
      <c r="FH25" s="49"/>
      <c r="FI25" s="49">
        <f t="shared" si="104"/>
        <v>0</v>
      </c>
      <c r="FJ25" s="49">
        <f t="shared" si="77"/>
        <v>0</v>
      </c>
      <c r="FK25" s="32">
        <f t="shared" si="78"/>
        <v>0</v>
      </c>
      <c r="FL25" s="63">
        <f t="shared" si="79"/>
        <v>0</v>
      </c>
      <c r="FM25" s="63"/>
      <c r="FN25" s="49"/>
      <c r="FO25" s="32"/>
      <c r="FP25" s="32"/>
      <c r="FQ25" s="32"/>
    </row>
    <row r="26" spans="3:173" ht="12.75">
      <c r="C26" s="39"/>
      <c r="D26" s="39"/>
      <c r="E26" s="39"/>
      <c r="F26" s="39"/>
      <c r="G26" s="39"/>
      <c r="M26" s="39"/>
      <c r="S26" s="39"/>
      <c r="U26" s="20"/>
      <c r="V26" s="20"/>
      <c r="W26" s="20"/>
      <c r="X26" s="20"/>
      <c r="Y26" s="20"/>
      <c r="AA26" s="20"/>
      <c r="AB26" s="20"/>
      <c r="AC26" s="20"/>
      <c r="AD26" s="20"/>
      <c r="AE26" s="20"/>
      <c r="AJ26" s="20"/>
      <c r="AK26" s="20"/>
      <c r="AM26" s="20"/>
      <c r="AN26" s="20"/>
      <c r="AO26" s="20"/>
      <c r="AP26" s="20"/>
      <c r="AQ26" s="20"/>
      <c r="AS26" s="20"/>
      <c r="AT26" s="20"/>
      <c r="AU26" s="20"/>
      <c r="AV26" s="20"/>
      <c r="AW26" s="20"/>
      <c r="AX26" s="32"/>
      <c r="AY26" s="20"/>
      <c r="AZ26" s="20"/>
      <c r="BA26" s="20"/>
      <c r="BB26" s="20"/>
      <c r="BC26" s="20"/>
      <c r="BD26" s="32"/>
      <c r="BE26" s="32"/>
      <c r="BF26" s="32"/>
      <c r="BG26" s="32"/>
      <c r="BJ26" s="32"/>
      <c r="BK26" s="32"/>
      <c r="BL26" s="32"/>
      <c r="BM26" s="32"/>
      <c r="BP26" s="32"/>
      <c r="BQ26" s="32"/>
      <c r="BR26" s="32"/>
      <c r="BS26" s="32"/>
      <c r="BV26" s="32"/>
      <c r="BW26" s="32"/>
      <c r="BX26" s="32"/>
      <c r="BY26" s="32"/>
      <c r="CB26" s="32"/>
      <c r="CC26" s="32"/>
      <c r="CD26" s="32"/>
      <c r="CE26" s="32"/>
      <c r="CH26" s="32"/>
      <c r="CI26" s="32"/>
      <c r="CJ26" s="32"/>
      <c r="CK26" s="32"/>
      <c r="CN26" s="32"/>
      <c r="CO26" s="32"/>
      <c r="CP26" s="32"/>
      <c r="CQ26" s="32"/>
      <c r="CT26" s="32"/>
      <c r="CU26" s="32"/>
      <c r="CV26" s="32"/>
      <c r="CW26" s="32"/>
      <c r="CZ26" s="32"/>
      <c r="DA26" s="32"/>
      <c r="DB26" s="32"/>
      <c r="DC26" s="32"/>
      <c r="DF26" s="32"/>
      <c r="DG26" s="32"/>
      <c r="DH26" s="32"/>
      <c r="DI26" s="32"/>
      <c r="DL26" s="32"/>
      <c r="DM26" s="32"/>
      <c r="DN26" s="32"/>
      <c r="DO26" s="32"/>
      <c r="DR26" s="32"/>
      <c r="DS26" s="32"/>
      <c r="DT26" s="32"/>
      <c r="DU26" s="32"/>
      <c r="DX26" s="32"/>
      <c r="DY26" s="32"/>
      <c r="DZ26" s="32"/>
      <c r="EA26" s="32"/>
      <c r="ED26" s="32"/>
      <c r="EE26" s="32"/>
      <c r="EF26" s="32"/>
      <c r="EG26" s="32"/>
      <c r="EJ26" s="32"/>
      <c r="EK26" s="32"/>
      <c r="EL26" s="32"/>
      <c r="EM26" s="32"/>
      <c r="EP26" s="32"/>
      <c r="EQ26" s="32"/>
      <c r="ER26" s="32"/>
      <c r="ES26" s="32"/>
      <c r="EV26" s="32"/>
      <c r="EW26" s="32"/>
      <c r="EX26" s="32"/>
      <c r="EY26" s="32"/>
      <c r="FB26" s="32"/>
      <c r="FC26" s="32"/>
      <c r="FD26" s="32"/>
      <c r="FE26" s="32"/>
      <c r="FH26" s="32"/>
      <c r="FI26" s="32"/>
      <c r="FJ26" s="32"/>
      <c r="FK26" s="32"/>
      <c r="FN26" s="32"/>
      <c r="FO26" s="32"/>
      <c r="FP26" s="32"/>
      <c r="FQ26" s="32"/>
    </row>
    <row r="27" spans="1:173" ht="13.5" thickBot="1">
      <c r="A27" s="30" t="s">
        <v>4</v>
      </c>
      <c r="C27" s="48">
        <f>SUM(C8:C26)</f>
        <v>10090000</v>
      </c>
      <c r="D27" s="48">
        <f>SUM(D8:D26)</f>
        <v>661100</v>
      </c>
      <c r="E27" s="48">
        <f>SUM(E8:E26)</f>
        <v>10751100</v>
      </c>
      <c r="F27" s="48">
        <f>SUM(F8:F26)</f>
        <v>670072</v>
      </c>
      <c r="G27" s="48">
        <f>SUM(G8:G26)</f>
        <v>361284</v>
      </c>
      <c r="I27" s="48">
        <f>SUM(I8:I26)</f>
        <v>3244474.8149999995</v>
      </c>
      <c r="J27" s="48">
        <f>SUM(J8:J26)</f>
        <v>212579.01885</v>
      </c>
      <c r="K27" s="48">
        <f>SUM(K8:K26)</f>
        <v>3457053.83385</v>
      </c>
      <c r="L27" s="48">
        <f>SUM(L8:L26)</f>
        <v>215463.996852</v>
      </c>
      <c r="M27" s="48">
        <f>SUM(M8:M26)</f>
        <v>116172.134694</v>
      </c>
      <c r="O27" s="48">
        <f>SUM(O8:O26)</f>
        <v>6845525.1850000005</v>
      </c>
      <c r="P27" s="48">
        <f>SUM(P8:P26)</f>
        <v>448520.98115000007</v>
      </c>
      <c r="Q27" s="48">
        <f>SUM(Q8:Q26)</f>
        <v>7294046.166150001</v>
      </c>
      <c r="R27" s="48">
        <f>SUM(R8:R26)</f>
        <v>454608.0031480001</v>
      </c>
      <c r="S27" s="48">
        <f>SUM(S8:S26)</f>
        <v>245111.865306</v>
      </c>
      <c r="U27" s="48">
        <f>SUM(U8:U26)</f>
        <v>555116.4850000001</v>
      </c>
      <c r="V27" s="48">
        <f>SUM(V8:V26)</f>
        <v>36371.40815</v>
      </c>
      <c r="W27" s="48">
        <f>SUM(W8:W26)</f>
        <v>591487.8931500001</v>
      </c>
      <c r="X27" s="48">
        <f>SUM(X8:X26)</f>
        <v>36865.016188</v>
      </c>
      <c r="Y27" s="48">
        <f>SUM(Y8:Y26)</f>
        <v>19876.581186</v>
      </c>
      <c r="AA27" s="48">
        <f>SUM(AA8:AA26)</f>
        <v>677677.6969999999</v>
      </c>
      <c r="AB27" s="48">
        <f>SUM(AB8:AB26)</f>
        <v>44401.657629999994</v>
      </c>
      <c r="AC27" s="48">
        <f>SUM(AC8:AC26)</f>
        <v>722079.35463</v>
      </c>
      <c r="AD27" s="48">
        <f>SUM(AD8:AD26)</f>
        <v>45004.2467576</v>
      </c>
      <c r="AE27" s="48">
        <f>SUM(AE8:AE26)</f>
        <v>24265.0256772</v>
      </c>
      <c r="AG27" s="48">
        <f>SUM(AG8:AG26)</f>
        <v>2481.1310000000003</v>
      </c>
      <c r="AH27" s="48">
        <f>SUM(AH8:AH26)</f>
        <v>162.56449</v>
      </c>
      <c r="AI27" s="48">
        <f>SUM(AI8:AI26)</f>
        <v>2643.69549</v>
      </c>
      <c r="AJ27" s="48">
        <f>SUM(AJ8:AJ26)</f>
        <v>164.7707048</v>
      </c>
      <c r="AK27" s="48">
        <f>SUM(AK8:AK26)</f>
        <v>88.83973560000001</v>
      </c>
      <c r="AM27" s="48">
        <f>SUM(AM8:AM26)</f>
        <v>146467.44900000002</v>
      </c>
      <c r="AN27" s="48">
        <f>SUM(AN8:AN26)</f>
        <v>9596.593710000001</v>
      </c>
      <c r="AO27" s="48">
        <f>SUM(AO8:AO26)</f>
        <v>156064.04271</v>
      </c>
      <c r="AP27" s="48">
        <f>SUM(AP8:AP26)</f>
        <v>9726.832159200001</v>
      </c>
      <c r="AQ27" s="48">
        <f>SUM(AQ8:AQ26)</f>
        <v>5244.434672400001</v>
      </c>
      <c r="AS27" s="48">
        <f>SUM(AS8:AS26)</f>
        <v>673936.3250000001</v>
      </c>
      <c r="AT27" s="48">
        <f>SUM(AT8:AT26)</f>
        <v>44156.52175000001</v>
      </c>
      <c r="AU27" s="48">
        <f>SUM(AU8:AU26)</f>
        <v>718092.84675</v>
      </c>
      <c r="AV27" s="48">
        <f>SUM(AV8:AV26)</f>
        <v>44755.784060000005</v>
      </c>
      <c r="AW27" s="48">
        <f>SUM(AW8:AW26)</f>
        <v>24131.06157</v>
      </c>
      <c r="AX27" s="32"/>
      <c r="AY27" s="48">
        <f>SUM(AY8:AY26)</f>
        <v>106243.664</v>
      </c>
      <c r="AZ27" s="48">
        <f>SUM(AZ8:AZ26)</f>
        <v>6961.118560000001</v>
      </c>
      <c r="BA27" s="48">
        <f>SUM(BA8:BA26)</f>
        <v>113204.78256</v>
      </c>
      <c r="BB27" s="48">
        <f>SUM(BB8:BB26)</f>
        <v>7055.5901312</v>
      </c>
      <c r="BC27" s="48">
        <f>SUM(BC8:BC26)</f>
        <v>3804.1760064</v>
      </c>
      <c r="BD27" s="32"/>
      <c r="BE27" s="48">
        <f>SUM(BE8:BE26)</f>
        <v>5901.641</v>
      </c>
      <c r="BF27" s="48">
        <f>SUM(BF8:BF26)</f>
        <v>386.67738999999995</v>
      </c>
      <c r="BG27" s="48">
        <f>SUM(BG8:BG26)</f>
        <v>6288.318389999999</v>
      </c>
      <c r="BH27" s="48">
        <f>SUM(BH8:BH26)</f>
        <v>391.92511279999997</v>
      </c>
      <c r="BI27" s="48">
        <f>SUM(BI8:BI26)</f>
        <v>211.3150116</v>
      </c>
      <c r="BJ27" s="32"/>
      <c r="BK27" s="48">
        <f>SUM(BK8:BK26)</f>
        <v>67979.357</v>
      </c>
      <c r="BL27" s="48">
        <f>SUM(BL8:BL26)</f>
        <v>4454.02903</v>
      </c>
      <c r="BM27" s="48">
        <f>SUM(BM8:BM26)</f>
        <v>72433.38603000001</v>
      </c>
      <c r="BN27" s="48">
        <f>SUM(BN8:BN26)</f>
        <v>4514.4760856</v>
      </c>
      <c r="BO27" s="48">
        <f>SUM(BO8:BO26)</f>
        <v>2434.0786932</v>
      </c>
      <c r="BP27" s="32"/>
      <c r="BQ27" s="48">
        <f>SUM(BQ8:BQ26)</f>
        <v>95033.674</v>
      </c>
      <c r="BR27" s="48">
        <f>SUM(BR8:BR26)</f>
        <v>6226.63646</v>
      </c>
      <c r="BS27" s="48">
        <f>SUM(BS8:BS26)</f>
        <v>101260.31046000001</v>
      </c>
      <c r="BT27" s="48">
        <f>SUM(BT8:BT26)</f>
        <v>6311.1401392</v>
      </c>
      <c r="BU27" s="48">
        <f>SUM(BU8:BU26)</f>
        <v>3402.7894823999995</v>
      </c>
      <c r="BV27" s="32"/>
      <c r="BW27" s="48">
        <f>SUM(BW8:BW26)</f>
        <v>13294.583999999999</v>
      </c>
      <c r="BX27" s="48">
        <f>SUM(BX8:BX26)</f>
        <v>871.0653599999999</v>
      </c>
      <c r="BY27" s="48">
        <f>SUM(BY8:BY26)</f>
        <v>14165.64936</v>
      </c>
      <c r="BZ27" s="48">
        <f>SUM(BZ8:BZ26)</f>
        <v>882.8868672</v>
      </c>
      <c r="CA27" s="48">
        <f>SUM(CA8:CA26)</f>
        <v>476.0277984</v>
      </c>
      <c r="CB27" s="32"/>
      <c r="CC27" s="48">
        <f>SUM(CC8:CC26)</f>
        <v>69064.032</v>
      </c>
      <c r="CD27" s="48">
        <f>SUM(CD8:CD26)</f>
        <v>4525.09728</v>
      </c>
      <c r="CE27" s="48">
        <f>SUM(CE8:CE26)</f>
        <v>73589.12928</v>
      </c>
      <c r="CF27" s="48">
        <f>SUM(CF8:CF26)</f>
        <v>4586.5088256</v>
      </c>
      <c r="CG27" s="48">
        <f>SUM(CG8:CG26)</f>
        <v>2472.9167232</v>
      </c>
      <c r="CH27" s="32"/>
      <c r="CI27" s="48">
        <f>SUM(CI8:CI26)</f>
        <v>3925.01</v>
      </c>
      <c r="CJ27" s="48">
        <f>SUM(CJ8:CJ26)</f>
        <v>257.16790000000003</v>
      </c>
      <c r="CK27" s="48">
        <f>SUM(CK8:CK26)</f>
        <v>4182.1779</v>
      </c>
      <c r="CL27" s="48">
        <f>SUM(CL8:CL26)</f>
        <v>260.658008</v>
      </c>
      <c r="CM27" s="48">
        <f>SUM(CM8:CM26)</f>
        <v>140.539476</v>
      </c>
      <c r="CN27" s="32"/>
      <c r="CO27" s="48">
        <f>SUM(CO8:CO26)</f>
        <v>13872.741000000002</v>
      </c>
      <c r="CP27" s="48">
        <f>SUM(CP8:CP26)</f>
        <v>908.9463900000001</v>
      </c>
      <c r="CQ27" s="48">
        <f>SUM(CQ8:CQ26)</f>
        <v>14781.68739</v>
      </c>
      <c r="CR27" s="48">
        <f>SUM(CR8:CR26)</f>
        <v>921.2819928</v>
      </c>
      <c r="CS27" s="48">
        <f>SUM(CS8:CS26)</f>
        <v>496.72937160000004</v>
      </c>
      <c r="CT27" s="32"/>
      <c r="CU27" s="48">
        <f>SUM(CU8:CU26)</f>
        <v>50426.793</v>
      </c>
      <c r="CV27" s="48">
        <f>SUM(CV8:CV26)</f>
        <v>3303.97947</v>
      </c>
      <c r="CW27" s="48">
        <f>SUM(CW8:CW26)</f>
        <v>53730.77247</v>
      </c>
      <c r="CX27" s="48">
        <f>SUM(CX8:CX26)</f>
        <v>3348.8188344</v>
      </c>
      <c r="CY27" s="48">
        <f>SUM(CY8:CY26)</f>
        <v>1805.5890468</v>
      </c>
      <c r="CZ27" s="32"/>
      <c r="DA27" s="48">
        <f>SUM(DA8:DA26)</f>
        <v>344367.66400000005</v>
      </c>
      <c r="DB27" s="48">
        <f>SUM(DB8:DB26)</f>
        <v>22563.07856</v>
      </c>
      <c r="DC27" s="48">
        <f>SUM(DC8:DC26)</f>
        <v>366930.74256000004</v>
      </c>
      <c r="DD27" s="48">
        <f>SUM(DD8:DD26)</f>
        <v>22869.2893312</v>
      </c>
      <c r="DE27" s="48">
        <f>SUM(DE8:DE26)</f>
        <v>12330.478406400001</v>
      </c>
      <c r="DF27" s="32"/>
      <c r="DG27" s="48">
        <f>SUM(DG8:DG26)</f>
        <v>1425223.599</v>
      </c>
      <c r="DH27" s="48">
        <f>SUM(DH8:DH26)</f>
        <v>93381.10220999998</v>
      </c>
      <c r="DI27" s="48">
        <f>SUM(DI8:DI26)</f>
        <v>1518604.70121</v>
      </c>
      <c r="DJ27" s="48">
        <f>SUM(DJ8:DJ26)</f>
        <v>94648.4070792</v>
      </c>
      <c r="DK27" s="48">
        <f>SUM(DK8:DK26)</f>
        <v>51031.7624124</v>
      </c>
      <c r="DL27" s="32"/>
      <c r="DM27" s="48">
        <f>SUM(DM8:DM26)</f>
        <v>262005.01200000002</v>
      </c>
      <c r="DN27" s="48">
        <f>SUM(DN8:DN26)</f>
        <v>17166.65148</v>
      </c>
      <c r="DO27" s="48">
        <f>SUM(DO8:DO26)</f>
        <v>279171.66348</v>
      </c>
      <c r="DP27" s="48">
        <f>SUM(DP8:DP26)</f>
        <v>17399.6256096</v>
      </c>
      <c r="DQ27" s="48">
        <f>SUM(DQ8:DQ26)</f>
        <v>9381.3893712</v>
      </c>
      <c r="DR27" s="32"/>
      <c r="DS27" s="48">
        <f>SUM(DS8:DS26)</f>
        <v>897020.1710000001</v>
      </c>
      <c r="DT27" s="48">
        <f>SUM(DT8:DT26)</f>
        <v>58773.04609</v>
      </c>
      <c r="DU27" s="48">
        <f>SUM(DU8:DU26)</f>
        <v>955793.2170899999</v>
      </c>
      <c r="DV27" s="48">
        <f>SUM(DV8:DV26)</f>
        <v>59570.673936800005</v>
      </c>
      <c r="DW27" s="48">
        <f>SUM(DW8:DW26)</f>
        <v>32118.834039600002</v>
      </c>
      <c r="DX27" s="32"/>
      <c r="DY27" s="48">
        <f>SUM(DY8:DY26)</f>
        <v>191250.90499999997</v>
      </c>
      <c r="DZ27" s="48">
        <f>SUM(DZ8:DZ26)</f>
        <v>12530.81995</v>
      </c>
      <c r="EA27" s="48">
        <f>SUM(EA8:EA26)</f>
        <v>203781.72495</v>
      </c>
      <c r="EB27" s="48">
        <f>SUM(EB8:EB26)</f>
        <v>12700.879723999999</v>
      </c>
      <c r="EC27" s="48">
        <f>SUM(EC8:EC26)</f>
        <v>6847.957578</v>
      </c>
      <c r="ED27" s="32"/>
      <c r="EE27" s="48">
        <f>SUM(EE8:EE26)</f>
        <v>15580.978</v>
      </c>
      <c r="EF27" s="48">
        <f>SUM(EF8:EF26)</f>
        <v>1020.8706199999999</v>
      </c>
      <c r="EG27" s="48">
        <f>SUM(EG8:EG26)</f>
        <v>16601.848619999997</v>
      </c>
      <c r="EH27" s="48">
        <f>SUM(EH8:EH26)</f>
        <v>1034.7251824</v>
      </c>
      <c r="EI27" s="48">
        <f>SUM(EI8:EI26)</f>
        <v>557.8947528</v>
      </c>
      <c r="EJ27" s="32"/>
      <c r="EK27" s="48">
        <f>SUM(EK8:EK26)</f>
        <v>18582.752999999997</v>
      </c>
      <c r="EL27" s="48">
        <f>SUM(EL8:EL26)</f>
        <v>1217.5478699999999</v>
      </c>
      <c r="EM27" s="48">
        <f>SUM(EM8:EM26)</f>
        <v>19800.30087</v>
      </c>
      <c r="EN27" s="48">
        <f>SUM(EN8:EN26)</f>
        <v>1234.0716023999998</v>
      </c>
      <c r="EO27" s="48">
        <f>SUM(EO8:EO26)</f>
        <v>665.3767428</v>
      </c>
      <c r="EP27" s="32"/>
      <c r="EQ27" s="48">
        <f>SUM(EQ8:EQ26)</f>
        <v>37900.058</v>
      </c>
      <c r="ER27" s="48">
        <f>SUM(ER8:ER26)</f>
        <v>2483.22382</v>
      </c>
      <c r="ES27" s="48">
        <f>SUM(ES8:ES26)</f>
        <v>40383.28182</v>
      </c>
      <c r="ET27" s="48">
        <f>SUM(ET8:ET26)</f>
        <v>2516.9244464</v>
      </c>
      <c r="EU27" s="48">
        <f>SUM(EU8:EU26)</f>
        <v>1357.0549608</v>
      </c>
      <c r="EV27" s="32"/>
      <c r="EW27" s="48">
        <f>SUM(EW8:EW26)</f>
        <v>1044654.024</v>
      </c>
      <c r="EX27" s="48">
        <f>SUM(EX8:EX26)</f>
        <v>68446.06296</v>
      </c>
      <c r="EY27" s="48">
        <f>SUM(EY8:EY26)</f>
        <v>1113100.08696</v>
      </c>
      <c r="EZ27" s="48">
        <f>SUM(EZ8:EZ26)</f>
        <v>69374.9664192</v>
      </c>
      <c r="FA27" s="48">
        <f>SUM(FA8:FA26)</f>
        <v>37405.0331424</v>
      </c>
      <c r="FB27" s="39"/>
      <c r="FC27" s="48">
        <f>SUM(FC8:FC26)</f>
        <v>40571.89</v>
      </c>
      <c r="FD27" s="48">
        <f>SUM(FD8:FD26)</f>
        <v>2658.2831</v>
      </c>
      <c r="FE27" s="48">
        <f>SUM(FE8:FE26)</f>
        <v>43230.1731</v>
      </c>
      <c r="FF27" s="48">
        <f>SUM(FF8:FF26)</f>
        <v>2694.359512</v>
      </c>
      <c r="FG27" s="48">
        <f>SUM(FG8:FG26)</f>
        <v>1452.722964</v>
      </c>
      <c r="FH27" s="32"/>
      <c r="FI27" s="48">
        <f>SUM(FI8:FI26)</f>
        <v>86947.54800000001</v>
      </c>
      <c r="FJ27" s="48">
        <f>SUM(FJ8:FJ26)</f>
        <v>5696.83092</v>
      </c>
      <c r="FK27" s="48">
        <f>SUM(FK8:FK26)</f>
        <v>92644.37892000002</v>
      </c>
      <c r="FL27" s="48">
        <f>SUM(FL8:FL26)</f>
        <v>5774.144438400001</v>
      </c>
      <c r="FM27" s="48">
        <f>SUM(FM8:FM26)</f>
        <v>3113.2564848</v>
      </c>
      <c r="FN27" s="32"/>
      <c r="FO27" s="48">
        <f>SUM(FO8:FO26)</f>
        <v>0</v>
      </c>
      <c r="FP27" s="48">
        <f>SUM(FP8:FP26)</f>
        <v>0</v>
      </c>
      <c r="FQ27" s="48">
        <f>SUM(FQ8:FQ26)</f>
        <v>0</v>
      </c>
    </row>
    <row r="28" spans="21:55" ht="13.5" thickTop="1"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Y28" s="20"/>
      <c r="AZ28" s="20"/>
      <c r="BA28" s="20"/>
      <c r="BB28" s="20"/>
      <c r="BC28" s="20"/>
    </row>
    <row r="29" spans="3:55" ht="12.75">
      <c r="C29" s="34">
        <f>I27+O27</f>
        <v>10090000</v>
      </c>
      <c r="D29" s="34">
        <f>J27+P27</f>
        <v>661100</v>
      </c>
      <c r="F29" s="34">
        <f>L27+R27</f>
        <v>670072.0000000001</v>
      </c>
      <c r="G29" s="34">
        <f>M27+S27</f>
        <v>361284</v>
      </c>
      <c r="P29" s="32"/>
      <c r="U29" s="20"/>
      <c r="V29" s="20"/>
      <c r="W29" s="20"/>
      <c r="X29" s="20"/>
      <c r="Y29" s="20"/>
      <c r="AA29" s="20"/>
      <c r="AB29" s="20"/>
      <c r="AC29" s="20"/>
      <c r="AD29" s="20"/>
      <c r="AE29" s="20"/>
      <c r="AM29" s="20"/>
      <c r="AN29" s="20"/>
      <c r="AO29" s="20"/>
      <c r="AP29" s="20"/>
      <c r="AQ29" s="20"/>
      <c r="AS29" s="20"/>
      <c r="AT29" s="20"/>
      <c r="AU29" s="20"/>
      <c r="AV29" s="20"/>
      <c r="AW29" s="20"/>
      <c r="AY29" s="20"/>
      <c r="AZ29" s="20"/>
      <c r="BA29" s="20"/>
      <c r="BB29" s="20"/>
      <c r="BC29" s="20"/>
    </row>
    <row r="30" spans="21:55" ht="12.75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21:55" ht="12.75"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55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21:55" ht="12.75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21:173" ht="12.75"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</row>
    <row r="40" spans="9:173" ht="12.75">
      <c r="I40"/>
      <c r="J40"/>
      <c r="K40"/>
      <c r="L40"/>
      <c r="M40"/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</row>
    <row r="41" spans="1:173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20"/>
      <c r="V41" s="20"/>
      <c r="W41" s="20"/>
      <c r="X41" s="20"/>
      <c r="Y41" s="20"/>
      <c r="Z41"/>
      <c r="AA41" s="20"/>
      <c r="AB41" s="20"/>
      <c r="AC41" s="20"/>
      <c r="AD41" s="20"/>
      <c r="AE41" s="20"/>
      <c r="AF41"/>
      <c r="AG41"/>
      <c r="AH41"/>
      <c r="AI41"/>
      <c r="AJ41"/>
      <c r="AK41"/>
      <c r="AL41"/>
      <c r="AM41" s="20"/>
      <c r="AN41" s="20"/>
      <c r="AO41" s="20"/>
      <c r="AP41" s="20"/>
      <c r="AQ41" s="20"/>
      <c r="AR41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</row>
    <row r="42" spans="1:173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20"/>
      <c r="V42" s="20"/>
      <c r="W42" s="20"/>
      <c r="X42" s="20"/>
      <c r="Y42" s="20"/>
      <c r="Z42"/>
      <c r="AA42" s="20"/>
      <c r="AB42" s="20"/>
      <c r="AC42" s="20"/>
      <c r="AD42" s="20"/>
      <c r="AE42" s="20"/>
      <c r="AF42"/>
      <c r="AG42"/>
      <c r="AH42"/>
      <c r="AI42"/>
      <c r="AJ42"/>
      <c r="AK42"/>
      <c r="AL42"/>
      <c r="AM42" s="20"/>
      <c r="AN42" s="20"/>
      <c r="AO42" s="20"/>
      <c r="AP42" s="20"/>
      <c r="AQ42" s="20"/>
      <c r="AR42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</row>
    <row r="43" spans="1:173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</row>
    <row r="44" spans="1:173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</row>
    <row r="45" spans="1:173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</row>
    <row r="46" spans="1:173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</row>
    <row r="47" spans="1:173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</row>
    <row r="48" spans="1:173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</row>
    <row r="49" spans="1:173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</row>
    <row r="50" spans="1:173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</row>
    <row r="51" spans="1:173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</row>
    <row r="52" spans="1:173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</row>
    <row r="53" spans="1:173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</row>
    <row r="54" spans="1:173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</row>
    <row r="55" spans="1:173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Z55"/>
      <c r="AF55"/>
      <c r="AG55"/>
      <c r="AH55"/>
      <c r="AI55"/>
      <c r="AJ55"/>
      <c r="AK55"/>
      <c r="AL55"/>
      <c r="AR55"/>
      <c r="AX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</row>
    <row r="56" spans="1:173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Z56"/>
      <c r="AF56"/>
      <c r="AG56"/>
      <c r="AH56"/>
      <c r="AI56"/>
      <c r="AJ56"/>
      <c r="AK56"/>
      <c r="AL56"/>
      <c r="AR56"/>
      <c r="AX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</row>
    <row r="57" spans="1:173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Z57"/>
      <c r="AF57"/>
      <c r="AG57"/>
      <c r="AH57"/>
      <c r="AI57"/>
      <c r="AJ57"/>
      <c r="AK57"/>
      <c r="AL57"/>
      <c r="AR57"/>
      <c r="AX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</row>
    <row r="58" spans="1:173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Z58"/>
      <c r="AF58"/>
      <c r="AG58"/>
      <c r="AH58"/>
      <c r="AI58"/>
      <c r="AJ58"/>
      <c r="AK58"/>
      <c r="AL58"/>
      <c r="AR58"/>
      <c r="AX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</row>
    <row r="59" spans="1:173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</row>
    <row r="60" spans="1:173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</row>
    <row r="61" spans="1:173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</row>
    <row r="62" spans="1:173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</row>
    <row r="63" spans="1:173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</row>
    <row r="64" spans="1:173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AX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</row>
    <row r="65" spans="1:173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</row>
    <row r="66" spans="1:173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Z66"/>
      <c r="AF66"/>
      <c r="AG66"/>
      <c r="AH66"/>
      <c r="AI66"/>
      <c r="AJ66"/>
      <c r="AK66"/>
      <c r="AL66"/>
      <c r="AR66"/>
      <c r="AX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</row>
    <row r="67" spans="1:173" ht="12.75">
      <c r="A67"/>
      <c r="C67"/>
      <c r="D67"/>
      <c r="E67"/>
      <c r="F67"/>
      <c r="G67"/>
      <c r="H67"/>
      <c r="N67"/>
      <c r="T67"/>
      <c r="Z67"/>
      <c r="AF67"/>
      <c r="AG67"/>
      <c r="AH67"/>
      <c r="AI67"/>
      <c r="AJ67"/>
      <c r="AK67"/>
      <c r="AL67"/>
      <c r="AR67"/>
      <c r="AX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</row>
  </sheetData>
  <sheetProtection/>
  <printOptions/>
  <pageMargins left="0.75" right="0.75" top="1" bottom="1" header="0.3" footer="0.3"/>
  <pageSetup orientation="landscape" scale="74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V67"/>
  <sheetViews>
    <sheetView zoomScale="149" zoomScaleNormal="149"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2" sqref="I12"/>
    </sheetView>
  </sheetViews>
  <sheetFormatPr defaultColWidth="8.7109375" defaultRowHeight="12.75"/>
  <cols>
    <col min="1" max="1" width="9.7109375" style="30" customWidth="1"/>
    <col min="2" max="2" width="3.7109375" style="0" hidden="1" customWidth="1"/>
    <col min="3" max="7" width="13.7109375" style="34" hidden="1" customWidth="1"/>
    <col min="8" max="8" width="3.7109375" style="32" customWidth="1"/>
    <col min="9" max="13" width="13.7109375" style="32" customWidth="1"/>
    <col min="14" max="14" width="3.7109375" style="32" customWidth="1"/>
    <col min="15" max="18" width="12.7109375" style="32" customWidth="1"/>
    <col min="19" max="19" width="14.421875" style="32" customWidth="1"/>
    <col min="20" max="20" width="3.7109375" style="32" customWidth="1"/>
    <col min="21" max="25" width="13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7" width="12.7109375" style="32" customWidth="1"/>
    <col min="38" max="38" width="3.7109375" style="32" customWidth="1"/>
    <col min="39" max="40" width="12.7109375" style="32" customWidth="1"/>
    <col min="41" max="43" width="13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3" width="13.7109375" style="32" customWidth="1"/>
    <col min="54" max="55" width="12.00390625" style="32" customWidth="1"/>
    <col min="56" max="56" width="3.7109375" style="32" customWidth="1"/>
    <col min="57" max="61" width="12.7109375" style="32" customWidth="1"/>
    <col min="62" max="62" width="3.7109375" style="32" customWidth="1"/>
    <col min="63" max="67" width="13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5" width="10.28125" style="32" bestFit="1" customWidth="1"/>
    <col min="76" max="76" width="9.421875" style="32" bestFit="1" customWidth="1"/>
    <col min="77" max="77" width="10.28125" style="32" bestFit="1" customWidth="1"/>
    <col min="78" max="79" width="12.421875" style="32" customWidth="1"/>
    <col min="80" max="80" width="3.7109375" style="32" customWidth="1"/>
    <col min="81" max="85" width="12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  <col min="141" max="145" width="13.7109375" style="32" customWidth="1"/>
    <col min="146" max="146" width="3.7109375" style="32" customWidth="1"/>
    <col min="147" max="151" width="13.7109375" style="32" customWidth="1"/>
    <col min="152" max="152" width="3.7109375" style="32" customWidth="1"/>
  </cols>
  <sheetData>
    <row r="1" spans="2:147" ht="12.75"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Y1" s="42" t="s">
        <v>138</v>
      </c>
      <c r="BE1" s="42"/>
      <c r="BQ1" s="42" t="s">
        <v>138</v>
      </c>
      <c r="CC1" s="42"/>
      <c r="CO1" s="42" t="s">
        <v>138</v>
      </c>
      <c r="CU1" s="42"/>
      <c r="DG1" s="42" t="s">
        <v>138</v>
      </c>
      <c r="DS1" s="42"/>
      <c r="DY1" s="42" t="s">
        <v>138</v>
      </c>
      <c r="EQ1" s="42" t="s">
        <v>138</v>
      </c>
    </row>
    <row r="2" spans="2:147" ht="12.75"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Y2" s="40" t="s">
        <v>139</v>
      </c>
      <c r="BE2" s="42"/>
      <c r="BQ2" s="40" t="s">
        <v>139</v>
      </c>
      <c r="CC2" s="42"/>
      <c r="CO2" s="40" t="s">
        <v>139</v>
      </c>
      <c r="CU2" s="42"/>
      <c r="DG2" s="40" t="s">
        <v>139</v>
      </c>
      <c r="DS2" s="42"/>
      <c r="DY2" s="40" t="s">
        <v>139</v>
      </c>
      <c r="EQ2" s="40" t="s">
        <v>139</v>
      </c>
    </row>
    <row r="3" spans="2:147" ht="12.75">
      <c r="B3" s="29"/>
      <c r="C3" s="40"/>
      <c r="D3" s="40"/>
      <c r="I3" s="42"/>
      <c r="O3" s="42" t="s">
        <v>146</v>
      </c>
      <c r="U3" s="42"/>
      <c r="AA3" s="42"/>
      <c r="AG3" s="42" t="s">
        <v>137</v>
      </c>
      <c r="AM3" s="42"/>
      <c r="AY3" s="42" t="s">
        <v>137</v>
      </c>
      <c r="BE3" s="42"/>
      <c r="BQ3" s="42" t="s">
        <v>137</v>
      </c>
      <c r="CC3" s="42"/>
      <c r="CO3" s="42" t="s">
        <v>137</v>
      </c>
      <c r="CU3" s="42"/>
      <c r="DG3" s="42" t="s">
        <v>137</v>
      </c>
      <c r="DS3" s="42"/>
      <c r="DY3" s="42" t="s">
        <v>137</v>
      </c>
      <c r="EQ3" s="42" t="s">
        <v>137</v>
      </c>
    </row>
    <row r="4" spans="2:4" ht="12.75">
      <c r="B4" s="29"/>
      <c r="C4" s="42"/>
      <c r="D4" s="42"/>
    </row>
    <row r="5" spans="1:151" ht="12.75">
      <c r="A5" s="21" t="s">
        <v>9</v>
      </c>
      <c r="C5" s="45" t="s">
        <v>140</v>
      </c>
      <c r="D5" s="46"/>
      <c r="E5" s="47"/>
      <c r="F5" s="47"/>
      <c r="G5" s="38"/>
      <c r="I5" s="35" t="s">
        <v>145</v>
      </c>
      <c r="J5" s="36"/>
      <c r="K5" s="37"/>
      <c r="L5" s="47"/>
      <c r="M5" s="38"/>
      <c r="O5" s="59" t="s">
        <v>106</v>
      </c>
      <c r="P5" s="68"/>
      <c r="Q5" s="37"/>
      <c r="R5" s="47"/>
      <c r="S5" s="38"/>
      <c r="U5" s="59" t="s">
        <v>107</v>
      </c>
      <c r="V5" s="68"/>
      <c r="W5" s="37"/>
      <c r="X5" s="47"/>
      <c r="Y5" s="38"/>
      <c r="AA5" s="59" t="s">
        <v>128</v>
      </c>
      <c r="AB5" s="68"/>
      <c r="AC5" s="37"/>
      <c r="AD5" s="47"/>
      <c r="AE5" s="38"/>
      <c r="AG5" s="80" t="s">
        <v>143</v>
      </c>
      <c r="AH5" s="68"/>
      <c r="AI5" s="37"/>
      <c r="AJ5" s="47"/>
      <c r="AK5" s="38"/>
      <c r="AL5" s="60"/>
      <c r="AM5" s="59" t="s">
        <v>108</v>
      </c>
      <c r="AN5" s="68"/>
      <c r="AO5" s="37"/>
      <c r="AP5" s="47"/>
      <c r="AQ5" s="38"/>
      <c r="AS5" s="59" t="s">
        <v>129</v>
      </c>
      <c r="AT5" s="68"/>
      <c r="AU5" s="37"/>
      <c r="AV5" s="47"/>
      <c r="AW5" s="38"/>
      <c r="AY5" s="59" t="s">
        <v>109</v>
      </c>
      <c r="AZ5" s="68"/>
      <c r="BA5" s="37"/>
      <c r="BB5" s="47"/>
      <c r="BC5" s="38"/>
      <c r="BE5" s="59" t="s">
        <v>76</v>
      </c>
      <c r="BF5" s="68"/>
      <c r="BG5" s="37"/>
      <c r="BH5" s="47"/>
      <c r="BI5" s="38"/>
      <c r="BK5" s="35" t="s">
        <v>23</v>
      </c>
      <c r="BL5" s="36"/>
      <c r="BM5" s="37"/>
      <c r="BN5" s="47"/>
      <c r="BO5" s="38"/>
      <c r="BQ5" s="35" t="s">
        <v>63</v>
      </c>
      <c r="BR5" s="36"/>
      <c r="BS5" s="37"/>
      <c r="BT5" s="47"/>
      <c r="BU5" s="38"/>
      <c r="BV5" s="60"/>
      <c r="BW5" s="80" t="s">
        <v>144</v>
      </c>
      <c r="BX5" s="68"/>
      <c r="BY5" s="37"/>
      <c r="BZ5" s="81"/>
      <c r="CA5" s="38"/>
      <c r="CB5" s="73"/>
      <c r="CC5" s="35" t="s">
        <v>77</v>
      </c>
      <c r="CD5" s="36"/>
      <c r="CE5" s="37"/>
      <c r="CF5" s="47"/>
      <c r="CG5" s="38"/>
      <c r="CH5" s="73"/>
      <c r="CI5" s="35" t="s">
        <v>64</v>
      </c>
      <c r="CJ5" s="36"/>
      <c r="CK5" s="37"/>
      <c r="CL5" s="47"/>
      <c r="CM5" s="38"/>
      <c r="CN5" s="73"/>
      <c r="CO5" s="35" t="s">
        <v>110</v>
      </c>
      <c r="CP5" s="36"/>
      <c r="CQ5" s="37"/>
      <c r="CR5" s="47"/>
      <c r="CS5" s="38"/>
      <c r="CU5" s="35" t="s">
        <v>58</v>
      </c>
      <c r="CV5" s="36"/>
      <c r="CW5" s="37"/>
      <c r="CX5" s="47"/>
      <c r="CY5" s="38"/>
      <c r="DA5" s="59" t="s">
        <v>111</v>
      </c>
      <c r="DB5" s="68"/>
      <c r="DC5" s="37"/>
      <c r="DD5" s="47"/>
      <c r="DE5" s="38"/>
      <c r="DG5" s="59" t="s">
        <v>130</v>
      </c>
      <c r="DH5" s="68"/>
      <c r="DI5" s="37"/>
      <c r="DJ5" s="47"/>
      <c r="DK5" s="38"/>
      <c r="DM5" s="35" t="s">
        <v>25</v>
      </c>
      <c r="DN5" s="68"/>
      <c r="DO5" s="37"/>
      <c r="DP5" s="47"/>
      <c r="DQ5" s="38"/>
      <c r="DR5" s="60"/>
      <c r="DS5" s="59" t="s">
        <v>131</v>
      </c>
      <c r="DT5" s="36"/>
      <c r="DU5" s="37"/>
      <c r="DV5" s="47"/>
      <c r="DW5" s="38"/>
      <c r="DX5" s="73"/>
      <c r="DY5" s="35" t="s">
        <v>65</v>
      </c>
      <c r="DZ5" s="68"/>
      <c r="EA5" s="37"/>
      <c r="EB5" s="47"/>
      <c r="EC5" s="38"/>
      <c r="EE5" s="35" t="s">
        <v>66</v>
      </c>
      <c r="EF5" s="68"/>
      <c r="EG5" s="37"/>
      <c r="EH5" s="47"/>
      <c r="EI5" s="38"/>
      <c r="EK5" s="35" t="s">
        <v>67</v>
      </c>
      <c r="EL5" s="68"/>
      <c r="EM5" s="37"/>
      <c r="EN5" s="47"/>
      <c r="EO5" s="38"/>
      <c r="EQ5" s="35" t="s">
        <v>68</v>
      </c>
      <c r="ER5" s="68"/>
      <c r="ES5" s="37"/>
      <c r="ET5" s="47"/>
      <c r="EU5" s="38"/>
    </row>
    <row r="6" spans="1:152" s="12" customFormat="1" ht="12.75">
      <c r="A6" s="43" t="s">
        <v>10</v>
      </c>
      <c r="C6" s="36"/>
      <c r="D6" s="36"/>
      <c r="E6" s="37"/>
      <c r="F6" s="78" t="s">
        <v>141</v>
      </c>
      <c r="G6" s="38" t="s">
        <v>141</v>
      </c>
      <c r="H6" s="32"/>
      <c r="I6" s="67"/>
      <c r="J6" s="62">
        <f>P6+V6+AN6+AZ6+AH6+BF6+BL6+BR6+CD6+CJ6+CP6+CV6+DB6+DN6+DZ6+EF6+EL6+ER6+AB6+AT6+DH6+DT6</f>
        <v>0.3214387</v>
      </c>
      <c r="K6" s="72"/>
      <c r="L6" s="78" t="s">
        <v>141</v>
      </c>
      <c r="M6" s="38" t="s">
        <v>141</v>
      </c>
      <c r="N6" s="32"/>
      <c r="O6" s="66"/>
      <c r="P6" s="12">
        <v>0.044191</v>
      </c>
      <c r="Q6" s="72"/>
      <c r="R6" s="78" t="s">
        <v>141</v>
      </c>
      <c r="S6" s="38" t="s">
        <v>141</v>
      </c>
      <c r="T6" s="32"/>
      <c r="U6" s="66"/>
      <c r="V6" s="12">
        <v>0.04509</v>
      </c>
      <c r="W6" s="72"/>
      <c r="X6" s="78" t="s">
        <v>141</v>
      </c>
      <c r="Y6" s="38" t="s">
        <v>141</v>
      </c>
      <c r="Z6" s="32"/>
      <c r="AA6" s="66"/>
      <c r="AB6" s="12">
        <v>0.0015077</v>
      </c>
      <c r="AC6" s="72"/>
      <c r="AD6" s="78" t="s">
        <v>141</v>
      </c>
      <c r="AE6" s="38" t="s">
        <v>141</v>
      </c>
      <c r="AF6" s="32"/>
      <c r="AG6" s="66"/>
      <c r="AH6" s="12">
        <v>0.00056</v>
      </c>
      <c r="AI6" s="72"/>
      <c r="AJ6" s="78" t="s">
        <v>141</v>
      </c>
      <c r="AK6" s="38" t="s">
        <v>141</v>
      </c>
      <c r="AL6" s="77"/>
      <c r="AM6" s="66"/>
      <c r="AN6" s="12">
        <v>0.0084871</v>
      </c>
      <c r="AO6" s="72"/>
      <c r="AP6" s="78" t="s">
        <v>141</v>
      </c>
      <c r="AQ6" s="38" t="s">
        <v>141</v>
      </c>
      <c r="AR6" s="32"/>
      <c r="AS6" s="66"/>
      <c r="AT6" s="12">
        <v>0.0021535</v>
      </c>
      <c r="AU6" s="72"/>
      <c r="AV6" s="78" t="s">
        <v>141</v>
      </c>
      <c r="AW6" s="38" t="s">
        <v>141</v>
      </c>
      <c r="AX6" s="32"/>
      <c r="AY6" s="66"/>
      <c r="AZ6" s="12">
        <v>0.0023048</v>
      </c>
      <c r="BA6" s="72"/>
      <c r="BB6" s="78" t="s">
        <v>141</v>
      </c>
      <c r="BC6" s="38" t="s">
        <v>141</v>
      </c>
      <c r="BD6" s="32"/>
      <c r="BE6" s="66"/>
      <c r="BF6" s="12">
        <v>0.0023361</v>
      </c>
      <c r="BG6" s="72"/>
      <c r="BH6" s="78" t="s">
        <v>141</v>
      </c>
      <c r="BI6" s="38" t="s">
        <v>141</v>
      </c>
      <c r="BJ6" s="32"/>
      <c r="BK6" s="66"/>
      <c r="BL6" s="62">
        <v>0.0004643</v>
      </c>
      <c r="BM6" s="72"/>
      <c r="BN6" s="78" t="s">
        <v>141</v>
      </c>
      <c r="BO6" s="38" t="s">
        <v>141</v>
      </c>
      <c r="BP6" s="32"/>
      <c r="BQ6" s="66"/>
      <c r="BR6" s="62">
        <v>0.0037681</v>
      </c>
      <c r="BS6" s="72"/>
      <c r="BT6" s="78" t="s">
        <v>141</v>
      </c>
      <c r="BU6" s="38" t="s">
        <v>141</v>
      </c>
      <c r="BV6" s="60"/>
      <c r="BW6" s="66"/>
      <c r="BX6" s="12">
        <v>0.00011480000000000008</v>
      </c>
      <c r="BY6" s="72"/>
      <c r="BZ6" s="78" t="s">
        <v>141</v>
      </c>
      <c r="CA6" s="38" t="s">
        <v>141</v>
      </c>
      <c r="CB6" s="73"/>
      <c r="CC6" s="66"/>
      <c r="CD6" s="62">
        <v>0.0033006</v>
      </c>
      <c r="CE6" s="72"/>
      <c r="CF6" s="78" t="s">
        <v>141</v>
      </c>
      <c r="CG6" s="38" t="s">
        <v>141</v>
      </c>
      <c r="CH6" s="73"/>
      <c r="CI6" s="66"/>
      <c r="CJ6" s="62">
        <v>0.0020777</v>
      </c>
      <c r="CK6" s="72"/>
      <c r="CL6" s="78" t="s">
        <v>141</v>
      </c>
      <c r="CM6" s="38" t="s">
        <v>141</v>
      </c>
      <c r="CN6" s="39"/>
      <c r="CO6" s="66"/>
      <c r="CP6" s="62">
        <v>0.0795762</v>
      </c>
      <c r="CQ6" s="72"/>
      <c r="CR6" s="78" t="s">
        <v>141</v>
      </c>
      <c r="CS6" s="38" t="s">
        <v>141</v>
      </c>
      <c r="CT6" s="32"/>
      <c r="CU6" s="66"/>
      <c r="CV6" s="62">
        <v>0.0009082</v>
      </c>
      <c r="CW6" s="72"/>
      <c r="CX6" s="78" t="s">
        <v>141</v>
      </c>
      <c r="CY6" s="38" t="s">
        <v>141</v>
      </c>
      <c r="CZ6" s="32"/>
      <c r="DA6" s="66"/>
      <c r="DB6" s="12">
        <v>0.1109436</v>
      </c>
      <c r="DC6" s="72"/>
      <c r="DD6" s="78" t="s">
        <v>141</v>
      </c>
      <c r="DE6" s="38" t="s">
        <v>141</v>
      </c>
      <c r="DF6" s="32"/>
      <c r="DG6" s="66"/>
      <c r="DH6" s="12">
        <v>0.00107</v>
      </c>
      <c r="DI6" s="72"/>
      <c r="DJ6" s="78" t="s">
        <v>141</v>
      </c>
      <c r="DK6" s="38" t="s">
        <v>141</v>
      </c>
      <c r="DL6" s="32"/>
      <c r="DM6" s="66"/>
      <c r="DN6" s="12">
        <v>0.0007401</v>
      </c>
      <c r="DO6" s="72"/>
      <c r="DP6" s="78" t="s">
        <v>141</v>
      </c>
      <c r="DQ6" s="38" t="s">
        <v>141</v>
      </c>
      <c r="DR6" s="60"/>
      <c r="DS6" s="66"/>
      <c r="DT6" s="62">
        <v>0.0004564</v>
      </c>
      <c r="DU6" s="72"/>
      <c r="DV6" s="78" t="s">
        <v>141</v>
      </c>
      <c r="DW6" s="38" t="s">
        <v>141</v>
      </c>
      <c r="DX6" s="39"/>
      <c r="DY6" s="52"/>
      <c r="DZ6" s="12">
        <v>1.14E-05</v>
      </c>
      <c r="EA6" s="72"/>
      <c r="EB6" s="78" t="s">
        <v>141</v>
      </c>
      <c r="EC6" s="38" t="s">
        <v>141</v>
      </c>
      <c r="ED6" s="32"/>
      <c r="EE6" s="66"/>
      <c r="EF6" s="12">
        <v>0.0028093</v>
      </c>
      <c r="EG6" s="72"/>
      <c r="EH6" s="78" t="s">
        <v>141</v>
      </c>
      <c r="EI6" s="38" t="s">
        <v>141</v>
      </c>
      <c r="EJ6" s="32"/>
      <c r="EK6" s="66"/>
      <c r="EL6" s="12">
        <v>0.0067558</v>
      </c>
      <c r="EM6" s="72"/>
      <c r="EN6" s="78" t="s">
        <v>141</v>
      </c>
      <c r="EO6" s="38" t="s">
        <v>141</v>
      </c>
      <c r="EP6" s="32"/>
      <c r="EQ6" s="66"/>
      <c r="ER6" s="12">
        <v>0.0019268</v>
      </c>
      <c r="ES6" s="72"/>
      <c r="ET6" s="78" t="s">
        <v>141</v>
      </c>
      <c r="EU6" s="38" t="s">
        <v>141</v>
      </c>
      <c r="EV6" s="32"/>
    </row>
    <row r="7" spans="1:151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G7" s="38" t="s">
        <v>147</v>
      </c>
      <c r="I7" s="38" t="s">
        <v>11</v>
      </c>
      <c r="J7" s="38" t="s">
        <v>12</v>
      </c>
      <c r="K7" s="38" t="s">
        <v>4</v>
      </c>
      <c r="L7" s="38" t="s">
        <v>142</v>
      </c>
      <c r="M7" s="38" t="s">
        <v>147</v>
      </c>
      <c r="O7" s="38" t="s">
        <v>11</v>
      </c>
      <c r="P7" s="38" t="s">
        <v>12</v>
      </c>
      <c r="Q7" s="38" t="s">
        <v>4</v>
      </c>
      <c r="R7" s="38" t="s">
        <v>142</v>
      </c>
      <c r="S7" s="38" t="s">
        <v>147</v>
      </c>
      <c r="U7" s="38" t="s">
        <v>11</v>
      </c>
      <c r="V7" s="38" t="s">
        <v>12</v>
      </c>
      <c r="W7" s="38" t="s">
        <v>4</v>
      </c>
      <c r="X7" s="38" t="s">
        <v>142</v>
      </c>
      <c r="Y7" s="38" t="s">
        <v>147</v>
      </c>
      <c r="AA7" s="38" t="s">
        <v>11</v>
      </c>
      <c r="AB7" s="38" t="s">
        <v>12</v>
      </c>
      <c r="AC7" s="38" t="s">
        <v>4</v>
      </c>
      <c r="AD7" s="38" t="s">
        <v>142</v>
      </c>
      <c r="AE7" s="38" t="s">
        <v>147</v>
      </c>
      <c r="AG7" s="38" t="s">
        <v>11</v>
      </c>
      <c r="AH7" s="38" t="s">
        <v>12</v>
      </c>
      <c r="AI7" s="38" t="s">
        <v>4</v>
      </c>
      <c r="AJ7" s="38" t="s">
        <v>142</v>
      </c>
      <c r="AK7" s="38" t="s">
        <v>147</v>
      </c>
      <c r="AL7" s="61"/>
      <c r="AM7" s="38" t="s">
        <v>11</v>
      </c>
      <c r="AN7" s="38" t="s">
        <v>12</v>
      </c>
      <c r="AO7" s="38" t="s">
        <v>4</v>
      </c>
      <c r="AP7" s="38" t="s">
        <v>142</v>
      </c>
      <c r="AQ7" s="38" t="s">
        <v>147</v>
      </c>
      <c r="AS7" s="38" t="s">
        <v>11</v>
      </c>
      <c r="AT7" s="38" t="s">
        <v>12</v>
      </c>
      <c r="AU7" s="38" t="s">
        <v>4</v>
      </c>
      <c r="AV7" s="38" t="s">
        <v>142</v>
      </c>
      <c r="AW7" s="38" t="s">
        <v>147</v>
      </c>
      <c r="AY7" s="38" t="s">
        <v>11</v>
      </c>
      <c r="AZ7" s="38" t="s">
        <v>12</v>
      </c>
      <c r="BA7" s="38" t="s">
        <v>4</v>
      </c>
      <c r="BB7" s="38" t="s">
        <v>142</v>
      </c>
      <c r="BC7" s="38" t="s">
        <v>147</v>
      </c>
      <c r="BE7" s="38" t="s">
        <v>11</v>
      </c>
      <c r="BF7" s="38" t="s">
        <v>12</v>
      </c>
      <c r="BG7" s="38" t="s">
        <v>4</v>
      </c>
      <c r="BH7" s="38" t="s">
        <v>142</v>
      </c>
      <c r="BI7" s="38" t="s">
        <v>147</v>
      </c>
      <c r="BK7" s="38" t="s">
        <v>11</v>
      </c>
      <c r="BL7" s="38" t="s">
        <v>12</v>
      </c>
      <c r="BM7" s="38" t="s">
        <v>4</v>
      </c>
      <c r="BN7" s="38" t="s">
        <v>142</v>
      </c>
      <c r="BO7" s="38" t="s">
        <v>147</v>
      </c>
      <c r="BQ7" s="38" t="s">
        <v>11</v>
      </c>
      <c r="BR7" s="38" t="s">
        <v>12</v>
      </c>
      <c r="BS7" s="38" t="s">
        <v>4</v>
      </c>
      <c r="BT7" s="38" t="s">
        <v>142</v>
      </c>
      <c r="BU7" s="38" t="s">
        <v>147</v>
      </c>
      <c r="BV7" s="61"/>
      <c r="BW7" s="38" t="s">
        <v>11</v>
      </c>
      <c r="BX7" s="38" t="s">
        <v>12</v>
      </c>
      <c r="BY7" s="38" t="s">
        <v>4</v>
      </c>
      <c r="BZ7" s="38" t="s">
        <v>142</v>
      </c>
      <c r="CA7" s="38" t="s">
        <v>147</v>
      </c>
      <c r="CB7" s="61"/>
      <c r="CC7" s="38" t="s">
        <v>11</v>
      </c>
      <c r="CD7" s="38" t="s">
        <v>12</v>
      </c>
      <c r="CE7" s="38" t="s">
        <v>4</v>
      </c>
      <c r="CF7" s="38" t="s">
        <v>142</v>
      </c>
      <c r="CG7" s="38" t="s">
        <v>147</v>
      </c>
      <c r="CH7" s="61"/>
      <c r="CI7" s="38" t="s">
        <v>11</v>
      </c>
      <c r="CJ7" s="38" t="s">
        <v>12</v>
      </c>
      <c r="CK7" s="38" t="s">
        <v>4</v>
      </c>
      <c r="CL7" s="38" t="s">
        <v>142</v>
      </c>
      <c r="CM7" s="38" t="s">
        <v>147</v>
      </c>
      <c r="CN7" s="61"/>
      <c r="CO7" s="38" t="s">
        <v>11</v>
      </c>
      <c r="CP7" s="38" t="s">
        <v>12</v>
      </c>
      <c r="CQ7" s="38" t="s">
        <v>4</v>
      </c>
      <c r="CR7" s="38" t="s">
        <v>142</v>
      </c>
      <c r="CS7" s="38" t="s">
        <v>147</v>
      </c>
      <c r="CU7" s="38" t="s">
        <v>11</v>
      </c>
      <c r="CV7" s="38" t="s">
        <v>12</v>
      </c>
      <c r="CW7" s="38" t="s">
        <v>4</v>
      </c>
      <c r="CX7" s="38" t="s">
        <v>142</v>
      </c>
      <c r="CY7" s="38" t="s">
        <v>147</v>
      </c>
      <c r="DA7" s="38" t="s">
        <v>11</v>
      </c>
      <c r="DB7" s="38" t="s">
        <v>12</v>
      </c>
      <c r="DC7" s="38" t="s">
        <v>4</v>
      </c>
      <c r="DD7" s="38" t="s">
        <v>142</v>
      </c>
      <c r="DE7" s="38" t="s">
        <v>147</v>
      </c>
      <c r="DG7" s="38" t="s">
        <v>11</v>
      </c>
      <c r="DH7" s="38" t="s">
        <v>12</v>
      </c>
      <c r="DI7" s="38" t="s">
        <v>4</v>
      </c>
      <c r="DJ7" s="38" t="s">
        <v>142</v>
      </c>
      <c r="DK7" s="38" t="s">
        <v>147</v>
      </c>
      <c r="DM7" s="38" t="s">
        <v>11</v>
      </c>
      <c r="DN7" s="38" t="s">
        <v>12</v>
      </c>
      <c r="DO7" s="38" t="s">
        <v>4</v>
      </c>
      <c r="DP7" s="38" t="s">
        <v>142</v>
      </c>
      <c r="DQ7" s="38" t="s">
        <v>147</v>
      </c>
      <c r="DR7" s="61"/>
      <c r="DS7" s="38" t="s">
        <v>11</v>
      </c>
      <c r="DT7" s="38" t="s">
        <v>12</v>
      </c>
      <c r="DU7" s="38" t="s">
        <v>4</v>
      </c>
      <c r="DV7" s="38" t="s">
        <v>142</v>
      </c>
      <c r="DW7" s="38" t="s">
        <v>147</v>
      </c>
      <c r="DX7" s="61"/>
      <c r="DY7" s="38" t="s">
        <v>11</v>
      </c>
      <c r="DZ7" s="38" t="s">
        <v>12</v>
      </c>
      <c r="EA7" s="38" t="s">
        <v>4</v>
      </c>
      <c r="EB7" s="38" t="s">
        <v>142</v>
      </c>
      <c r="EC7" s="38" t="s">
        <v>147</v>
      </c>
      <c r="EE7" s="38" t="s">
        <v>11</v>
      </c>
      <c r="EF7" s="38" t="s">
        <v>12</v>
      </c>
      <c r="EG7" s="38" t="s">
        <v>4</v>
      </c>
      <c r="EH7" s="38" t="s">
        <v>142</v>
      </c>
      <c r="EI7" s="38" t="s">
        <v>147</v>
      </c>
      <c r="EK7" s="38" t="s">
        <v>11</v>
      </c>
      <c r="EL7" s="38" t="s">
        <v>12</v>
      </c>
      <c r="EM7" s="38" t="s">
        <v>4</v>
      </c>
      <c r="EN7" s="38" t="s">
        <v>142</v>
      </c>
      <c r="EO7" s="38" t="s">
        <v>147</v>
      </c>
      <c r="EQ7" s="38" t="s">
        <v>11</v>
      </c>
      <c r="ER7" s="38" t="s">
        <v>12</v>
      </c>
      <c r="ES7" s="38" t="s">
        <v>4</v>
      </c>
      <c r="ET7" s="38" t="s">
        <v>142</v>
      </c>
      <c r="EU7" s="38" t="s">
        <v>147</v>
      </c>
    </row>
    <row r="8" spans="1:152" ht="12.75">
      <c r="A8" s="76">
        <v>44105</v>
      </c>
      <c r="D8" s="34">
        <v>202550</v>
      </c>
      <c r="E8" s="34">
        <f aca="true" t="shared" si="0" ref="E8:E25">C8+D8</f>
        <v>202550</v>
      </c>
      <c r="F8" s="34">
        <v>167518</v>
      </c>
      <c r="G8" s="34">
        <v>90321</v>
      </c>
      <c r="I8" s="69"/>
      <c r="J8" s="69">
        <f aca="true" t="shared" si="1" ref="J8:J25">P8+V8+AN8+AZ8+AH8+BF8+BL8+BR8+CD8+CJ8+CP8+CV8+DB8+DN8+DZ8+EF8+EL8+ER8+AB8+AT8+DH8+DT8+BX8</f>
        <v>65130.661425</v>
      </c>
      <c r="K8" s="69">
        <f aca="true" t="shared" si="2" ref="K8:K25">I8+J8</f>
        <v>65130.661425</v>
      </c>
      <c r="L8" s="69">
        <f aca="true" t="shared" si="3" ref="L8:M25">R8+X8+AP8+BB8+AJ8+BH8+BN8+BT8+CF8+CL8+CR8+CX8+DD8+DP8+EB8+EH8+EN8+ET8+AD8+AV8+DJ8+DV8+BZ8</f>
        <v>53865.999213</v>
      </c>
      <c r="M8" s="69">
        <f t="shared" si="3"/>
        <v>29043.0336735</v>
      </c>
      <c r="P8" s="32">
        <f aca="true" t="shared" si="4" ref="P8:P25">D8*$P$6</f>
        <v>8950.88705</v>
      </c>
      <c r="Q8" s="32">
        <f aca="true" t="shared" si="5" ref="Q8:Q25">O8+P8</f>
        <v>8950.88705</v>
      </c>
      <c r="R8" s="49">
        <f aca="true" t="shared" si="6" ref="R8:R25">P$6*$F8</f>
        <v>7402.787938</v>
      </c>
      <c r="S8" s="49">
        <f>P$6*$G8</f>
        <v>3991.3753110000002</v>
      </c>
      <c r="V8" s="49">
        <f aca="true" t="shared" si="7" ref="V8:V25">D8*$V$6</f>
        <v>9132.9795</v>
      </c>
      <c r="W8" s="49">
        <f aca="true" t="shared" si="8" ref="W8:W25">U8+V8</f>
        <v>9132.9795</v>
      </c>
      <c r="X8" s="49">
        <f aca="true" t="shared" si="9" ref="X8:X25">V$6*$F8</f>
        <v>7553.386619999999</v>
      </c>
      <c r="Y8" s="49">
        <f>V$6*$G8</f>
        <v>4072.5738899999997</v>
      </c>
      <c r="AB8" s="49">
        <f aca="true" t="shared" si="10" ref="AB8:AB25">D8*$AB$6</f>
        <v>305.384635</v>
      </c>
      <c r="AC8" s="49">
        <f aca="true" t="shared" si="11" ref="AC8:AC25">AA8+AB8</f>
        <v>305.384635</v>
      </c>
      <c r="AD8" s="49">
        <f aca="true" t="shared" si="12" ref="AD8:AD25">AB$6*$F8</f>
        <v>252.5668886</v>
      </c>
      <c r="AE8" s="49">
        <f>AB$6*$G8</f>
        <v>136.1769717</v>
      </c>
      <c r="AG8" s="32">
        <f aca="true" t="shared" si="13" ref="AG8:AG25">AH$6*$C8</f>
        <v>0</v>
      </c>
      <c r="AH8" s="32">
        <f aca="true" t="shared" si="14" ref="AH8:AH25">AH$6*$D8</f>
        <v>113.42799999999998</v>
      </c>
      <c r="AI8" s="32">
        <f aca="true" t="shared" si="15" ref="AI8:AI25">AG8+AH8</f>
        <v>113.42799999999998</v>
      </c>
      <c r="AJ8" s="49">
        <f aca="true" t="shared" si="16" ref="AJ8:AJ25">AH$6*$F8</f>
        <v>93.81007999999999</v>
      </c>
      <c r="AK8" s="49">
        <f>AH$6*$G8</f>
        <v>50.57975999999999</v>
      </c>
      <c r="AN8" s="32">
        <f aca="true" t="shared" si="17" ref="AN8:AN25">D8*$AN$6</f>
        <v>1719.0621049999997</v>
      </c>
      <c r="AO8" s="32">
        <f aca="true" t="shared" si="18" ref="AO8:AO25">AM8+AN8</f>
        <v>1719.0621049999997</v>
      </c>
      <c r="AP8" s="49">
        <f aca="true" t="shared" si="19" ref="AP8:AP25">AN$6*$F8</f>
        <v>1421.7420177999998</v>
      </c>
      <c r="AQ8" s="49">
        <f>AN$6*$G8</f>
        <v>766.5633591</v>
      </c>
      <c r="AS8" s="49"/>
      <c r="AT8" s="32">
        <f aca="true" t="shared" si="20" ref="AT8:AT25">D8*$AT$6</f>
        <v>436.191425</v>
      </c>
      <c r="AU8" s="49">
        <f aca="true" t="shared" si="21" ref="AU8:AU25">AS8+AT8</f>
        <v>436.191425</v>
      </c>
      <c r="AV8" s="49">
        <f aca="true" t="shared" si="22" ref="AV8:AV25">AT$6*$F8</f>
        <v>360.750013</v>
      </c>
      <c r="AW8" s="49">
        <f>AT$6*$G8</f>
        <v>194.5062735</v>
      </c>
      <c r="AY8" s="49"/>
      <c r="AZ8" s="32">
        <f aca="true" t="shared" si="23" ref="AZ8:AZ25">D8*$AZ$6</f>
        <v>466.83724</v>
      </c>
      <c r="BA8" s="49">
        <f aca="true" t="shared" si="24" ref="BA8:BA25">AY8+AZ8</f>
        <v>466.83724</v>
      </c>
      <c r="BB8" s="49">
        <f aca="true" t="shared" si="25" ref="BB8:BB25">AZ$6*$F8</f>
        <v>386.0954864</v>
      </c>
      <c r="BC8" s="49">
        <f>AZ$6*$G8</f>
        <v>208.1718408</v>
      </c>
      <c r="BF8" s="32">
        <f aca="true" t="shared" si="26" ref="BF8:BF25">D8*$BF$6</f>
        <v>473.17705499999994</v>
      </c>
      <c r="BG8" s="32">
        <f aca="true" t="shared" si="27" ref="BG8:BG25">BE8+BF8</f>
        <v>473.17705499999994</v>
      </c>
      <c r="BH8" s="49">
        <f aca="true" t="shared" si="28" ref="BH8:BH25">BF$6*$F8</f>
        <v>391.33879979999995</v>
      </c>
      <c r="BI8" s="49">
        <f>BF$6*$G8</f>
        <v>210.9988881</v>
      </c>
      <c r="BL8" s="32">
        <f aca="true" t="shared" si="29" ref="BL8:BL25">D8*$BL$6</f>
        <v>94.043965</v>
      </c>
      <c r="BM8" s="49">
        <f aca="true" t="shared" si="30" ref="BM8:BM25">BK8+BL8</f>
        <v>94.043965</v>
      </c>
      <c r="BN8" s="49">
        <f aca="true" t="shared" si="31" ref="BN8:BN25">BL$6*$F8</f>
        <v>77.7786074</v>
      </c>
      <c r="BO8" s="49">
        <f>BL$6*$G8</f>
        <v>41.9360403</v>
      </c>
      <c r="BR8" s="32">
        <f aca="true" t="shared" si="32" ref="BR8:BR25">D8*$BR$6</f>
        <v>763.228655</v>
      </c>
      <c r="BS8" s="49">
        <f aca="true" t="shared" si="33" ref="BS8:BS25">BQ8+BR8</f>
        <v>763.228655</v>
      </c>
      <c r="BT8" s="49">
        <f aca="true" t="shared" si="34" ref="BT8:BT25">BR$6*$F8</f>
        <v>631.2245758</v>
      </c>
      <c r="BU8" s="49">
        <f>BR$6*$G8</f>
        <v>340.3385601</v>
      </c>
      <c r="BW8" s="32">
        <f aca="true" t="shared" si="35" ref="BW8:BW25">BX$6*$C8</f>
        <v>0</v>
      </c>
      <c r="BX8" s="32">
        <f aca="true" t="shared" si="36" ref="BX8:BX25">BX$6*$D8</f>
        <v>23.252740000000017</v>
      </c>
      <c r="BY8" s="49">
        <f aca="true" t="shared" si="37" ref="BY8:BY25">SUM(BW8:BX8)</f>
        <v>23.252740000000017</v>
      </c>
      <c r="BZ8" s="32">
        <f aca="true" t="shared" si="38" ref="BZ8:BZ25">BX$6*$F8</f>
        <v>19.231066400000014</v>
      </c>
      <c r="CA8" s="49">
        <f>BX$6*$G8</f>
        <v>10.368850800000008</v>
      </c>
      <c r="CC8" s="49"/>
      <c r="CD8" s="49">
        <f aca="true" t="shared" si="39" ref="CD8:CD25">D8*$CD$6</f>
        <v>668.53653</v>
      </c>
      <c r="CE8" s="32">
        <f aca="true" t="shared" si="40" ref="CE8:CE25">CC8+CD8</f>
        <v>668.53653</v>
      </c>
      <c r="CF8" s="49">
        <f aca="true" t="shared" si="41" ref="CF8:CF25">CD$6*$F8</f>
        <v>552.9099108</v>
      </c>
      <c r="CG8" s="49">
        <f>CD$6*$G8</f>
        <v>298.1134926</v>
      </c>
      <c r="CI8" s="49"/>
      <c r="CJ8" s="49">
        <f aca="true" t="shared" si="42" ref="CJ8:CJ25">D8*$CJ$6</f>
        <v>420.838135</v>
      </c>
      <c r="CK8" s="32">
        <f aca="true" t="shared" si="43" ref="CK8:CK25">CI8+CJ8</f>
        <v>420.838135</v>
      </c>
      <c r="CL8" s="49">
        <f aca="true" t="shared" si="44" ref="CL8:CL25">CJ$6*$F8</f>
        <v>348.0521486</v>
      </c>
      <c r="CM8" s="49">
        <f>CJ$6*$G8</f>
        <v>187.6599417</v>
      </c>
      <c r="CP8" s="32">
        <f aca="true" t="shared" si="45" ref="CP8:CP25">D8*$CP$6</f>
        <v>16118.15931</v>
      </c>
      <c r="CQ8" s="49">
        <f aca="true" t="shared" si="46" ref="CQ8:CQ25">CO8+CP8</f>
        <v>16118.15931</v>
      </c>
      <c r="CR8" s="49">
        <f aca="true" t="shared" si="47" ref="CR8:CR25">CP$6*$F8</f>
        <v>13330.4458716</v>
      </c>
      <c r="CS8" s="49">
        <f>CP$6*$G8</f>
        <v>7187.4019602</v>
      </c>
      <c r="CV8" s="32">
        <f aca="true" t="shared" si="48" ref="CV8:CV25">D8*$CV$6</f>
        <v>183.95591</v>
      </c>
      <c r="CW8" s="32">
        <f aca="true" t="shared" si="49" ref="CW8:CW25">CU8+CV8</f>
        <v>183.95591</v>
      </c>
      <c r="CX8" s="49">
        <f aca="true" t="shared" si="50" ref="CX8:CX25">CV$6*$F8</f>
        <v>152.1398476</v>
      </c>
      <c r="CY8" s="49">
        <f>CV$6*$G8</f>
        <v>82.02953219999999</v>
      </c>
      <c r="DB8" s="32">
        <f aca="true" t="shared" si="51" ref="DB8:DB25">D8*$DB$6</f>
        <v>22471.62618</v>
      </c>
      <c r="DC8" s="49">
        <f aca="true" t="shared" si="52" ref="DC8:DC25">DA8+DB8</f>
        <v>22471.62618</v>
      </c>
      <c r="DD8" s="49">
        <f aca="true" t="shared" si="53" ref="DD8:DD25">DB$6*$F8</f>
        <v>18585.0499848</v>
      </c>
      <c r="DE8" s="49">
        <f>DB$6*$G8</f>
        <v>10020.5368956</v>
      </c>
      <c r="DH8" s="32">
        <f aca="true" t="shared" si="54" ref="DH8:DH25">D8*$DH$6</f>
        <v>216.7285</v>
      </c>
      <c r="DI8" s="49">
        <f aca="true" t="shared" si="55" ref="DI8:DI25">DG8+DH8</f>
        <v>216.7285</v>
      </c>
      <c r="DJ8" s="49">
        <f aca="true" t="shared" si="56" ref="DJ8:DJ25">DH$6*$F8</f>
        <v>179.24426</v>
      </c>
      <c r="DK8" s="49">
        <f>DH$6*$G8</f>
        <v>96.64347</v>
      </c>
      <c r="DN8" s="32">
        <f aca="true" t="shared" si="57" ref="DN8:DN25">D8*$DN$6</f>
        <v>149.90725500000002</v>
      </c>
      <c r="DO8" s="49">
        <f aca="true" t="shared" si="58" ref="DO8:DO25">DM8+DN8</f>
        <v>149.90725500000002</v>
      </c>
      <c r="DP8" s="49">
        <f aca="true" t="shared" si="59" ref="DP8:DP25">DN$6*$F8</f>
        <v>123.9800718</v>
      </c>
      <c r="DQ8" s="49">
        <f>DN$6*$G8</f>
        <v>66.8465721</v>
      </c>
      <c r="DT8" s="49">
        <f aca="true" t="shared" si="60" ref="DT8:DT25">D8*$DT$6</f>
        <v>92.44382</v>
      </c>
      <c r="DU8" s="49">
        <f aca="true" t="shared" si="61" ref="DU8:DU25">DS8+DT8</f>
        <v>92.44382</v>
      </c>
      <c r="DV8" s="49">
        <f aca="true" t="shared" si="62" ref="DV8:DV25">DT$6*$F8</f>
        <v>76.4552152</v>
      </c>
      <c r="DW8" s="49">
        <f>DT$6*$G8</f>
        <v>41.2225044</v>
      </c>
      <c r="DZ8" s="32">
        <f aca="true" t="shared" si="63" ref="DZ8:DZ25">D8*$DZ$6</f>
        <v>2.3090699999999997</v>
      </c>
      <c r="EA8" s="49">
        <f aca="true" t="shared" si="64" ref="EA8:EA25">DY8+DZ8</f>
        <v>2.3090699999999997</v>
      </c>
      <c r="EB8" s="49">
        <f aca="true" t="shared" si="65" ref="EB8:EB25">DZ$6*$F8</f>
        <v>1.9097051999999999</v>
      </c>
      <c r="EC8" s="49">
        <f>DZ$6*$G8</f>
        <v>1.0296594</v>
      </c>
      <c r="EF8" s="32">
        <f aca="true" t="shared" si="66" ref="EF8:EF25">D8*$EF$6</f>
        <v>569.0237149999999</v>
      </c>
      <c r="EG8" s="32">
        <f aca="true" t="shared" si="67" ref="EG8:EG25">EE8+EF8</f>
        <v>569.0237149999999</v>
      </c>
      <c r="EH8" s="49">
        <f aca="true" t="shared" si="68" ref="EH8:EH25">EF$6*$F8</f>
        <v>470.6083174</v>
      </c>
      <c r="EI8" s="49">
        <f>EF$6*$G8</f>
        <v>253.7387853</v>
      </c>
      <c r="EL8" s="32">
        <f aca="true" t="shared" si="69" ref="EL8:EL25">D8*$EL$6</f>
        <v>1368.3872900000001</v>
      </c>
      <c r="EM8" s="49">
        <f aca="true" t="shared" si="70" ref="EM8:EM25">EK8+EL8</f>
        <v>1368.3872900000001</v>
      </c>
      <c r="EN8" s="49">
        <f aca="true" t="shared" si="71" ref="EN8:EN25">EL$6*$F8</f>
        <v>1131.7181044000001</v>
      </c>
      <c r="EO8" s="49">
        <f>EL$6*$G8</f>
        <v>610.1906118</v>
      </c>
      <c r="ER8" s="32">
        <f aca="true" t="shared" si="72" ref="ER8:ER25">D8*$ER$6</f>
        <v>390.27334</v>
      </c>
      <c r="ES8" s="49">
        <f aca="true" t="shared" si="73" ref="ES8:ES25">EQ8+ER8</f>
        <v>390.27334</v>
      </c>
      <c r="ET8" s="49">
        <f aca="true" t="shared" si="74" ref="ET8:ET25">ER$6*$F8</f>
        <v>322.7736824</v>
      </c>
      <c r="EU8" s="49">
        <f>ER$6*$G8</f>
        <v>174.0305028</v>
      </c>
      <c r="EV8"/>
    </row>
    <row r="9" spans="1:152" ht="12.75">
      <c r="A9" s="76">
        <v>44287</v>
      </c>
      <c r="C9" s="34">
        <v>4970000</v>
      </c>
      <c r="D9" s="34">
        <v>202550</v>
      </c>
      <c r="E9" s="34">
        <f t="shared" si="0"/>
        <v>5172550</v>
      </c>
      <c r="F9" s="34">
        <v>167518</v>
      </c>
      <c r="G9" s="34">
        <v>90321</v>
      </c>
      <c r="I9" s="69">
        <f aca="true" t="shared" si="75" ref="I9:I25">O9+U9+AM9+AY9+AG9+BE9+BK9+BQ9+CC9+CI9+CO9+CU9+DA9+DM9+DY9+EE9+EK9+EQ9+AA9+AS9+DG9+DS9+BW9</f>
        <v>1598120.8949999998</v>
      </c>
      <c r="J9" s="69">
        <f t="shared" si="1"/>
        <v>65130.661425</v>
      </c>
      <c r="K9" s="69">
        <f t="shared" si="2"/>
        <v>1663251.5564249998</v>
      </c>
      <c r="L9" s="69">
        <f t="shared" si="3"/>
        <v>53865.999213</v>
      </c>
      <c r="M9" s="69">
        <f t="shared" si="3"/>
        <v>29043.0336735</v>
      </c>
      <c r="O9" s="32">
        <f aca="true" t="shared" si="76" ref="O9:O25">C9*$P$6</f>
        <v>219629.27000000002</v>
      </c>
      <c r="P9" s="32">
        <f t="shared" si="4"/>
        <v>8950.88705</v>
      </c>
      <c r="Q9" s="32">
        <f t="shared" si="5"/>
        <v>228580.15705</v>
      </c>
      <c r="R9" s="49">
        <f t="shared" si="6"/>
        <v>7402.787938</v>
      </c>
      <c r="S9" s="49">
        <f>P$6*$G9</f>
        <v>3991.3753110000002</v>
      </c>
      <c r="U9" s="32">
        <f aca="true" t="shared" si="77" ref="U9:U25">C9*$V$6</f>
        <v>224097.3</v>
      </c>
      <c r="V9" s="49">
        <f t="shared" si="7"/>
        <v>9132.9795</v>
      </c>
      <c r="W9" s="49">
        <f t="shared" si="8"/>
        <v>233230.27949999998</v>
      </c>
      <c r="X9" s="49">
        <f t="shared" si="9"/>
        <v>7553.386619999999</v>
      </c>
      <c r="Y9" s="49">
        <f>V$6*$G9</f>
        <v>4072.5738899999997</v>
      </c>
      <c r="AA9" s="32">
        <f aca="true" t="shared" si="78" ref="AA9:AA25">C9*$AB$6</f>
        <v>7493.269</v>
      </c>
      <c r="AB9" s="49">
        <f t="shared" si="10"/>
        <v>305.384635</v>
      </c>
      <c r="AC9" s="49">
        <f t="shared" si="11"/>
        <v>7798.653635000001</v>
      </c>
      <c r="AD9" s="49">
        <f t="shared" si="12"/>
        <v>252.5668886</v>
      </c>
      <c r="AE9" s="49">
        <f>AB$6*$G9</f>
        <v>136.1769717</v>
      </c>
      <c r="AG9" s="32">
        <f t="shared" si="13"/>
        <v>2783.2</v>
      </c>
      <c r="AH9" s="32">
        <f t="shared" si="14"/>
        <v>113.42799999999998</v>
      </c>
      <c r="AI9" s="32">
        <f t="shared" si="15"/>
        <v>2896.6279999999997</v>
      </c>
      <c r="AJ9" s="49">
        <f t="shared" si="16"/>
        <v>93.81007999999999</v>
      </c>
      <c r="AK9" s="49">
        <f>AH$6*$G9</f>
        <v>50.57975999999999</v>
      </c>
      <c r="AM9" s="32">
        <f aca="true" t="shared" si="79" ref="AM9:AM25">C9*$AN$6</f>
        <v>42180.886999999995</v>
      </c>
      <c r="AN9" s="32">
        <f t="shared" si="17"/>
        <v>1719.0621049999997</v>
      </c>
      <c r="AO9" s="32">
        <f t="shared" si="18"/>
        <v>43899.94910499999</v>
      </c>
      <c r="AP9" s="49">
        <f t="shared" si="19"/>
        <v>1421.7420177999998</v>
      </c>
      <c r="AQ9" s="49">
        <f>AN$6*$G9</f>
        <v>766.5633591</v>
      </c>
      <c r="AS9" s="49">
        <f aca="true" t="shared" si="80" ref="AS9:AS25">C9*$AT$6</f>
        <v>10702.895</v>
      </c>
      <c r="AT9" s="32">
        <f t="shared" si="20"/>
        <v>436.191425</v>
      </c>
      <c r="AU9" s="49">
        <f t="shared" si="21"/>
        <v>11139.086425000001</v>
      </c>
      <c r="AV9" s="49">
        <f t="shared" si="22"/>
        <v>360.750013</v>
      </c>
      <c r="AW9" s="49">
        <f>AT$6*$G9</f>
        <v>194.5062735</v>
      </c>
      <c r="AY9" s="49">
        <f aca="true" t="shared" si="81" ref="AY9:AY25">C9*$AZ$6</f>
        <v>11454.856</v>
      </c>
      <c r="AZ9" s="32">
        <f t="shared" si="23"/>
        <v>466.83724</v>
      </c>
      <c r="BA9" s="49">
        <f t="shared" si="24"/>
        <v>11921.69324</v>
      </c>
      <c r="BB9" s="49">
        <f t="shared" si="25"/>
        <v>386.0954864</v>
      </c>
      <c r="BC9" s="49">
        <f>AZ$6*$G9</f>
        <v>208.1718408</v>
      </c>
      <c r="BE9" s="32">
        <f aca="true" t="shared" si="82" ref="BE9:BE25">C9*$BF$6</f>
        <v>11610.417</v>
      </c>
      <c r="BF9" s="32">
        <f t="shared" si="26"/>
        <v>473.17705499999994</v>
      </c>
      <c r="BG9" s="32">
        <f t="shared" si="27"/>
        <v>12083.594055</v>
      </c>
      <c r="BH9" s="49">
        <f t="shared" si="28"/>
        <v>391.33879979999995</v>
      </c>
      <c r="BI9" s="49">
        <f>BF$6*$G9</f>
        <v>210.9988881</v>
      </c>
      <c r="BK9" s="32">
        <f aca="true" t="shared" si="83" ref="BK9:BK25">C9*$BL$6</f>
        <v>2307.571</v>
      </c>
      <c r="BL9" s="32">
        <f t="shared" si="29"/>
        <v>94.043965</v>
      </c>
      <c r="BM9" s="49">
        <f t="shared" si="30"/>
        <v>2401.6149649999998</v>
      </c>
      <c r="BN9" s="49">
        <f t="shared" si="31"/>
        <v>77.7786074</v>
      </c>
      <c r="BO9" s="49">
        <f>BL$6*$G9</f>
        <v>41.9360403</v>
      </c>
      <c r="BQ9" s="32">
        <f aca="true" t="shared" si="84" ref="BQ9:BQ25">C9*$BR$6</f>
        <v>18727.457</v>
      </c>
      <c r="BR9" s="32">
        <f t="shared" si="32"/>
        <v>763.228655</v>
      </c>
      <c r="BS9" s="49">
        <f t="shared" si="33"/>
        <v>19490.685654999997</v>
      </c>
      <c r="BT9" s="49">
        <f t="shared" si="34"/>
        <v>631.2245758</v>
      </c>
      <c r="BU9" s="49">
        <f>BR$6*$G9</f>
        <v>340.3385601</v>
      </c>
      <c r="BW9" s="32">
        <f t="shared" si="35"/>
        <v>570.5560000000004</v>
      </c>
      <c r="BX9" s="32">
        <f t="shared" si="36"/>
        <v>23.252740000000017</v>
      </c>
      <c r="BY9" s="49">
        <f t="shared" si="37"/>
        <v>593.8087400000004</v>
      </c>
      <c r="BZ9" s="32">
        <f t="shared" si="38"/>
        <v>19.231066400000014</v>
      </c>
      <c r="CA9" s="49">
        <f>BX$6*$G9</f>
        <v>10.368850800000008</v>
      </c>
      <c r="CC9" s="49">
        <f aca="true" t="shared" si="85" ref="CC9:CC25">C9*$CD$6</f>
        <v>16403.982</v>
      </c>
      <c r="CD9" s="49">
        <f t="shared" si="39"/>
        <v>668.53653</v>
      </c>
      <c r="CE9" s="32">
        <f t="shared" si="40"/>
        <v>17072.51853</v>
      </c>
      <c r="CF9" s="49">
        <f t="shared" si="41"/>
        <v>552.9099108</v>
      </c>
      <c r="CG9" s="49">
        <f>CD$6*$G9</f>
        <v>298.1134926</v>
      </c>
      <c r="CI9" s="49">
        <f aca="true" t="shared" si="86" ref="CI9:CI25">C9*$CJ$6</f>
        <v>10326.169</v>
      </c>
      <c r="CJ9" s="49">
        <f t="shared" si="42"/>
        <v>420.838135</v>
      </c>
      <c r="CK9" s="32">
        <f t="shared" si="43"/>
        <v>10747.007135</v>
      </c>
      <c r="CL9" s="49">
        <f t="shared" si="44"/>
        <v>348.0521486</v>
      </c>
      <c r="CM9" s="49">
        <f>CJ$6*$G9</f>
        <v>187.6599417</v>
      </c>
      <c r="CO9" s="32">
        <f aca="true" t="shared" si="87" ref="CO9:CO25">C9*$CP$6</f>
        <v>395493.714</v>
      </c>
      <c r="CP9" s="32">
        <f t="shared" si="45"/>
        <v>16118.15931</v>
      </c>
      <c r="CQ9" s="49">
        <f t="shared" si="46"/>
        <v>411611.87331</v>
      </c>
      <c r="CR9" s="49">
        <f t="shared" si="47"/>
        <v>13330.4458716</v>
      </c>
      <c r="CS9" s="49">
        <f>CP$6*$G9</f>
        <v>7187.4019602</v>
      </c>
      <c r="CU9" s="32">
        <f aca="true" t="shared" si="88" ref="CU9:CU25">C9*$CV$6</f>
        <v>4513.754</v>
      </c>
      <c r="CV9" s="32">
        <f t="shared" si="48"/>
        <v>183.95591</v>
      </c>
      <c r="CW9" s="32">
        <f t="shared" si="49"/>
        <v>4697.70991</v>
      </c>
      <c r="CX9" s="49">
        <f t="shared" si="50"/>
        <v>152.1398476</v>
      </c>
      <c r="CY9" s="49">
        <f>CV$6*$G9</f>
        <v>82.02953219999999</v>
      </c>
      <c r="DA9" s="32">
        <f aca="true" t="shared" si="89" ref="DA9:DA25">C9*$DB$6</f>
        <v>551389.692</v>
      </c>
      <c r="DB9" s="32">
        <f t="shared" si="51"/>
        <v>22471.62618</v>
      </c>
      <c r="DC9" s="49">
        <f t="shared" si="52"/>
        <v>573861.3181800001</v>
      </c>
      <c r="DD9" s="49">
        <f t="shared" si="53"/>
        <v>18585.0499848</v>
      </c>
      <c r="DE9" s="49">
        <f>DB$6*$G9</f>
        <v>10020.5368956</v>
      </c>
      <c r="DG9" s="32">
        <f aca="true" t="shared" si="90" ref="DG9:DG25">C9*$DH$6</f>
        <v>5317.9</v>
      </c>
      <c r="DH9" s="32">
        <f t="shared" si="54"/>
        <v>216.7285</v>
      </c>
      <c r="DI9" s="49">
        <f t="shared" si="55"/>
        <v>5534.6285</v>
      </c>
      <c r="DJ9" s="49">
        <f t="shared" si="56"/>
        <v>179.24426</v>
      </c>
      <c r="DK9" s="49">
        <f>DH$6*$G9</f>
        <v>96.64347</v>
      </c>
      <c r="DM9" s="32">
        <f aca="true" t="shared" si="91" ref="DM9:DM25">C9*$DN$6</f>
        <v>3678.297</v>
      </c>
      <c r="DN9" s="32">
        <f t="shared" si="57"/>
        <v>149.90725500000002</v>
      </c>
      <c r="DO9" s="49">
        <f t="shared" si="58"/>
        <v>3828.204255</v>
      </c>
      <c r="DP9" s="49">
        <f t="shared" si="59"/>
        <v>123.9800718</v>
      </c>
      <c r="DQ9" s="49">
        <f>DN$6*$G9</f>
        <v>66.8465721</v>
      </c>
      <c r="DS9" s="32">
        <f aca="true" t="shared" si="92" ref="DS9:DS25">C9*$DT$6</f>
        <v>2268.308</v>
      </c>
      <c r="DT9" s="49">
        <f t="shared" si="60"/>
        <v>92.44382</v>
      </c>
      <c r="DU9" s="49">
        <f t="shared" si="61"/>
        <v>2360.75182</v>
      </c>
      <c r="DV9" s="49">
        <f t="shared" si="62"/>
        <v>76.4552152</v>
      </c>
      <c r="DW9" s="49">
        <f>DT$6*$G9</f>
        <v>41.2225044</v>
      </c>
      <c r="DY9" s="32">
        <f aca="true" t="shared" si="93" ref="DY9:DY25">C9*$DZ$6</f>
        <v>56.657999999999994</v>
      </c>
      <c r="DZ9" s="32">
        <f t="shared" si="63"/>
        <v>2.3090699999999997</v>
      </c>
      <c r="EA9" s="49">
        <f t="shared" si="64"/>
        <v>58.96706999999999</v>
      </c>
      <c r="EB9" s="49">
        <f t="shared" si="65"/>
        <v>1.9097051999999999</v>
      </c>
      <c r="EC9" s="49">
        <f>DZ$6*$G9</f>
        <v>1.0296594</v>
      </c>
      <c r="EE9" s="32">
        <f aca="true" t="shared" si="94" ref="EE9:EE25">C9*$EF$6</f>
        <v>13962.221</v>
      </c>
      <c r="EF9" s="32">
        <f t="shared" si="66"/>
        <v>569.0237149999999</v>
      </c>
      <c r="EG9" s="32">
        <f t="shared" si="67"/>
        <v>14531.244714999999</v>
      </c>
      <c r="EH9" s="49">
        <f t="shared" si="68"/>
        <v>470.6083174</v>
      </c>
      <c r="EI9" s="49">
        <f>EF$6*$G9</f>
        <v>253.7387853</v>
      </c>
      <c r="EK9" s="32">
        <f aca="true" t="shared" si="95" ref="EK9:EK25">C9*$EL$6</f>
        <v>33576.326</v>
      </c>
      <c r="EL9" s="32">
        <f t="shared" si="69"/>
        <v>1368.3872900000001</v>
      </c>
      <c r="EM9" s="49">
        <f t="shared" si="70"/>
        <v>34944.71329</v>
      </c>
      <c r="EN9" s="49">
        <f t="shared" si="71"/>
        <v>1131.7181044000001</v>
      </c>
      <c r="EO9" s="49">
        <f>EL$6*$G9</f>
        <v>610.1906118</v>
      </c>
      <c r="EQ9" s="32">
        <f aca="true" t="shared" si="96" ref="EQ9:EQ25">C9*$ER$6</f>
        <v>9576.196</v>
      </c>
      <c r="ER9" s="32">
        <f t="shared" si="72"/>
        <v>390.27334</v>
      </c>
      <c r="ES9" s="49">
        <f t="shared" si="73"/>
        <v>9966.46934</v>
      </c>
      <c r="ET9" s="49">
        <f t="shared" si="74"/>
        <v>322.7736824</v>
      </c>
      <c r="EU9" s="49">
        <f>ER$6*$G9</f>
        <v>174.0305028</v>
      </c>
      <c r="EV9"/>
    </row>
    <row r="10" spans="1:152" ht="12.75">
      <c r="A10" s="76">
        <v>44470</v>
      </c>
      <c r="D10" s="34">
        <v>128000</v>
      </c>
      <c r="E10" s="34">
        <f t="shared" si="0"/>
        <v>128000</v>
      </c>
      <c r="F10" s="34">
        <v>167518</v>
      </c>
      <c r="G10" s="34">
        <v>90321</v>
      </c>
      <c r="I10" s="69"/>
      <c r="J10" s="69">
        <f t="shared" si="1"/>
        <v>41158.848</v>
      </c>
      <c r="K10" s="69">
        <f t="shared" si="2"/>
        <v>41158.848</v>
      </c>
      <c r="L10" s="69">
        <f t="shared" si="3"/>
        <v>53865.999213</v>
      </c>
      <c r="M10" s="69">
        <f t="shared" si="3"/>
        <v>29043.0336735</v>
      </c>
      <c r="P10" s="32">
        <f t="shared" si="4"/>
        <v>5656.448</v>
      </c>
      <c r="Q10" s="32">
        <f t="shared" si="5"/>
        <v>5656.448</v>
      </c>
      <c r="R10" s="49">
        <f t="shared" si="6"/>
        <v>7402.787938</v>
      </c>
      <c r="S10" s="49">
        <f>P$6*$G10</f>
        <v>3991.3753110000002</v>
      </c>
      <c r="V10" s="49">
        <f t="shared" si="7"/>
        <v>5771.5199999999995</v>
      </c>
      <c r="W10" s="49">
        <f t="shared" si="8"/>
        <v>5771.5199999999995</v>
      </c>
      <c r="X10" s="49">
        <f t="shared" si="9"/>
        <v>7553.386619999999</v>
      </c>
      <c r="Y10" s="49">
        <f>V$6*$G10</f>
        <v>4072.5738899999997</v>
      </c>
      <c r="AB10" s="49">
        <f t="shared" si="10"/>
        <v>192.9856</v>
      </c>
      <c r="AC10" s="49">
        <f t="shared" si="11"/>
        <v>192.9856</v>
      </c>
      <c r="AD10" s="49">
        <f t="shared" si="12"/>
        <v>252.5668886</v>
      </c>
      <c r="AE10" s="49">
        <f>AB$6*$G10</f>
        <v>136.1769717</v>
      </c>
      <c r="AG10" s="32">
        <f t="shared" si="13"/>
        <v>0</v>
      </c>
      <c r="AH10" s="32">
        <f t="shared" si="14"/>
        <v>71.67999999999999</v>
      </c>
      <c r="AI10" s="32">
        <f t="shared" si="15"/>
        <v>71.67999999999999</v>
      </c>
      <c r="AJ10" s="49">
        <f t="shared" si="16"/>
        <v>93.81007999999999</v>
      </c>
      <c r="AK10" s="49">
        <f>AH$6*$G10</f>
        <v>50.57975999999999</v>
      </c>
      <c r="AN10" s="32">
        <f t="shared" si="17"/>
        <v>1086.3488</v>
      </c>
      <c r="AO10" s="32">
        <f t="shared" si="18"/>
        <v>1086.3488</v>
      </c>
      <c r="AP10" s="49">
        <f t="shared" si="19"/>
        <v>1421.7420177999998</v>
      </c>
      <c r="AQ10" s="49">
        <f>AN$6*$G10</f>
        <v>766.5633591</v>
      </c>
      <c r="AS10" s="49"/>
      <c r="AT10" s="32">
        <f t="shared" si="20"/>
        <v>275.648</v>
      </c>
      <c r="AU10" s="49">
        <f t="shared" si="21"/>
        <v>275.648</v>
      </c>
      <c r="AV10" s="49">
        <f t="shared" si="22"/>
        <v>360.750013</v>
      </c>
      <c r="AW10" s="49">
        <f>AT$6*$G10</f>
        <v>194.5062735</v>
      </c>
      <c r="AY10" s="49"/>
      <c r="AZ10" s="32">
        <f t="shared" si="23"/>
        <v>295.0144</v>
      </c>
      <c r="BA10" s="49">
        <f t="shared" si="24"/>
        <v>295.0144</v>
      </c>
      <c r="BB10" s="49">
        <f t="shared" si="25"/>
        <v>386.0954864</v>
      </c>
      <c r="BC10" s="49">
        <f>AZ$6*$G10</f>
        <v>208.1718408</v>
      </c>
      <c r="BF10" s="32">
        <f t="shared" si="26"/>
        <v>299.02079999999995</v>
      </c>
      <c r="BG10" s="32">
        <f t="shared" si="27"/>
        <v>299.02079999999995</v>
      </c>
      <c r="BH10" s="49">
        <f t="shared" si="28"/>
        <v>391.33879979999995</v>
      </c>
      <c r="BI10" s="49">
        <f>BF$6*$G10</f>
        <v>210.9988881</v>
      </c>
      <c r="BL10" s="32">
        <f t="shared" si="29"/>
        <v>59.4304</v>
      </c>
      <c r="BM10" s="49">
        <f t="shared" si="30"/>
        <v>59.4304</v>
      </c>
      <c r="BN10" s="49">
        <f t="shared" si="31"/>
        <v>77.7786074</v>
      </c>
      <c r="BO10" s="49">
        <f>BL$6*$G10</f>
        <v>41.9360403</v>
      </c>
      <c r="BR10" s="32">
        <f t="shared" si="32"/>
        <v>482.3168</v>
      </c>
      <c r="BS10" s="49">
        <f t="shared" si="33"/>
        <v>482.3168</v>
      </c>
      <c r="BT10" s="49">
        <f t="shared" si="34"/>
        <v>631.2245758</v>
      </c>
      <c r="BU10" s="49">
        <f>BR$6*$G10</f>
        <v>340.3385601</v>
      </c>
      <c r="BW10" s="32">
        <f t="shared" si="35"/>
        <v>0</v>
      </c>
      <c r="BX10" s="32">
        <f t="shared" si="36"/>
        <v>14.69440000000001</v>
      </c>
      <c r="BY10" s="49">
        <f t="shared" si="37"/>
        <v>14.69440000000001</v>
      </c>
      <c r="BZ10" s="32">
        <f t="shared" si="38"/>
        <v>19.231066400000014</v>
      </c>
      <c r="CA10" s="49">
        <f>BX$6*$G10</f>
        <v>10.368850800000008</v>
      </c>
      <c r="CC10" s="49"/>
      <c r="CD10" s="49">
        <f t="shared" si="39"/>
        <v>422.47679999999997</v>
      </c>
      <c r="CE10" s="32">
        <f t="shared" si="40"/>
        <v>422.47679999999997</v>
      </c>
      <c r="CF10" s="49">
        <f t="shared" si="41"/>
        <v>552.9099108</v>
      </c>
      <c r="CG10" s="49">
        <f>CD$6*$G10</f>
        <v>298.1134926</v>
      </c>
      <c r="CI10" s="49"/>
      <c r="CJ10" s="49">
        <f t="shared" si="42"/>
        <v>265.9456</v>
      </c>
      <c r="CK10" s="32">
        <f t="shared" si="43"/>
        <v>265.9456</v>
      </c>
      <c r="CL10" s="49">
        <f t="shared" si="44"/>
        <v>348.0521486</v>
      </c>
      <c r="CM10" s="49">
        <f>CJ$6*$G10</f>
        <v>187.6599417</v>
      </c>
      <c r="CP10" s="32">
        <f t="shared" si="45"/>
        <v>10185.7536</v>
      </c>
      <c r="CQ10" s="49">
        <f t="shared" si="46"/>
        <v>10185.7536</v>
      </c>
      <c r="CR10" s="49">
        <f t="shared" si="47"/>
        <v>13330.4458716</v>
      </c>
      <c r="CS10" s="49">
        <f>CP$6*$G10</f>
        <v>7187.4019602</v>
      </c>
      <c r="CV10" s="32">
        <f t="shared" si="48"/>
        <v>116.2496</v>
      </c>
      <c r="CW10" s="32">
        <f t="shared" si="49"/>
        <v>116.2496</v>
      </c>
      <c r="CX10" s="49">
        <f t="shared" si="50"/>
        <v>152.1398476</v>
      </c>
      <c r="CY10" s="49">
        <f>CV$6*$G10</f>
        <v>82.02953219999999</v>
      </c>
      <c r="DB10" s="32">
        <f t="shared" si="51"/>
        <v>14200.7808</v>
      </c>
      <c r="DC10" s="49">
        <f t="shared" si="52"/>
        <v>14200.7808</v>
      </c>
      <c r="DD10" s="49">
        <f t="shared" si="53"/>
        <v>18585.0499848</v>
      </c>
      <c r="DE10" s="49">
        <f>DB$6*$G10</f>
        <v>10020.5368956</v>
      </c>
      <c r="DH10" s="32">
        <f t="shared" si="54"/>
        <v>136.96</v>
      </c>
      <c r="DI10" s="49">
        <f t="shared" si="55"/>
        <v>136.96</v>
      </c>
      <c r="DJ10" s="49">
        <f t="shared" si="56"/>
        <v>179.24426</v>
      </c>
      <c r="DK10" s="49">
        <f>DH$6*$G10</f>
        <v>96.64347</v>
      </c>
      <c r="DN10" s="32">
        <f t="shared" si="57"/>
        <v>94.73280000000001</v>
      </c>
      <c r="DO10" s="49">
        <f t="shared" si="58"/>
        <v>94.73280000000001</v>
      </c>
      <c r="DP10" s="49">
        <f t="shared" si="59"/>
        <v>123.9800718</v>
      </c>
      <c r="DQ10" s="49">
        <f>DN$6*$G10</f>
        <v>66.8465721</v>
      </c>
      <c r="DT10" s="49">
        <f t="shared" si="60"/>
        <v>58.4192</v>
      </c>
      <c r="DU10" s="49">
        <f t="shared" si="61"/>
        <v>58.4192</v>
      </c>
      <c r="DV10" s="49">
        <f t="shared" si="62"/>
        <v>76.4552152</v>
      </c>
      <c r="DW10" s="49">
        <f>DT$6*$G10</f>
        <v>41.2225044</v>
      </c>
      <c r="DZ10" s="32">
        <f t="shared" si="63"/>
        <v>1.4591999999999998</v>
      </c>
      <c r="EA10" s="49">
        <f t="shared" si="64"/>
        <v>1.4591999999999998</v>
      </c>
      <c r="EB10" s="49">
        <f t="shared" si="65"/>
        <v>1.9097051999999999</v>
      </c>
      <c r="EC10" s="49">
        <f>DZ$6*$G10</f>
        <v>1.0296594</v>
      </c>
      <c r="EF10" s="32">
        <f t="shared" si="66"/>
        <v>359.5904</v>
      </c>
      <c r="EG10" s="32">
        <f t="shared" si="67"/>
        <v>359.5904</v>
      </c>
      <c r="EH10" s="49">
        <f t="shared" si="68"/>
        <v>470.6083174</v>
      </c>
      <c r="EI10" s="49">
        <f>EF$6*$G10</f>
        <v>253.7387853</v>
      </c>
      <c r="EL10" s="32">
        <f t="shared" si="69"/>
        <v>864.7424</v>
      </c>
      <c r="EM10" s="49">
        <f t="shared" si="70"/>
        <v>864.7424</v>
      </c>
      <c r="EN10" s="49">
        <f t="shared" si="71"/>
        <v>1131.7181044000001</v>
      </c>
      <c r="EO10" s="49">
        <f>EL$6*$G10</f>
        <v>610.1906118</v>
      </c>
      <c r="ER10" s="32">
        <f t="shared" si="72"/>
        <v>246.6304</v>
      </c>
      <c r="ES10" s="49">
        <f t="shared" si="73"/>
        <v>246.6304</v>
      </c>
      <c r="ET10" s="49">
        <f t="shared" si="74"/>
        <v>322.7736824</v>
      </c>
      <c r="EU10" s="49">
        <f>ER$6*$G10</f>
        <v>174.0305028</v>
      </c>
      <c r="EV10"/>
    </row>
    <row r="11" spans="1:152" ht="12.75">
      <c r="A11" s="76">
        <v>44652</v>
      </c>
      <c r="B11" s="51"/>
      <c r="C11" s="39">
        <v>5120000</v>
      </c>
      <c r="D11" s="39">
        <v>128000</v>
      </c>
      <c r="E11" s="34">
        <f t="shared" si="0"/>
        <v>5248000</v>
      </c>
      <c r="F11" s="34">
        <v>167518</v>
      </c>
      <c r="G11" s="34">
        <v>90321</v>
      </c>
      <c r="I11" s="69">
        <f t="shared" si="75"/>
        <v>1646353.92</v>
      </c>
      <c r="J11" s="69">
        <f t="shared" si="1"/>
        <v>41158.848</v>
      </c>
      <c r="K11" s="69">
        <f t="shared" si="2"/>
        <v>1687512.768</v>
      </c>
      <c r="L11" s="69">
        <f t="shared" si="3"/>
        <v>53865.999213</v>
      </c>
      <c r="M11" s="69">
        <f t="shared" si="3"/>
        <v>29043.0336735</v>
      </c>
      <c r="O11" s="32">
        <f t="shared" si="76"/>
        <v>226257.92</v>
      </c>
      <c r="P11" s="32">
        <f t="shared" si="4"/>
        <v>5656.448</v>
      </c>
      <c r="Q11" s="32">
        <f t="shared" si="5"/>
        <v>231914.36800000002</v>
      </c>
      <c r="R11" s="49">
        <f t="shared" si="6"/>
        <v>7402.787938</v>
      </c>
      <c r="S11" s="49">
        <f>P$6*$G11</f>
        <v>3991.3753110000002</v>
      </c>
      <c r="U11" s="32">
        <f t="shared" si="77"/>
        <v>230860.8</v>
      </c>
      <c r="V11" s="49">
        <f t="shared" si="7"/>
        <v>5771.5199999999995</v>
      </c>
      <c r="W11" s="49">
        <f t="shared" si="8"/>
        <v>236632.31999999998</v>
      </c>
      <c r="X11" s="49">
        <f t="shared" si="9"/>
        <v>7553.386619999999</v>
      </c>
      <c r="Y11" s="49">
        <f>V$6*$G11</f>
        <v>4072.5738899999997</v>
      </c>
      <c r="AA11" s="32">
        <f t="shared" si="78"/>
        <v>7719.424</v>
      </c>
      <c r="AB11" s="49">
        <f t="shared" si="10"/>
        <v>192.9856</v>
      </c>
      <c r="AC11" s="49">
        <f t="shared" si="11"/>
        <v>7912.4096</v>
      </c>
      <c r="AD11" s="49">
        <f t="shared" si="12"/>
        <v>252.5668886</v>
      </c>
      <c r="AE11" s="49">
        <f>AB$6*$G11</f>
        <v>136.1769717</v>
      </c>
      <c r="AG11" s="32">
        <f t="shared" si="13"/>
        <v>2867.2</v>
      </c>
      <c r="AH11" s="32">
        <f t="shared" si="14"/>
        <v>71.67999999999999</v>
      </c>
      <c r="AI11" s="32">
        <f t="shared" si="15"/>
        <v>2938.8799999999997</v>
      </c>
      <c r="AJ11" s="49">
        <f t="shared" si="16"/>
        <v>93.81007999999999</v>
      </c>
      <c r="AK11" s="49">
        <f>AH$6*$G11</f>
        <v>50.57975999999999</v>
      </c>
      <c r="AM11" s="32">
        <f t="shared" si="79"/>
        <v>43453.952</v>
      </c>
      <c r="AN11" s="32">
        <f t="shared" si="17"/>
        <v>1086.3488</v>
      </c>
      <c r="AO11" s="32">
        <f t="shared" si="18"/>
        <v>44540.3008</v>
      </c>
      <c r="AP11" s="49">
        <f t="shared" si="19"/>
        <v>1421.7420177999998</v>
      </c>
      <c r="AQ11" s="49">
        <f>AN$6*$G11</f>
        <v>766.5633591</v>
      </c>
      <c r="AS11" s="49">
        <f t="shared" si="80"/>
        <v>11025.92</v>
      </c>
      <c r="AT11" s="32">
        <f t="shared" si="20"/>
        <v>275.648</v>
      </c>
      <c r="AU11" s="49">
        <f t="shared" si="21"/>
        <v>11301.568</v>
      </c>
      <c r="AV11" s="49">
        <f t="shared" si="22"/>
        <v>360.750013</v>
      </c>
      <c r="AW11" s="49">
        <f>AT$6*$G11</f>
        <v>194.5062735</v>
      </c>
      <c r="AY11" s="49">
        <f t="shared" si="81"/>
        <v>11800.576000000001</v>
      </c>
      <c r="AZ11" s="32">
        <f t="shared" si="23"/>
        <v>295.0144</v>
      </c>
      <c r="BA11" s="49">
        <f t="shared" si="24"/>
        <v>12095.590400000001</v>
      </c>
      <c r="BB11" s="49">
        <f t="shared" si="25"/>
        <v>386.0954864</v>
      </c>
      <c r="BC11" s="49">
        <f>AZ$6*$G11</f>
        <v>208.1718408</v>
      </c>
      <c r="BE11" s="32">
        <f t="shared" si="82"/>
        <v>11960.831999999999</v>
      </c>
      <c r="BF11" s="32">
        <f t="shared" si="26"/>
        <v>299.02079999999995</v>
      </c>
      <c r="BG11" s="32">
        <f t="shared" si="27"/>
        <v>12259.852799999999</v>
      </c>
      <c r="BH11" s="49">
        <f t="shared" si="28"/>
        <v>391.33879979999995</v>
      </c>
      <c r="BI11" s="49">
        <f>BF$6*$G11</f>
        <v>210.9988881</v>
      </c>
      <c r="BK11" s="32">
        <f t="shared" si="83"/>
        <v>2377.216</v>
      </c>
      <c r="BL11" s="32">
        <f t="shared" si="29"/>
        <v>59.4304</v>
      </c>
      <c r="BM11" s="49">
        <f t="shared" si="30"/>
        <v>2436.6464</v>
      </c>
      <c r="BN11" s="49">
        <f t="shared" si="31"/>
        <v>77.7786074</v>
      </c>
      <c r="BO11" s="49">
        <f>BL$6*$G11</f>
        <v>41.9360403</v>
      </c>
      <c r="BQ11" s="32">
        <f t="shared" si="84"/>
        <v>19292.672</v>
      </c>
      <c r="BR11" s="32">
        <f t="shared" si="32"/>
        <v>482.3168</v>
      </c>
      <c r="BS11" s="49">
        <f t="shared" si="33"/>
        <v>19774.9888</v>
      </c>
      <c r="BT11" s="49">
        <f t="shared" si="34"/>
        <v>631.2245758</v>
      </c>
      <c r="BU11" s="49">
        <f>BR$6*$G11</f>
        <v>340.3385601</v>
      </c>
      <c r="BW11" s="32">
        <f t="shared" si="35"/>
        <v>587.7760000000004</v>
      </c>
      <c r="BX11" s="32">
        <f t="shared" si="36"/>
        <v>14.69440000000001</v>
      </c>
      <c r="BY11" s="49">
        <f t="shared" si="37"/>
        <v>602.4704000000004</v>
      </c>
      <c r="BZ11" s="32">
        <f t="shared" si="38"/>
        <v>19.231066400000014</v>
      </c>
      <c r="CA11" s="49">
        <f>BX$6*$G11</f>
        <v>10.368850800000008</v>
      </c>
      <c r="CC11" s="49">
        <f t="shared" si="85"/>
        <v>16899.072</v>
      </c>
      <c r="CD11" s="49">
        <f t="shared" si="39"/>
        <v>422.47679999999997</v>
      </c>
      <c r="CE11" s="32">
        <f t="shared" si="40"/>
        <v>17321.5488</v>
      </c>
      <c r="CF11" s="49">
        <f t="shared" si="41"/>
        <v>552.9099108</v>
      </c>
      <c r="CG11" s="49">
        <f>CD$6*$G11</f>
        <v>298.1134926</v>
      </c>
      <c r="CI11" s="49">
        <f t="shared" si="86"/>
        <v>10637.824</v>
      </c>
      <c r="CJ11" s="49">
        <f t="shared" si="42"/>
        <v>265.9456</v>
      </c>
      <c r="CK11" s="32">
        <f t="shared" si="43"/>
        <v>10903.7696</v>
      </c>
      <c r="CL11" s="49">
        <f t="shared" si="44"/>
        <v>348.0521486</v>
      </c>
      <c r="CM11" s="49">
        <f>CJ$6*$G11</f>
        <v>187.6599417</v>
      </c>
      <c r="CO11" s="32">
        <f t="shared" si="87"/>
        <v>407430.144</v>
      </c>
      <c r="CP11" s="32">
        <f t="shared" si="45"/>
        <v>10185.7536</v>
      </c>
      <c r="CQ11" s="49">
        <f t="shared" si="46"/>
        <v>417615.89759999997</v>
      </c>
      <c r="CR11" s="49">
        <f t="shared" si="47"/>
        <v>13330.4458716</v>
      </c>
      <c r="CS11" s="49">
        <f>CP$6*$G11</f>
        <v>7187.4019602</v>
      </c>
      <c r="CU11" s="32">
        <f t="shared" si="88"/>
        <v>4649.9839999999995</v>
      </c>
      <c r="CV11" s="32">
        <f t="shared" si="48"/>
        <v>116.2496</v>
      </c>
      <c r="CW11" s="32">
        <f t="shared" si="49"/>
        <v>4766.2336</v>
      </c>
      <c r="CX11" s="49">
        <f t="shared" si="50"/>
        <v>152.1398476</v>
      </c>
      <c r="CY11" s="49">
        <f>CV$6*$G11</f>
        <v>82.02953219999999</v>
      </c>
      <c r="DA11" s="32">
        <f t="shared" si="89"/>
        <v>568031.232</v>
      </c>
      <c r="DB11" s="32">
        <f t="shared" si="51"/>
        <v>14200.7808</v>
      </c>
      <c r="DC11" s="49">
        <f t="shared" si="52"/>
        <v>582232.0127999999</v>
      </c>
      <c r="DD11" s="49">
        <f t="shared" si="53"/>
        <v>18585.0499848</v>
      </c>
      <c r="DE11" s="49">
        <f>DB$6*$G11</f>
        <v>10020.5368956</v>
      </c>
      <c r="DG11" s="32">
        <f t="shared" si="90"/>
        <v>5478.4</v>
      </c>
      <c r="DH11" s="32">
        <f t="shared" si="54"/>
        <v>136.96</v>
      </c>
      <c r="DI11" s="49">
        <f t="shared" si="55"/>
        <v>5615.36</v>
      </c>
      <c r="DJ11" s="49">
        <f t="shared" si="56"/>
        <v>179.24426</v>
      </c>
      <c r="DK11" s="49">
        <f>DH$6*$G11</f>
        <v>96.64347</v>
      </c>
      <c r="DM11" s="32">
        <f t="shared" si="91"/>
        <v>3789.3120000000004</v>
      </c>
      <c r="DN11" s="32">
        <f t="shared" si="57"/>
        <v>94.73280000000001</v>
      </c>
      <c r="DO11" s="49">
        <f t="shared" si="58"/>
        <v>3884.0448000000006</v>
      </c>
      <c r="DP11" s="49">
        <f t="shared" si="59"/>
        <v>123.9800718</v>
      </c>
      <c r="DQ11" s="49">
        <f>DN$6*$G11</f>
        <v>66.8465721</v>
      </c>
      <c r="DS11" s="32">
        <f t="shared" si="92"/>
        <v>2336.768</v>
      </c>
      <c r="DT11" s="49">
        <f t="shared" si="60"/>
        <v>58.4192</v>
      </c>
      <c r="DU11" s="49">
        <f t="shared" si="61"/>
        <v>2395.1872</v>
      </c>
      <c r="DV11" s="49">
        <f t="shared" si="62"/>
        <v>76.4552152</v>
      </c>
      <c r="DW11" s="49">
        <f>DT$6*$G11</f>
        <v>41.2225044</v>
      </c>
      <c r="DY11" s="32">
        <f t="shared" si="93"/>
        <v>58.367999999999995</v>
      </c>
      <c r="DZ11" s="32">
        <f t="shared" si="63"/>
        <v>1.4591999999999998</v>
      </c>
      <c r="EA11" s="49">
        <f t="shared" si="64"/>
        <v>59.8272</v>
      </c>
      <c r="EB11" s="49">
        <f t="shared" si="65"/>
        <v>1.9097051999999999</v>
      </c>
      <c r="EC11" s="49">
        <f>DZ$6*$G11</f>
        <v>1.0296594</v>
      </c>
      <c r="EE11" s="32">
        <f t="shared" si="94"/>
        <v>14383.615999999998</v>
      </c>
      <c r="EF11" s="32">
        <f t="shared" si="66"/>
        <v>359.5904</v>
      </c>
      <c r="EG11" s="32">
        <f t="shared" si="67"/>
        <v>14743.206399999997</v>
      </c>
      <c r="EH11" s="49">
        <f t="shared" si="68"/>
        <v>470.6083174</v>
      </c>
      <c r="EI11" s="49">
        <f>EF$6*$G11</f>
        <v>253.7387853</v>
      </c>
      <c r="EK11" s="32">
        <f t="shared" si="95"/>
        <v>34589.696</v>
      </c>
      <c r="EL11" s="32">
        <f t="shared" si="69"/>
        <v>864.7424</v>
      </c>
      <c r="EM11" s="49">
        <f t="shared" si="70"/>
        <v>35454.43840000001</v>
      </c>
      <c r="EN11" s="49">
        <f t="shared" si="71"/>
        <v>1131.7181044000001</v>
      </c>
      <c r="EO11" s="49">
        <f>EL$6*$G11</f>
        <v>610.1906118</v>
      </c>
      <c r="EQ11" s="32">
        <f t="shared" si="96"/>
        <v>9865.216</v>
      </c>
      <c r="ER11" s="32">
        <f t="shared" si="72"/>
        <v>246.6304</v>
      </c>
      <c r="ES11" s="49">
        <f t="shared" si="73"/>
        <v>10111.8464</v>
      </c>
      <c r="ET11" s="49">
        <f t="shared" si="74"/>
        <v>322.7736824</v>
      </c>
      <c r="EU11" s="49">
        <f>ER$6*$G11</f>
        <v>174.0305028</v>
      </c>
      <c r="EV11"/>
    </row>
    <row r="12" spans="1:152" ht="12.75">
      <c r="A12" s="76">
        <v>44835</v>
      </c>
      <c r="E12" s="34">
        <f t="shared" si="0"/>
        <v>0</v>
      </c>
      <c r="I12" s="69"/>
      <c r="J12" s="69">
        <f t="shared" si="1"/>
        <v>0</v>
      </c>
      <c r="K12" s="69">
        <f t="shared" si="2"/>
        <v>0</v>
      </c>
      <c r="L12" s="69">
        <f t="shared" si="3"/>
        <v>0</v>
      </c>
      <c r="M12" s="69"/>
      <c r="P12" s="32">
        <f t="shared" si="4"/>
        <v>0</v>
      </c>
      <c r="Q12" s="32">
        <f t="shared" si="5"/>
        <v>0</v>
      </c>
      <c r="R12" s="49">
        <f t="shared" si="6"/>
        <v>0</v>
      </c>
      <c r="S12" s="49"/>
      <c r="V12" s="49">
        <f t="shared" si="7"/>
        <v>0</v>
      </c>
      <c r="W12" s="49">
        <f t="shared" si="8"/>
        <v>0</v>
      </c>
      <c r="X12" s="49">
        <f t="shared" si="9"/>
        <v>0</v>
      </c>
      <c r="Y12" s="49"/>
      <c r="AB12" s="49">
        <f t="shared" si="10"/>
        <v>0</v>
      </c>
      <c r="AC12" s="49">
        <f t="shared" si="11"/>
        <v>0</v>
      </c>
      <c r="AD12" s="49">
        <f t="shared" si="12"/>
        <v>0</v>
      </c>
      <c r="AE12" s="49"/>
      <c r="AG12" s="32">
        <f t="shared" si="13"/>
        <v>0</v>
      </c>
      <c r="AH12" s="32">
        <f t="shared" si="14"/>
        <v>0</v>
      </c>
      <c r="AI12" s="32">
        <f t="shared" si="15"/>
        <v>0</v>
      </c>
      <c r="AJ12" s="49">
        <f t="shared" si="16"/>
        <v>0</v>
      </c>
      <c r="AK12" s="49"/>
      <c r="AN12" s="32">
        <f t="shared" si="17"/>
        <v>0</v>
      </c>
      <c r="AO12" s="32">
        <f t="shared" si="18"/>
        <v>0</v>
      </c>
      <c r="AP12" s="49">
        <f t="shared" si="19"/>
        <v>0</v>
      </c>
      <c r="AQ12" s="49"/>
      <c r="AS12" s="49"/>
      <c r="AT12" s="32">
        <f t="shared" si="20"/>
        <v>0</v>
      </c>
      <c r="AU12" s="49">
        <f t="shared" si="21"/>
        <v>0</v>
      </c>
      <c r="AV12" s="49">
        <f t="shared" si="22"/>
        <v>0</v>
      </c>
      <c r="AW12" s="49"/>
      <c r="AY12" s="49"/>
      <c r="AZ12" s="32">
        <f t="shared" si="23"/>
        <v>0</v>
      </c>
      <c r="BA12" s="49">
        <f t="shared" si="24"/>
        <v>0</v>
      </c>
      <c r="BB12" s="49">
        <f t="shared" si="25"/>
        <v>0</v>
      </c>
      <c r="BC12" s="49"/>
      <c r="BF12" s="32">
        <f t="shared" si="26"/>
        <v>0</v>
      </c>
      <c r="BG12" s="32">
        <f t="shared" si="27"/>
        <v>0</v>
      </c>
      <c r="BH12" s="49">
        <f t="shared" si="28"/>
        <v>0</v>
      </c>
      <c r="BI12" s="49"/>
      <c r="BL12" s="32">
        <f t="shared" si="29"/>
        <v>0</v>
      </c>
      <c r="BM12" s="49">
        <f t="shared" si="30"/>
        <v>0</v>
      </c>
      <c r="BN12" s="49">
        <f t="shared" si="31"/>
        <v>0</v>
      </c>
      <c r="BO12" s="49"/>
      <c r="BR12" s="32">
        <f t="shared" si="32"/>
        <v>0</v>
      </c>
      <c r="BS12" s="49">
        <f t="shared" si="33"/>
        <v>0</v>
      </c>
      <c r="BT12" s="49">
        <f t="shared" si="34"/>
        <v>0</v>
      </c>
      <c r="BU12" s="49"/>
      <c r="BW12" s="32">
        <f t="shared" si="35"/>
        <v>0</v>
      </c>
      <c r="BX12" s="32">
        <f t="shared" si="36"/>
        <v>0</v>
      </c>
      <c r="BY12" s="49">
        <f t="shared" si="37"/>
        <v>0</v>
      </c>
      <c r="BZ12" s="32">
        <f t="shared" si="38"/>
        <v>0</v>
      </c>
      <c r="CA12" s="49"/>
      <c r="CC12" s="49"/>
      <c r="CD12" s="49">
        <f t="shared" si="39"/>
        <v>0</v>
      </c>
      <c r="CE12" s="32">
        <f t="shared" si="40"/>
        <v>0</v>
      </c>
      <c r="CF12" s="49">
        <f t="shared" si="41"/>
        <v>0</v>
      </c>
      <c r="CG12" s="49"/>
      <c r="CI12" s="49"/>
      <c r="CJ12" s="49">
        <f t="shared" si="42"/>
        <v>0</v>
      </c>
      <c r="CK12" s="32">
        <f t="shared" si="43"/>
        <v>0</v>
      </c>
      <c r="CL12" s="49">
        <f t="shared" si="44"/>
        <v>0</v>
      </c>
      <c r="CM12" s="49"/>
      <c r="CP12" s="32">
        <f t="shared" si="45"/>
        <v>0</v>
      </c>
      <c r="CQ12" s="49">
        <f t="shared" si="46"/>
        <v>0</v>
      </c>
      <c r="CR12" s="49">
        <f t="shared" si="47"/>
        <v>0</v>
      </c>
      <c r="CS12" s="49"/>
      <c r="CV12" s="32">
        <f t="shared" si="48"/>
        <v>0</v>
      </c>
      <c r="CW12" s="32">
        <f t="shared" si="49"/>
        <v>0</v>
      </c>
      <c r="CX12" s="49">
        <f t="shared" si="50"/>
        <v>0</v>
      </c>
      <c r="CY12" s="49"/>
      <c r="DB12" s="32">
        <f t="shared" si="51"/>
        <v>0</v>
      </c>
      <c r="DC12" s="49">
        <f t="shared" si="52"/>
        <v>0</v>
      </c>
      <c r="DD12" s="49">
        <f t="shared" si="53"/>
        <v>0</v>
      </c>
      <c r="DE12" s="49"/>
      <c r="DH12" s="32">
        <f t="shared" si="54"/>
        <v>0</v>
      </c>
      <c r="DI12" s="49">
        <f t="shared" si="55"/>
        <v>0</v>
      </c>
      <c r="DJ12" s="49">
        <f t="shared" si="56"/>
        <v>0</v>
      </c>
      <c r="DK12" s="49"/>
      <c r="DN12" s="32">
        <f t="shared" si="57"/>
        <v>0</v>
      </c>
      <c r="DO12" s="49">
        <f t="shared" si="58"/>
        <v>0</v>
      </c>
      <c r="DP12" s="49">
        <f t="shared" si="59"/>
        <v>0</v>
      </c>
      <c r="DQ12" s="49"/>
      <c r="DT12" s="49">
        <f t="shared" si="60"/>
        <v>0</v>
      </c>
      <c r="DU12" s="49">
        <f t="shared" si="61"/>
        <v>0</v>
      </c>
      <c r="DV12" s="49">
        <f t="shared" si="62"/>
        <v>0</v>
      </c>
      <c r="DW12" s="49"/>
      <c r="DZ12" s="32">
        <f t="shared" si="63"/>
        <v>0</v>
      </c>
      <c r="EA12" s="49">
        <f t="shared" si="64"/>
        <v>0</v>
      </c>
      <c r="EB12" s="49">
        <f t="shared" si="65"/>
        <v>0</v>
      </c>
      <c r="EC12" s="49"/>
      <c r="EF12" s="32">
        <f t="shared" si="66"/>
        <v>0</v>
      </c>
      <c r="EG12" s="32">
        <f t="shared" si="67"/>
        <v>0</v>
      </c>
      <c r="EH12" s="49">
        <f t="shared" si="68"/>
        <v>0</v>
      </c>
      <c r="EI12" s="49"/>
      <c r="EL12" s="32">
        <f t="shared" si="69"/>
        <v>0</v>
      </c>
      <c r="EM12" s="49">
        <f t="shared" si="70"/>
        <v>0</v>
      </c>
      <c r="EN12" s="49">
        <f t="shared" si="71"/>
        <v>0</v>
      </c>
      <c r="EO12" s="49"/>
      <c r="ER12" s="32">
        <f t="shared" si="72"/>
        <v>0</v>
      </c>
      <c r="ES12" s="49">
        <f t="shared" si="73"/>
        <v>0</v>
      </c>
      <c r="ET12" s="49">
        <f t="shared" si="74"/>
        <v>0</v>
      </c>
      <c r="EU12" s="49"/>
      <c r="EV12"/>
    </row>
    <row r="13" spans="1:152" ht="12.75">
      <c r="A13" s="76">
        <v>45017</v>
      </c>
      <c r="E13" s="34">
        <f t="shared" si="0"/>
        <v>0</v>
      </c>
      <c r="I13" s="69">
        <f t="shared" si="75"/>
        <v>0</v>
      </c>
      <c r="J13" s="69">
        <f t="shared" si="1"/>
        <v>0</v>
      </c>
      <c r="K13" s="69">
        <f t="shared" si="2"/>
        <v>0</v>
      </c>
      <c r="L13" s="69">
        <f t="shared" si="3"/>
        <v>0</v>
      </c>
      <c r="M13" s="69"/>
      <c r="O13" s="32">
        <f t="shared" si="76"/>
        <v>0</v>
      </c>
      <c r="P13" s="32">
        <f t="shared" si="4"/>
        <v>0</v>
      </c>
      <c r="Q13" s="32">
        <f t="shared" si="5"/>
        <v>0</v>
      </c>
      <c r="R13" s="49">
        <f t="shared" si="6"/>
        <v>0</v>
      </c>
      <c r="S13" s="49"/>
      <c r="U13" s="32">
        <f t="shared" si="77"/>
        <v>0</v>
      </c>
      <c r="V13" s="49">
        <f t="shared" si="7"/>
        <v>0</v>
      </c>
      <c r="W13" s="49">
        <f t="shared" si="8"/>
        <v>0</v>
      </c>
      <c r="X13" s="49">
        <f t="shared" si="9"/>
        <v>0</v>
      </c>
      <c r="Y13" s="49"/>
      <c r="AA13" s="32">
        <f t="shared" si="78"/>
        <v>0</v>
      </c>
      <c r="AB13" s="49">
        <f t="shared" si="10"/>
        <v>0</v>
      </c>
      <c r="AC13" s="49">
        <f t="shared" si="11"/>
        <v>0</v>
      </c>
      <c r="AD13" s="49">
        <f t="shared" si="12"/>
        <v>0</v>
      </c>
      <c r="AE13" s="49"/>
      <c r="AG13" s="32">
        <f t="shared" si="13"/>
        <v>0</v>
      </c>
      <c r="AH13" s="32">
        <f t="shared" si="14"/>
        <v>0</v>
      </c>
      <c r="AI13" s="32">
        <f t="shared" si="15"/>
        <v>0</v>
      </c>
      <c r="AJ13" s="49">
        <f t="shared" si="16"/>
        <v>0</v>
      </c>
      <c r="AK13" s="49"/>
      <c r="AM13" s="32">
        <f t="shared" si="79"/>
        <v>0</v>
      </c>
      <c r="AN13" s="32">
        <f t="shared" si="17"/>
        <v>0</v>
      </c>
      <c r="AO13" s="32">
        <f t="shared" si="18"/>
        <v>0</v>
      </c>
      <c r="AP13" s="49">
        <f t="shared" si="19"/>
        <v>0</v>
      </c>
      <c r="AQ13" s="49"/>
      <c r="AS13" s="49">
        <f t="shared" si="80"/>
        <v>0</v>
      </c>
      <c r="AT13" s="32">
        <f t="shared" si="20"/>
        <v>0</v>
      </c>
      <c r="AU13" s="49">
        <f t="shared" si="21"/>
        <v>0</v>
      </c>
      <c r="AV13" s="49">
        <f t="shared" si="22"/>
        <v>0</v>
      </c>
      <c r="AW13" s="49"/>
      <c r="AY13" s="49">
        <f t="shared" si="81"/>
        <v>0</v>
      </c>
      <c r="AZ13" s="32">
        <f t="shared" si="23"/>
        <v>0</v>
      </c>
      <c r="BA13" s="49">
        <f t="shared" si="24"/>
        <v>0</v>
      </c>
      <c r="BB13" s="49">
        <f t="shared" si="25"/>
        <v>0</v>
      </c>
      <c r="BC13" s="49"/>
      <c r="BE13" s="32">
        <f t="shared" si="82"/>
        <v>0</v>
      </c>
      <c r="BF13" s="32">
        <f t="shared" si="26"/>
        <v>0</v>
      </c>
      <c r="BG13" s="32">
        <f t="shared" si="27"/>
        <v>0</v>
      </c>
      <c r="BH13" s="49">
        <f t="shared" si="28"/>
        <v>0</v>
      </c>
      <c r="BI13" s="49"/>
      <c r="BK13" s="32">
        <f t="shared" si="83"/>
        <v>0</v>
      </c>
      <c r="BL13" s="32">
        <f t="shared" si="29"/>
        <v>0</v>
      </c>
      <c r="BM13" s="49">
        <f t="shared" si="30"/>
        <v>0</v>
      </c>
      <c r="BN13" s="49">
        <f t="shared" si="31"/>
        <v>0</v>
      </c>
      <c r="BO13" s="49"/>
      <c r="BQ13" s="32">
        <f t="shared" si="84"/>
        <v>0</v>
      </c>
      <c r="BR13" s="32">
        <f t="shared" si="32"/>
        <v>0</v>
      </c>
      <c r="BS13" s="49">
        <f t="shared" si="33"/>
        <v>0</v>
      </c>
      <c r="BT13" s="49">
        <f t="shared" si="34"/>
        <v>0</v>
      </c>
      <c r="BU13" s="49"/>
      <c r="BW13" s="32">
        <f t="shared" si="35"/>
        <v>0</v>
      </c>
      <c r="BX13" s="32">
        <f t="shared" si="36"/>
        <v>0</v>
      </c>
      <c r="BY13" s="49">
        <f t="shared" si="37"/>
        <v>0</v>
      </c>
      <c r="BZ13" s="32">
        <f t="shared" si="38"/>
        <v>0</v>
      </c>
      <c r="CA13" s="49"/>
      <c r="CC13" s="49">
        <f t="shared" si="85"/>
        <v>0</v>
      </c>
      <c r="CD13" s="49">
        <f t="shared" si="39"/>
        <v>0</v>
      </c>
      <c r="CE13" s="32">
        <f t="shared" si="40"/>
        <v>0</v>
      </c>
      <c r="CF13" s="49">
        <f t="shared" si="41"/>
        <v>0</v>
      </c>
      <c r="CG13" s="49"/>
      <c r="CI13" s="49">
        <f t="shared" si="86"/>
        <v>0</v>
      </c>
      <c r="CJ13" s="49">
        <f t="shared" si="42"/>
        <v>0</v>
      </c>
      <c r="CK13" s="32">
        <f t="shared" si="43"/>
        <v>0</v>
      </c>
      <c r="CL13" s="49">
        <f t="shared" si="44"/>
        <v>0</v>
      </c>
      <c r="CM13" s="49"/>
      <c r="CO13" s="32">
        <f t="shared" si="87"/>
        <v>0</v>
      </c>
      <c r="CP13" s="32">
        <f t="shared" si="45"/>
        <v>0</v>
      </c>
      <c r="CQ13" s="49">
        <f t="shared" si="46"/>
        <v>0</v>
      </c>
      <c r="CR13" s="49">
        <f t="shared" si="47"/>
        <v>0</v>
      </c>
      <c r="CS13" s="49"/>
      <c r="CU13" s="32">
        <f t="shared" si="88"/>
        <v>0</v>
      </c>
      <c r="CV13" s="32">
        <f t="shared" si="48"/>
        <v>0</v>
      </c>
      <c r="CW13" s="32">
        <f t="shared" si="49"/>
        <v>0</v>
      </c>
      <c r="CX13" s="49">
        <f t="shared" si="50"/>
        <v>0</v>
      </c>
      <c r="CY13" s="49"/>
      <c r="DA13" s="32">
        <f t="shared" si="89"/>
        <v>0</v>
      </c>
      <c r="DB13" s="32">
        <f t="shared" si="51"/>
        <v>0</v>
      </c>
      <c r="DC13" s="49">
        <f t="shared" si="52"/>
        <v>0</v>
      </c>
      <c r="DD13" s="49">
        <f t="shared" si="53"/>
        <v>0</v>
      </c>
      <c r="DE13" s="49"/>
      <c r="DG13" s="32">
        <f t="shared" si="90"/>
        <v>0</v>
      </c>
      <c r="DH13" s="32">
        <f t="shared" si="54"/>
        <v>0</v>
      </c>
      <c r="DI13" s="49">
        <f t="shared" si="55"/>
        <v>0</v>
      </c>
      <c r="DJ13" s="49">
        <f t="shared" si="56"/>
        <v>0</v>
      </c>
      <c r="DK13" s="49"/>
      <c r="DM13" s="32">
        <f t="shared" si="91"/>
        <v>0</v>
      </c>
      <c r="DN13" s="32">
        <f t="shared" si="57"/>
        <v>0</v>
      </c>
      <c r="DO13" s="49">
        <f t="shared" si="58"/>
        <v>0</v>
      </c>
      <c r="DP13" s="49">
        <f t="shared" si="59"/>
        <v>0</v>
      </c>
      <c r="DQ13" s="49"/>
      <c r="DS13" s="32">
        <f t="shared" si="92"/>
        <v>0</v>
      </c>
      <c r="DT13" s="49">
        <f t="shared" si="60"/>
        <v>0</v>
      </c>
      <c r="DU13" s="49">
        <f t="shared" si="61"/>
        <v>0</v>
      </c>
      <c r="DV13" s="49">
        <f t="shared" si="62"/>
        <v>0</v>
      </c>
      <c r="DW13" s="49"/>
      <c r="DY13" s="32">
        <f t="shared" si="93"/>
        <v>0</v>
      </c>
      <c r="DZ13" s="32">
        <f t="shared" si="63"/>
        <v>0</v>
      </c>
      <c r="EA13" s="49">
        <f t="shared" si="64"/>
        <v>0</v>
      </c>
      <c r="EB13" s="49">
        <f t="shared" si="65"/>
        <v>0</v>
      </c>
      <c r="EC13" s="49"/>
      <c r="EE13" s="32">
        <f t="shared" si="94"/>
        <v>0</v>
      </c>
      <c r="EF13" s="32">
        <f t="shared" si="66"/>
        <v>0</v>
      </c>
      <c r="EG13" s="32">
        <f t="shared" si="67"/>
        <v>0</v>
      </c>
      <c r="EH13" s="49">
        <f t="shared" si="68"/>
        <v>0</v>
      </c>
      <c r="EI13" s="49"/>
      <c r="EK13" s="32">
        <f t="shared" si="95"/>
        <v>0</v>
      </c>
      <c r="EL13" s="32">
        <f t="shared" si="69"/>
        <v>0</v>
      </c>
      <c r="EM13" s="49">
        <f t="shared" si="70"/>
        <v>0</v>
      </c>
      <c r="EN13" s="49">
        <f t="shared" si="71"/>
        <v>0</v>
      </c>
      <c r="EO13" s="49"/>
      <c r="EQ13" s="32">
        <f t="shared" si="96"/>
        <v>0</v>
      </c>
      <c r="ER13" s="32">
        <f t="shared" si="72"/>
        <v>0</v>
      </c>
      <c r="ES13" s="49">
        <f t="shared" si="73"/>
        <v>0</v>
      </c>
      <c r="ET13" s="49">
        <f t="shared" si="74"/>
        <v>0</v>
      </c>
      <c r="EU13" s="49"/>
      <c r="EV13"/>
    </row>
    <row r="14" spans="1:152" ht="12.75">
      <c r="A14" s="76">
        <v>45200</v>
      </c>
      <c r="E14" s="34">
        <f t="shared" si="0"/>
        <v>0</v>
      </c>
      <c r="I14" s="69"/>
      <c r="J14" s="69">
        <f t="shared" si="1"/>
        <v>0</v>
      </c>
      <c r="K14" s="69">
        <f t="shared" si="2"/>
        <v>0</v>
      </c>
      <c r="L14" s="69">
        <f t="shared" si="3"/>
        <v>0</v>
      </c>
      <c r="M14" s="69"/>
      <c r="P14" s="32">
        <f t="shared" si="4"/>
        <v>0</v>
      </c>
      <c r="Q14" s="32">
        <f t="shared" si="5"/>
        <v>0</v>
      </c>
      <c r="R14" s="49">
        <f t="shared" si="6"/>
        <v>0</v>
      </c>
      <c r="S14" s="49"/>
      <c r="V14" s="49">
        <f t="shared" si="7"/>
        <v>0</v>
      </c>
      <c r="W14" s="49">
        <f t="shared" si="8"/>
        <v>0</v>
      </c>
      <c r="X14" s="49">
        <f t="shared" si="9"/>
        <v>0</v>
      </c>
      <c r="Y14" s="49"/>
      <c r="AB14" s="49">
        <f t="shared" si="10"/>
        <v>0</v>
      </c>
      <c r="AC14" s="49">
        <f t="shared" si="11"/>
        <v>0</v>
      </c>
      <c r="AD14" s="49">
        <f t="shared" si="12"/>
        <v>0</v>
      </c>
      <c r="AE14" s="49"/>
      <c r="AG14" s="32">
        <f t="shared" si="13"/>
        <v>0</v>
      </c>
      <c r="AH14" s="32">
        <f t="shared" si="14"/>
        <v>0</v>
      </c>
      <c r="AI14" s="32">
        <f t="shared" si="15"/>
        <v>0</v>
      </c>
      <c r="AJ14" s="49">
        <f t="shared" si="16"/>
        <v>0</v>
      </c>
      <c r="AK14" s="49"/>
      <c r="AN14" s="32">
        <f t="shared" si="17"/>
        <v>0</v>
      </c>
      <c r="AO14" s="32">
        <f t="shared" si="18"/>
        <v>0</v>
      </c>
      <c r="AP14" s="49">
        <f t="shared" si="19"/>
        <v>0</v>
      </c>
      <c r="AQ14" s="49"/>
      <c r="AS14" s="49"/>
      <c r="AT14" s="32">
        <f t="shared" si="20"/>
        <v>0</v>
      </c>
      <c r="AU14" s="49">
        <f t="shared" si="21"/>
        <v>0</v>
      </c>
      <c r="AV14" s="49">
        <f t="shared" si="22"/>
        <v>0</v>
      </c>
      <c r="AW14" s="49"/>
      <c r="AY14" s="49"/>
      <c r="AZ14" s="32">
        <f t="shared" si="23"/>
        <v>0</v>
      </c>
      <c r="BA14" s="49">
        <f t="shared" si="24"/>
        <v>0</v>
      </c>
      <c r="BB14" s="49">
        <f t="shared" si="25"/>
        <v>0</v>
      </c>
      <c r="BC14" s="49"/>
      <c r="BF14" s="32">
        <f t="shared" si="26"/>
        <v>0</v>
      </c>
      <c r="BG14" s="32">
        <f t="shared" si="27"/>
        <v>0</v>
      </c>
      <c r="BH14" s="49">
        <f t="shared" si="28"/>
        <v>0</v>
      </c>
      <c r="BI14" s="49"/>
      <c r="BL14" s="32">
        <f t="shared" si="29"/>
        <v>0</v>
      </c>
      <c r="BM14" s="49">
        <f t="shared" si="30"/>
        <v>0</v>
      </c>
      <c r="BN14" s="49">
        <f t="shared" si="31"/>
        <v>0</v>
      </c>
      <c r="BO14" s="49"/>
      <c r="BR14" s="32">
        <f t="shared" si="32"/>
        <v>0</v>
      </c>
      <c r="BS14" s="49">
        <f t="shared" si="33"/>
        <v>0</v>
      </c>
      <c r="BT14" s="49">
        <f t="shared" si="34"/>
        <v>0</v>
      </c>
      <c r="BU14" s="49"/>
      <c r="BW14" s="32">
        <f t="shared" si="35"/>
        <v>0</v>
      </c>
      <c r="BX14" s="32">
        <f t="shared" si="36"/>
        <v>0</v>
      </c>
      <c r="BY14" s="49">
        <f t="shared" si="37"/>
        <v>0</v>
      </c>
      <c r="BZ14" s="32">
        <f t="shared" si="38"/>
        <v>0</v>
      </c>
      <c r="CA14" s="49"/>
      <c r="CC14" s="49"/>
      <c r="CD14" s="49">
        <f t="shared" si="39"/>
        <v>0</v>
      </c>
      <c r="CE14" s="32">
        <f t="shared" si="40"/>
        <v>0</v>
      </c>
      <c r="CF14" s="49">
        <f t="shared" si="41"/>
        <v>0</v>
      </c>
      <c r="CG14" s="49"/>
      <c r="CI14" s="49"/>
      <c r="CJ14" s="49">
        <f t="shared" si="42"/>
        <v>0</v>
      </c>
      <c r="CK14" s="32">
        <f t="shared" si="43"/>
        <v>0</v>
      </c>
      <c r="CL14" s="49">
        <f t="shared" si="44"/>
        <v>0</v>
      </c>
      <c r="CM14" s="49"/>
      <c r="CP14" s="32">
        <f t="shared" si="45"/>
        <v>0</v>
      </c>
      <c r="CQ14" s="49">
        <f t="shared" si="46"/>
        <v>0</v>
      </c>
      <c r="CR14" s="49">
        <f t="shared" si="47"/>
        <v>0</v>
      </c>
      <c r="CS14" s="49"/>
      <c r="CV14" s="32">
        <f t="shared" si="48"/>
        <v>0</v>
      </c>
      <c r="CW14" s="32">
        <f t="shared" si="49"/>
        <v>0</v>
      </c>
      <c r="CX14" s="49">
        <f t="shared" si="50"/>
        <v>0</v>
      </c>
      <c r="CY14" s="49"/>
      <c r="DB14" s="32">
        <f t="shared" si="51"/>
        <v>0</v>
      </c>
      <c r="DC14" s="49">
        <f t="shared" si="52"/>
        <v>0</v>
      </c>
      <c r="DD14" s="49">
        <f t="shared" si="53"/>
        <v>0</v>
      </c>
      <c r="DE14" s="49"/>
      <c r="DH14" s="32">
        <f t="shared" si="54"/>
        <v>0</v>
      </c>
      <c r="DI14" s="49">
        <f t="shared" si="55"/>
        <v>0</v>
      </c>
      <c r="DJ14" s="49">
        <f t="shared" si="56"/>
        <v>0</v>
      </c>
      <c r="DK14" s="49"/>
      <c r="DN14" s="32">
        <f t="shared" si="57"/>
        <v>0</v>
      </c>
      <c r="DO14" s="49">
        <f t="shared" si="58"/>
        <v>0</v>
      </c>
      <c r="DP14" s="49">
        <f t="shared" si="59"/>
        <v>0</v>
      </c>
      <c r="DQ14" s="49"/>
      <c r="DT14" s="49">
        <f t="shared" si="60"/>
        <v>0</v>
      </c>
      <c r="DU14" s="49">
        <f t="shared" si="61"/>
        <v>0</v>
      </c>
      <c r="DV14" s="49">
        <f t="shared" si="62"/>
        <v>0</v>
      </c>
      <c r="DW14" s="49"/>
      <c r="DZ14" s="32">
        <f t="shared" si="63"/>
        <v>0</v>
      </c>
      <c r="EA14" s="49">
        <f t="shared" si="64"/>
        <v>0</v>
      </c>
      <c r="EB14" s="49">
        <f t="shared" si="65"/>
        <v>0</v>
      </c>
      <c r="EC14" s="49"/>
      <c r="EF14" s="32">
        <f t="shared" si="66"/>
        <v>0</v>
      </c>
      <c r="EG14" s="32">
        <f t="shared" si="67"/>
        <v>0</v>
      </c>
      <c r="EH14" s="49">
        <f t="shared" si="68"/>
        <v>0</v>
      </c>
      <c r="EI14" s="49"/>
      <c r="EL14" s="32">
        <f t="shared" si="69"/>
        <v>0</v>
      </c>
      <c r="EM14" s="49">
        <f t="shared" si="70"/>
        <v>0</v>
      </c>
      <c r="EN14" s="49">
        <f t="shared" si="71"/>
        <v>0</v>
      </c>
      <c r="EO14" s="49"/>
      <c r="ER14" s="32">
        <f t="shared" si="72"/>
        <v>0</v>
      </c>
      <c r="ES14" s="49">
        <f t="shared" si="73"/>
        <v>0</v>
      </c>
      <c r="ET14" s="49">
        <f t="shared" si="74"/>
        <v>0</v>
      </c>
      <c r="EU14" s="49"/>
      <c r="EV14"/>
    </row>
    <row r="15" spans="1:152" ht="12.75">
      <c r="A15" s="76">
        <v>45383</v>
      </c>
      <c r="E15" s="34">
        <f t="shared" si="0"/>
        <v>0</v>
      </c>
      <c r="I15" s="69">
        <f t="shared" si="75"/>
        <v>0</v>
      </c>
      <c r="J15" s="69">
        <f t="shared" si="1"/>
        <v>0</v>
      </c>
      <c r="K15" s="69">
        <f t="shared" si="2"/>
        <v>0</v>
      </c>
      <c r="L15" s="69">
        <f t="shared" si="3"/>
        <v>0</v>
      </c>
      <c r="M15" s="69"/>
      <c r="O15" s="32">
        <f t="shared" si="76"/>
        <v>0</v>
      </c>
      <c r="P15" s="32">
        <f t="shared" si="4"/>
        <v>0</v>
      </c>
      <c r="Q15" s="32">
        <f t="shared" si="5"/>
        <v>0</v>
      </c>
      <c r="R15" s="49">
        <f t="shared" si="6"/>
        <v>0</v>
      </c>
      <c r="S15" s="49"/>
      <c r="U15" s="32">
        <f t="shared" si="77"/>
        <v>0</v>
      </c>
      <c r="V15" s="49">
        <f t="shared" si="7"/>
        <v>0</v>
      </c>
      <c r="W15" s="49">
        <f t="shared" si="8"/>
        <v>0</v>
      </c>
      <c r="X15" s="49">
        <f t="shared" si="9"/>
        <v>0</v>
      </c>
      <c r="Y15" s="49"/>
      <c r="AA15" s="32">
        <f t="shared" si="78"/>
        <v>0</v>
      </c>
      <c r="AB15" s="49">
        <f t="shared" si="10"/>
        <v>0</v>
      </c>
      <c r="AC15" s="49">
        <f t="shared" si="11"/>
        <v>0</v>
      </c>
      <c r="AD15" s="49">
        <f t="shared" si="12"/>
        <v>0</v>
      </c>
      <c r="AE15" s="49"/>
      <c r="AG15" s="32">
        <f t="shared" si="13"/>
        <v>0</v>
      </c>
      <c r="AH15" s="32">
        <f t="shared" si="14"/>
        <v>0</v>
      </c>
      <c r="AI15" s="32">
        <f t="shared" si="15"/>
        <v>0</v>
      </c>
      <c r="AJ15" s="49">
        <f t="shared" si="16"/>
        <v>0</v>
      </c>
      <c r="AK15" s="49"/>
      <c r="AM15" s="32">
        <f t="shared" si="79"/>
        <v>0</v>
      </c>
      <c r="AN15" s="32">
        <f t="shared" si="17"/>
        <v>0</v>
      </c>
      <c r="AO15" s="32">
        <f t="shared" si="18"/>
        <v>0</v>
      </c>
      <c r="AP15" s="49">
        <f t="shared" si="19"/>
        <v>0</v>
      </c>
      <c r="AQ15" s="49"/>
      <c r="AS15" s="49">
        <f t="shared" si="80"/>
        <v>0</v>
      </c>
      <c r="AT15" s="32">
        <f t="shared" si="20"/>
        <v>0</v>
      </c>
      <c r="AU15" s="49">
        <f t="shared" si="21"/>
        <v>0</v>
      </c>
      <c r="AV15" s="49">
        <f t="shared" si="22"/>
        <v>0</v>
      </c>
      <c r="AW15" s="49"/>
      <c r="AY15" s="49">
        <f t="shared" si="81"/>
        <v>0</v>
      </c>
      <c r="AZ15" s="32">
        <f t="shared" si="23"/>
        <v>0</v>
      </c>
      <c r="BA15" s="49">
        <f t="shared" si="24"/>
        <v>0</v>
      </c>
      <c r="BB15" s="49">
        <f t="shared" si="25"/>
        <v>0</v>
      </c>
      <c r="BC15" s="49"/>
      <c r="BE15" s="32">
        <f t="shared" si="82"/>
        <v>0</v>
      </c>
      <c r="BF15" s="32">
        <f t="shared" si="26"/>
        <v>0</v>
      </c>
      <c r="BG15" s="32">
        <f t="shared" si="27"/>
        <v>0</v>
      </c>
      <c r="BH15" s="49">
        <f t="shared" si="28"/>
        <v>0</v>
      </c>
      <c r="BI15" s="49"/>
      <c r="BK15" s="32">
        <f t="shared" si="83"/>
        <v>0</v>
      </c>
      <c r="BL15" s="32">
        <f t="shared" si="29"/>
        <v>0</v>
      </c>
      <c r="BM15" s="49">
        <f t="shared" si="30"/>
        <v>0</v>
      </c>
      <c r="BN15" s="49">
        <f t="shared" si="31"/>
        <v>0</v>
      </c>
      <c r="BO15" s="49"/>
      <c r="BQ15" s="32">
        <f t="shared" si="84"/>
        <v>0</v>
      </c>
      <c r="BR15" s="32">
        <f t="shared" si="32"/>
        <v>0</v>
      </c>
      <c r="BS15" s="49">
        <f t="shared" si="33"/>
        <v>0</v>
      </c>
      <c r="BT15" s="49">
        <f t="shared" si="34"/>
        <v>0</v>
      </c>
      <c r="BU15" s="49"/>
      <c r="BW15" s="32">
        <f t="shared" si="35"/>
        <v>0</v>
      </c>
      <c r="BX15" s="32">
        <f t="shared" si="36"/>
        <v>0</v>
      </c>
      <c r="BY15" s="49">
        <f t="shared" si="37"/>
        <v>0</v>
      </c>
      <c r="BZ15" s="32">
        <f t="shared" si="38"/>
        <v>0</v>
      </c>
      <c r="CA15" s="49"/>
      <c r="CC15" s="49">
        <f t="shared" si="85"/>
        <v>0</v>
      </c>
      <c r="CD15" s="49">
        <f t="shared" si="39"/>
        <v>0</v>
      </c>
      <c r="CE15" s="32">
        <f t="shared" si="40"/>
        <v>0</v>
      </c>
      <c r="CF15" s="49">
        <f t="shared" si="41"/>
        <v>0</v>
      </c>
      <c r="CG15" s="49"/>
      <c r="CI15" s="49">
        <f t="shared" si="86"/>
        <v>0</v>
      </c>
      <c r="CJ15" s="49">
        <f t="shared" si="42"/>
        <v>0</v>
      </c>
      <c r="CK15" s="32">
        <f t="shared" si="43"/>
        <v>0</v>
      </c>
      <c r="CL15" s="49">
        <f t="shared" si="44"/>
        <v>0</v>
      </c>
      <c r="CM15" s="49"/>
      <c r="CO15" s="32">
        <f t="shared" si="87"/>
        <v>0</v>
      </c>
      <c r="CP15" s="32">
        <f t="shared" si="45"/>
        <v>0</v>
      </c>
      <c r="CQ15" s="49">
        <f t="shared" si="46"/>
        <v>0</v>
      </c>
      <c r="CR15" s="49">
        <f t="shared" si="47"/>
        <v>0</v>
      </c>
      <c r="CS15" s="49"/>
      <c r="CU15" s="32">
        <f t="shared" si="88"/>
        <v>0</v>
      </c>
      <c r="CV15" s="32">
        <f t="shared" si="48"/>
        <v>0</v>
      </c>
      <c r="CW15" s="32">
        <f t="shared" si="49"/>
        <v>0</v>
      </c>
      <c r="CX15" s="49">
        <f t="shared" si="50"/>
        <v>0</v>
      </c>
      <c r="CY15" s="49"/>
      <c r="DA15" s="32">
        <f t="shared" si="89"/>
        <v>0</v>
      </c>
      <c r="DB15" s="32">
        <f t="shared" si="51"/>
        <v>0</v>
      </c>
      <c r="DC15" s="49">
        <f t="shared" si="52"/>
        <v>0</v>
      </c>
      <c r="DD15" s="49">
        <f t="shared" si="53"/>
        <v>0</v>
      </c>
      <c r="DE15" s="49"/>
      <c r="DG15" s="32">
        <f t="shared" si="90"/>
        <v>0</v>
      </c>
      <c r="DH15" s="32">
        <f t="shared" si="54"/>
        <v>0</v>
      </c>
      <c r="DI15" s="49">
        <f t="shared" si="55"/>
        <v>0</v>
      </c>
      <c r="DJ15" s="49">
        <f t="shared" si="56"/>
        <v>0</v>
      </c>
      <c r="DK15" s="49"/>
      <c r="DM15" s="32">
        <f t="shared" si="91"/>
        <v>0</v>
      </c>
      <c r="DN15" s="32">
        <f t="shared" si="57"/>
        <v>0</v>
      </c>
      <c r="DO15" s="49">
        <f t="shared" si="58"/>
        <v>0</v>
      </c>
      <c r="DP15" s="49">
        <f t="shared" si="59"/>
        <v>0</v>
      </c>
      <c r="DQ15" s="49"/>
      <c r="DS15" s="32">
        <f t="shared" si="92"/>
        <v>0</v>
      </c>
      <c r="DT15" s="49">
        <f t="shared" si="60"/>
        <v>0</v>
      </c>
      <c r="DU15" s="49">
        <f t="shared" si="61"/>
        <v>0</v>
      </c>
      <c r="DV15" s="49">
        <f t="shared" si="62"/>
        <v>0</v>
      </c>
      <c r="DW15" s="49"/>
      <c r="DY15" s="32">
        <f t="shared" si="93"/>
        <v>0</v>
      </c>
      <c r="DZ15" s="32">
        <f t="shared" si="63"/>
        <v>0</v>
      </c>
      <c r="EA15" s="49">
        <f t="shared" si="64"/>
        <v>0</v>
      </c>
      <c r="EB15" s="49">
        <f t="shared" si="65"/>
        <v>0</v>
      </c>
      <c r="EC15" s="49"/>
      <c r="EE15" s="32">
        <f t="shared" si="94"/>
        <v>0</v>
      </c>
      <c r="EF15" s="32">
        <f t="shared" si="66"/>
        <v>0</v>
      </c>
      <c r="EG15" s="32">
        <f t="shared" si="67"/>
        <v>0</v>
      </c>
      <c r="EH15" s="49">
        <f t="shared" si="68"/>
        <v>0</v>
      </c>
      <c r="EI15" s="49"/>
      <c r="EK15" s="32">
        <f t="shared" si="95"/>
        <v>0</v>
      </c>
      <c r="EL15" s="32">
        <f t="shared" si="69"/>
        <v>0</v>
      </c>
      <c r="EM15" s="49">
        <f t="shared" si="70"/>
        <v>0</v>
      </c>
      <c r="EN15" s="49">
        <f t="shared" si="71"/>
        <v>0</v>
      </c>
      <c r="EO15" s="49"/>
      <c r="EQ15" s="32">
        <f t="shared" si="96"/>
        <v>0</v>
      </c>
      <c r="ER15" s="32">
        <f t="shared" si="72"/>
        <v>0</v>
      </c>
      <c r="ES15" s="49">
        <f t="shared" si="73"/>
        <v>0</v>
      </c>
      <c r="ET15" s="49">
        <f t="shared" si="74"/>
        <v>0</v>
      </c>
      <c r="EU15" s="49"/>
      <c r="EV15"/>
    </row>
    <row r="16" spans="1:152" ht="12.75">
      <c r="A16" s="76">
        <v>45566</v>
      </c>
      <c r="E16" s="34">
        <f t="shared" si="0"/>
        <v>0</v>
      </c>
      <c r="I16" s="69"/>
      <c r="J16" s="69">
        <f t="shared" si="1"/>
        <v>0</v>
      </c>
      <c r="K16" s="69">
        <f t="shared" si="2"/>
        <v>0</v>
      </c>
      <c r="L16" s="69">
        <f t="shared" si="3"/>
        <v>0</v>
      </c>
      <c r="M16" s="69"/>
      <c r="P16" s="32">
        <f t="shared" si="4"/>
        <v>0</v>
      </c>
      <c r="Q16" s="32">
        <f t="shared" si="5"/>
        <v>0</v>
      </c>
      <c r="R16" s="49">
        <f t="shared" si="6"/>
        <v>0</v>
      </c>
      <c r="S16" s="49"/>
      <c r="V16" s="49">
        <f t="shared" si="7"/>
        <v>0</v>
      </c>
      <c r="W16" s="49">
        <f t="shared" si="8"/>
        <v>0</v>
      </c>
      <c r="X16" s="49">
        <f t="shared" si="9"/>
        <v>0</v>
      </c>
      <c r="Y16" s="49"/>
      <c r="AB16" s="49">
        <f t="shared" si="10"/>
        <v>0</v>
      </c>
      <c r="AC16" s="49">
        <f t="shared" si="11"/>
        <v>0</v>
      </c>
      <c r="AD16" s="49">
        <f t="shared" si="12"/>
        <v>0</v>
      </c>
      <c r="AE16" s="49"/>
      <c r="AG16" s="32">
        <f t="shared" si="13"/>
        <v>0</v>
      </c>
      <c r="AH16" s="32">
        <f t="shared" si="14"/>
        <v>0</v>
      </c>
      <c r="AI16" s="32">
        <f t="shared" si="15"/>
        <v>0</v>
      </c>
      <c r="AJ16" s="49">
        <f t="shared" si="16"/>
        <v>0</v>
      </c>
      <c r="AK16" s="49"/>
      <c r="AN16" s="32">
        <f t="shared" si="17"/>
        <v>0</v>
      </c>
      <c r="AO16" s="32">
        <f t="shared" si="18"/>
        <v>0</v>
      </c>
      <c r="AP16" s="49">
        <f t="shared" si="19"/>
        <v>0</v>
      </c>
      <c r="AQ16" s="49"/>
      <c r="AS16" s="49"/>
      <c r="AT16" s="32">
        <f t="shared" si="20"/>
        <v>0</v>
      </c>
      <c r="AU16" s="49">
        <f t="shared" si="21"/>
        <v>0</v>
      </c>
      <c r="AV16" s="49">
        <f t="shared" si="22"/>
        <v>0</v>
      </c>
      <c r="AW16" s="49"/>
      <c r="AY16" s="49"/>
      <c r="AZ16" s="32">
        <f t="shared" si="23"/>
        <v>0</v>
      </c>
      <c r="BA16" s="49">
        <f t="shared" si="24"/>
        <v>0</v>
      </c>
      <c r="BB16" s="49">
        <f t="shared" si="25"/>
        <v>0</v>
      </c>
      <c r="BC16" s="49"/>
      <c r="BF16" s="32">
        <f t="shared" si="26"/>
        <v>0</v>
      </c>
      <c r="BG16" s="32">
        <f t="shared" si="27"/>
        <v>0</v>
      </c>
      <c r="BH16" s="49">
        <f t="shared" si="28"/>
        <v>0</v>
      </c>
      <c r="BI16" s="49"/>
      <c r="BL16" s="32">
        <f t="shared" si="29"/>
        <v>0</v>
      </c>
      <c r="BM16" s="49">
        <f t="shared" si="30"/>
        <v>0</v>
      </c>
      <c r="BN16" s="49">
        <f t="shared" si="31"/>
        <v>0</v>
      </c>
      <c r="BO16" s="49"/>
      <c r="BR16" s="32">
        <f t="shared" si="32"/>
        <v>0</v>
      </c>
      <c r="BS16" s="49">
        <f t="shared" si="33"/>
        <v>0</v>
      </c>
      <c r="BT16" s="49">
        <f t="shared" si="34"/>
        <v>0</v>
      </c>
      <c r="BU16" s="49"/>
      <c r="BW16" s="32">
        <f t="shared" si="35"/>
        <v>0</v>
      </c>
      <c r="BX16" s="32">
        <f t="shared" si="36"/>
        <v>0</v>
      </c>
      <c r="BY16" s="49">
        <f t="shared" si="37"/>
        <v>0</v>
      </c>
      <c r="BZ16" s="32">
        <f t="shared" si="38"/>
        <v>0</v>
      </c>
      <c r="CA16" s="49"/>
      <c r="CC16" s="49"/>
      <c r="CD16" s="49">
        <f t="shared" si="39"/>
        <v>0</v>
      </c>
      <c r="CE16" s="32">
        <f t="shared" si="40"/>
        <v>0</v>
      </c>
      <c r="CF16" s="49">
        <f t="shared" si="41"/>
        <v>0</v>
      </c>
      <c r="CG16" s="49"/>
      <c r="CI16" s="49"/>
      <c r="CJ16" s="49">
        <f t="shared" si="42"/>
        <v>0</v>
      </c>
      <c r="CK16" s="32">
        <f t="shared" si="43"/>
        <v>0</v>
      </c>
      <c r="CL16" s="49">
        <f t="shared" si="44"/>
        <v>0</v>
      </c>
      <c r="CM16" s="49"/>
      <c r="CP16" s="32">
        <f t="shared" si="45"/>
        <v>0</v>
      </c>
      <c r="CQ16" s="49">
        <f t="shared" si="46"/>
        <v>0</v>
      </c>
      <c r="CR16" s="49">
        <f t="shared" si="47"/>
        <v>0</v>
      </c>
      <c r="CS16" s="49"/>
      <c r="CV16" s="32">
        <f t="shared" si="48"/>
        <v>0</v>
      </c>
      <c r="CW16" s="32">
        <f t="shared" si="49"/>
        <v>0</v>
      </c>
      <c r="CX16" s="49">
        <f t="shared" si="50"/>
        <v>0</v>
      </c>
      <c r="CY16" s="49"/>
      <c r="DB16" s="32">
        <f t="shared" si="51"/>
        <v>0</v>
      </c>
      <c r="DC16" s="49">
        <f t="shared" si="52"/>
        <v>0</v>
      </c>
      <c r="DD16" s="49">
        <f t="shared" si="53"/>
        <v>0</v>
      </c>
      <c r="DE16" s="49"/>
      <c r="DH16" s="32">
        <f t="shared" si="54"/>
        <v>0</v>
      </c>
      <c r="DI16" s="49">
        <f t="shared" si="55"/>
        <v>0</v>
      </c>
      <c r="DJ16" s="49">
        <f t="shared" si="56"/>
        <v>0</v>
      </c>
      <c r="DK16" s="49"/>
      <c r="DN16" s="32">
        <f t="shared" si="57"/>
        <v>0</v>
      </c>
      <c r="DO16" s="49">
        <f t="shared" si="58"/>
        <v>0</v>
      </c>
      <c r="DP16" s="49">
        <f t="shared" si="59"/>
        <v>0</v>
      </c>
      <c r="DQ16" s="49"/>
      <c r="DT16" s="49">
        <f t="shared" si="60"/>
        <v>0</v>
      </c>
      <c r="DU16" s="49">
        <f t="shared" si="61"/>
        <v>0</v>
      </c>
      <c r="DV16" s="49">
        <f t="shared" si="62"/>
        <v>0</v>
      </c>
      <c r="DW16" s="49"/>
      <c r="DZ16" s="32">
        <f t="shared" si="63"/>
        <v>0</v>
      </c>
      <c r="EA16" s="49">
        <f t="shared" si="64"/>
        <v>0</v>
      </c>
      <c r="EB16" s="49">
        <f t="shared" si="65"/>
        <v>0</v>
      </c>
      <c r="EC16" s="49"/>
      <c r="EF16" s="32">
        <f t="shared" si="66"/>
        <v>0</v>
      </c>
      <c r="EG16" s="32">
        <f t="shared" si="67"/>
        <v>0</v>
      </c>
      <c r="EH16" s="49">
        <f t="shared" si="68"/>
        <v>0</v>
      </c>
      <c r="EI16" s="49"/>
      <c r="EL16" s="32">
        <f t="shared" si="69"/>
        <v>0</v>
      </c>
      <c r="EM16" s="49">
        <f t="shared" si="70"/>
        <v>0</v>
      </c>
      <c r="EN16" s="49">
        <f t="shared" si="71"/>
        <v>0</v>
      </c>
      <c r="EO16" s="49"/>
      <c r="ER16" s="32">
        <f t="shared" si="72"/>
        <v>0</v>
      </c>
      <c r="ES16" s="49">
        <f t="shared" si="73"/>
        <v>0</v>
      </c>
      <c r="ET16" s="49">
        <f t="shared" si="74"/>
        <v>0</v>
      </c>
      <c r="EU16" s="49"/>
      <c r="EV16"/>
    </row>
    <row r="17" spans="1:152" ht="12.75">
      <c r="A17" s="76">
        <v>45748</v>
      </c>
      <c r="E17" s="34">
        <f t="shared" si="0"/>
        <v>0</v>
      </c>
      <c r="I17" s="69">
        <f t="shared" si="75"/>
        <v>0</v>
      </c>
      <c r="J17" s="69">
        <f t="shared" si="1"/>
        <v>0</v>
      </c>
      <c r="K17" s="69">
        <f t="shared" si="2"/>
        <v>0</v>
      </c>
      <c r="L17" s="69">
        <f t="shared" si="3"/>
        <v>0</v>
      </c>
      <c r="M17" s="69"/>
      <c r="O17" s="32">
        <f t="shared" si="76"/>
        <v>0</v>
      </c>
      <c r="P17" s="32">
        <f t="shared" si="4"/>
        <v>0</v>
      </c>
      <c r="Q17" s="32">
        <f t="shared" si="5"/>
        <v>0</v>
      </c>
      <c r="R17" s="49">
        <f t="shared" si="6"/>
        <v>0</v>
      </c>
      <c r="S17" s="49"/>
      <c r="U17" s="32">
        <f t="shared" si="77"/>
        <v>0</v>
      </c>
      <c r="V17" s="49">
        <f t="shared" si="7"/>
        <v>0</v>
      </c>
      <c r="W17" s="49">
        <f t="shared" si="8"/>
        <v>0</v>
      </c>
      <c r="X17" s="49">
        <f t="shared" si="9"/>
        <v>0</v>
      </c>
      <c r="Y17" s="49"/>
      <c r="AA17" s="32">
        <f t="shared" si="78"/>
        <v>0</v>
      </c>
      <c r="AB17" s="49">
        <f t="shared" si="10"/>
        <v>0</v>
      </c>
      <c r="AC17" s="49">
        <f t="shared" si="11"/>
        <v>0</v>
      </c>
      <c r="AD17" s="49">
        <f t="shared" si="12"/>
        <v>0</v>
      </c>
      <c r="AE17" s="49"/>
      <c r="AG17" s="32">
        <f t="shared" si="13"/>
        <v>0</v>
      </c>
      <c r="AH17" s="32">
        <f t="shared" si="14"/>
        <v>0</v>
      </c>
      <c r="AI17" s="32">
        <f t="shared" si="15"/>
        <v>0</v>
      </c>
      <c r="AJ17" s="49">
        <f t="shared" si="16"/>
        <v>0</v>
      </c>
      <c r="AK17" s="49"/>
      <c r="AM17" s="32">
        <f t="shared" si="79"/>
        <v>0</v>
      </c>
      <c r="AN17" s="32">
        <f t="shared" si="17"/>
        <v>0</v>
      </c>
      <c r="AO17" s="32">
        <f t="shared" si="18"/>
        <v>0</v>
      </c>
      <c r="AP17" s="49">
        <f t="shared" si="19"/>
        <v>0</v>
      </c>
      <c r="AQ17" s="49"/>
      <c r="AS17" s="49">
        <f t="shared" si="80"/>
        <v>0</v>
      </c>
      <c r="AT17" s="32">
        <f t="shared" si="20"/>
        <v>0</v>
      </c>
      <c r="AU17" s="49">
        <f t="shared" si="21"/>
        <v>0</v>
      </c>
      <c r="AV17" s="49">
        <f t="shared" si="22"/>
        <v>0</v>
      </c>
      <c r="AW17" s="49"/>
      <c r="AY17" s="49">
        <f t="shared" si="81"/>
        <v>0</v>
      </c>
      <c r="AZ17" s="32">
        <f t="shared" si="23"/>
        <v>0</v>
      </c>
      <c r="BA17" s="49">
        <f t="shared" si="24"/>
        <v>0</v>
      </c>
      <c r="BB17" s="49">
        <f t="shared" si="25"/>
        <v>0</v>
      </c>
      <c r="BC17" s="49"/>
      <c r="BE17" s="32">
        <f t="shared" si="82"/>
        <v>0</v>
      </c>
      <c r="BF17" s="32">
        <f t="shared" si="26"/>
        <v>0</v>
      </c>
      <c r="BG17" s="32">
        <f t="shared" si="27"/>
        <v>0</v>
      </c>
      <c r="BH17" s="49">
        <f t="shared" si="28"/>
        <v>0</v>
      </c>
      <c r="BI17" s="49"/>
      <c r="BK17" s="32">
        <f t="shared" si="83"/>
        <v>0</v>
      </c>
      <c r="BL17" s="32">
        <f t="shared" si="29"/>
        <v>0</v>
      </c>
      <c r="BM17" s="49">
        <f t="shared" si="30"/>
        <v>0</v>
      </c>
      <c r="BN17" s="49">
        <f t="shared" si="31"/>
        <v>0</v>
      </c>
      <c r="BO17" s="49"/>
      <c r="BQ17" s="32">
        <f t="shared" si="84"/>
        <v>0</v>
      </c>
      <c r="BR17" s="32">
        <f t="shared" si="32"/>
        <v>0</v>
      </c>
      <c r="BS17" s="49">
        <f t="shared" si="33"/>
        <v>0</v>
      </c>
      <c r="BT17" s="49">
        <f t="shared" si="34"/>
        <v>0</v>
      </c>
      <c r="BU17" s="49"/>
      <c r="BW17" s="32">
        <f t="shared" si="35"/>
        <v>0</v>
      </c>
      <c r="BX17" s="32">
        <f t="shared" si="36"/>
        <v>0</v>
      </c>
      <c r="BY17" s="49">
        <f t="shared" si="37"/>
        <v>0</v>
      </c>
      <c r="BZ17" s="32">
        <f t="shared" si="38"/>
        <v>0</v>
      </c>
      <c r="CA17" s="49"/>
      <c r="CC17" s="49">
        <f t="shared" si="85"/>
        <v>0</v>
      </c>
      <c r="CD17" s="49">
        <f t="shared" si="39"/>
        <v>0</v>
      </c>
      <c r="CE17" s="32">
        <f t="shared" si="40"/>
        <v>0</v>
      </c>
      <c r="CF17" s="49">
        <f t="shared" si="41"/>
        <v>0</v>
      </c>
      <c r="CG17" s="49"/>
      <c r="CI17" s="49">
        <f t="shared" si="86"/>
        <v>0</v>
      </c>
      <c r="CJ17" s="49">
        <f t="shared" si="42"/>
        <v>0</v>
      </c>
      <c r="CK17" s="32">
        <f t="shared" si="43"/>
        <v>0</v>
      </c>
      <c r="CL17" s="49">
        <f t="shared" si="44"/>
        <v>0</v>
      </c>
      <c r="CM17" s="49"/>
      <c r="CO17" s="32">
        <f t="shared" si="87"/>
        <v>0</v>
      </c>
      <c r="CP17" s="32">
        <f t="shared" si="45"/>
        <v>0</v>
      </c>
      <c r="CQ17" s="49">
        <f t="shared" si="46"/>
        <v>0</v>
      </c>
      <c r="CR17" s="49">
        <f t="shared" si="47"/>
        <v>0</v>
      </c>
      <c r="CS17" s="49"/>
      <c r="CU17" s="32">
        <f t="shared" si="88"/>
        <v>0</v>
      </c>
      <c r="CV17" s="32">
        <f t="shared" si="48"/>
        <v>0</v>
      </c>
      <c r="CW17" s="32">
        <f t="shared" si="49"/>
        <v>0</v>
      </c>
      <c r="CX17" s="49">
        <f t="shared" si="50"/>
        <v>0</v>
      </c>
      <c r="CY17" s="49"/>
      <c r="DA17" s="32">
        <f t="shared" si="89"/>
        <v>0</v>
      </c>
      <c r="DB17" s="32">
        <f t="shared" si="51"/>
        <v>0</v>
      </c>
      <c r="DC17" s="49">
        <f t="shared" si="52"/>
        <v>0</v>
      </c>
      <c r="DD17" s="49">
        <f t="shared" si="53"/>
        <v>0</v>
      </c>
      <c r="DE17" s="49"/>
      <c r="DG17" s="32">
        <f t="shared" si="90"/>
        <v>0</v>
      </c>
      <c r="DH17" s="32">
        <f t="shared" si="54"/>
        <v>0</v>
      </c>
      <c r="DI17" s="49">
        <f t="shared" si="55"/>
        <v>0</v>
      </c>
      <c r="DJ17" s="49">
        <f t="shared" si="56"/>
        <v>0</v>
      </c>
      <c r="DK17" s="49"/>
      <c r="DM17" s="32">
        <f t="shared" si="91"/>
        <v>0</v>
      </c>
      <c r="DN17" s="32">
        <f t="shared" si="57"/>
        <v>0</v>
      </c>
      <c r="DO17" s="49">
        <f t="shared" si="58"/>
        <v>0</v>
      </c>
      <c r="DP17" s="49">
        <f t="shared" si="59"/>
        <v>0</v>
      </c>
      <c r="DQ17" s="49"/>
      <c r="DS17" s="32">
        <f t="shared" si="92"/>
        <v>0</v>
      </c>
      <c r="DT17" s="49">
        <f t="shared" si="60"/>
        <v>0</v>
      </c>
      <c r="DU17" s="49">
        <f t="shared" si="61"/>
        <v>0</v>
      </c>
      <c r="DV17" s="49">
        <f t="shared" si="62"/>
        <v>0</v>
      </c>
      <c r="DW17" s="49"/>
      <c r="DY17" s="32">
        <f t="shared" si="93"/>
        <v>0</v>
      </c>
      <c r="DZ17" s="32">
        <f t="shared" si="63"/>
        <v>0</v>
      </c>
      <c r="EA17" s="49">
        <f t="shared" si="64"/>
        <v>0</v>
      </c>
      <c r="EB17" s="49">
        <f t="shared" si="65"/>
        <v>0</v>
      </c>
      <c r="EC17" s="49"/>
      <c r="EE17" s="32">
        <f t="shared" si="94"/>
        <v>0</v>
      </c>
      <c r="EF17" s="32">
        <f t="shared" si="66"/>
        <v>0</v>
      </c>
      <c r="EG17" s="32">
        <f t="shared" si="67"/>
        <v>0</v>
      </c>
      <c r="EH17" s="49">
        <f t="shared" si="68"/>
        <v>0</v>
      </c>
      <c r="EI17" s="49"/>
      <c r="EK17" s="32">
        <f t="shared" si="95"/>
        <v>0</v>
      </c>
      <c r="EL17" s="32">
        <f t="shared" si="69"/>
        <v>0</v>
      </c>
      <c r="EM17" s="49">
        <f t="shared" si="70"/>
        <v>0</v>
      </c>
      <c r="EN17" s="49">
        <f t="shared" si="71"/>
        <v>0</v>
      </c>
      <c r="EO17" s="49"/>
      <c r="EQ17" s="32">
        <f t="shared" si="96"/>
        <v>0</v>
      </c>
      <c r="ER17" s="32">
        <f t="shared" si="72"/>
        <v>0</v>
      </c>
      <c r="ES17" s="49">
        <f t="shared" si="73"/>
        <v>0</v>
      </c>
      <c r="ET17" s="49">
        <f t="shared" si="74"/>
        <v>0</v>
      </c>
      <c r="EU17" s="49"/>
      <c r="EV17"/>
    </row>
    <row r="18" spans="1:152" ht="12.75">
      <c r="A18" s="76">
        <v>45931</v>
      </c>
      <c r="E18" s="34">
        <f t="shared" si="0"/>
        <v>0</v>
      </c>
      <c r="I18" s="69"/>
      <c r="J18" s="69">
        <f t="shared" si="1"/>
        <v>0</v>
      </c>
      <c r="K18" s="69">
        <f t="shared" si="2"/>
        <v>0</v>
      </c>
      <c r="L18" s="69">
        <f t="shared" si="3"/>
        <v>0</v>
      </c>
      <c r="M18" s="69"/>
      <c r="P18" s="32">
        <f t="shared" si="4"/>
        <v>0</v>
      </c>
      <c r="Q18" s="32">
        <f t="shared" si="5"/>
        <v>0</v>
      </c>
      <c r="R18" s="49">
        <f t="shared" si="6"/>
        <v>0</v>
      </c>
      <c r="S18" s="49"/>
      <c r="V18" s="49">
        <f t="shared" si="7"/>
        <v>0</v>
      </c>
      <c r="W18" s="49">
        <f t="shared" si="8"/>
        <v>0</v>
      </c>
      <c r="X18" s="49">
        <f t="shared" si="9"/>
        <v>0</v>
      </c>
      <c r="Y18" s="49"/>
      <c r="AB18" s="49">
        <f t="shared" si="10"/>
        <v>0</v>
      </c>
      <c r="AC18" s="49">
        <f t="shared" si="11"/>
        <v>0</v>
      </c>
      <c r="AD18" s="49">
        <f t="shared" si="12"/>
        <v>0</v>
      </c>
      <c r="AE18" s="49"/>
      <c r="AG18" s="32">
        <f t="shared" si="13"/>
        <v>0</v>
      </c>
      <c r="AH18" s="32">
        <f t="shared" si="14"/>
        <v>0</v>
      </c>
      <c r="AI18" s="32">
        <f t="shared" si="15"/>
        <v>0</v>
      </c>
      <c r="AJ18" s="49">
        <f t="shared" si="16"/>
        <v>0</v>
      </c>
      <c r="AK18" s="49"/>
      <c r="AN18" s="32">
        <f t="shared" si="17"/>
        <v>0</v>
      </c>
      <c r="AO18" s="32">
        <f t="shared" si="18"/>
        <v>0</v>
      </c>
      <c r="AP18" s="49">
        <f t="shared" si="19"/>
        <v>0</v>
      </c>
      <c r="AQ18" s="49"/>
      <c r="AS18" s="49"/>
      <c r="AT18" s="32">
        <f t="shared" si="20"/>
        <v>0</v>
      </c>
      <c r="AU18" s="49">
        <f t="shared" si="21"/>
        <v>0</v>
      </c>
      <c r="AV18" s="49">
        <f t="shared" si="22"/>
        <v>0</v>
      </c>
      <c r="AW18" s="49"/>
      <c r="AY18" s="49"/>
      <c r="AZ18" s="32">
        <f t="shared" si="23"/>
        <v>0</v>
      </c>
      <c r="BA18" s="49">
        <f t="shared" si="24"/>
        <v>0</v>
      </c>
      <c r="BB18" s="49">
        <f t="shared" si="25"/>
        <v>0</v>
      </c>
      <c r="BC18" s="49"/>
      <c r="BF18" s="32">
        <f t="shared" si="26"/>
        <v>0</v>
      </c>
      <c r="BG18" s="32">
        <f t="shared" si="27"/>
        <v>0</v>
      </c>
      <c r="BH18" s="49">
        <f t="shared" si="28"/>
        <v>0</v>
      </c>
      <c r="BI18" s="49"/>
      <c r="BL18" s="32">
        <f t="shared" si="29"/>
        <v>0</v>
      </c>
      <c r="BM18" s="49">
        <f t="shared" si="30"/>
        <v>0</v>
      </c>
      <c r="BN18" s="49">
        <f t="shared" si="31"/>
        <v>0</v>
      </c>
      <c r="BO18" s="49"/>
      <c r="BR18" s="32">
        <f t="shared" si="32"/>
        <v>0</v>
      </c>
      <c r="BS18" s="49">
        <f t="shared" si="33"/>
        <v>0</v>
      </c>
      <c r="BT18" s="49">
        <f t="shared" si="34"/>
        <v>0</v>
      </c>
      <c r="BU18" s="49"/>
      <c r="BW18" s="32">
        <f t="shared" si="35"/>
        <v>0</v>
      </c>
      <c r="BX18" s="32">
        <f t="shared" si="36"/>
        <v>0</v>
      </c>
      <c r="BY18" s="49">
        <f t="shared" si="37"/>
        <v>0</v>
      </c>
      <c r="BZ18" s="32">
        <f t="shared" si="38"/>
        <v>0</v>
      </c>
      <c r="CA18" s="49"/>
      <c r="CC18" s="49"/>
      <c r="CD18" s="49">
        <f t="shared" si="39"/>
        <v>0</v>
      </c>
      <c r="CE18" s="32">
        <f t="shared" si="40"/>
        <v>0</v>
      </c>
      <c r="CF18" s="49">
        <f t="shared" si="41"/>
        <v>0</v>
      </c>
      <c r="CG18" s="49"/>
      <c r="CI18" s="49"/>
      <c r="CJ18" s="49">
        <f t="shared" si="42"/>
        <v>0</v>
      </c>
      <c r="CK18" s="32">
        <f t="shared" si="43"/>
        <v>0</v>
      </c>
      <c r="CL18" s="49">
        <f t="shared" si="44"/>
        <v>0</v>
      </c>
      <c r="CM18" s="49"/>
      <c r="CP18" s="32">
        <f t="shared" si="45"/>
        <v>0</v>
      </c>
      <c r="CQ18" s="49">
        <f t="shared" si="46"/>
        <v>0</v>
      </c>
      <c r="CR18" s="49">
        <f t="shared" si="47"/>
        <v>0</v>
      </c>
      <c r="CS18" s="49"/>
      <c r="CV18" s="32">
        <f t="shared" si="48"/>
        <v>0</v>
      </c>
      <c r="CW18" s="32">
        <f t="shared" si="49"/>
        <v>0</v>
      </c>
      <c r="CX18" s="49">
        <f t="shared" si="50"/>
        <v>0</v>
      </c>
      <c r="CY18" s="49"/>
      <c r="DB18" s="32">
        <f t="shared" si="51"/>
        <v>0</v>
      </c>
      <c r="DC18" s="49">
        <f t="shared" si="52"/>
        <v>0</v>
      </c>
      <c r="DD18" s="49">
        <f t="shared" si="53"/>
        <v>0</v>
      </c>
      <c r="DE18" s="49"/>
      <c r="DH18" s="32">
        <f t="shared" si="54"/>
        <v>0</v>
      </c>
      <c r="DI18" s="49">
        <f t="shared" si="55"/>
        <v>0</v>
      </c>
      <c r="DJ18" s="49">
        <f t="shared" si="56"/>
        <v>0</v>
      </c>
      <c r="DK18" s="49"/>
      <c r="DN18" s="32">
        <f t="shared" si="57"/>
        <v>0</v>
      </c>
      <c r="DO18" s="49">
        <f t="shared" si="58"/>
        <v>0</v>
      </c>
      <c r="DP18" s="49">
        <f t="shared" si="59"/>
        <v>0</v>
      </c>
      <c r="DQ18" s="49"/>
      <c r="DT18" s="49">
        <f t="shared" si="60"/>
        <v>0</v>
      </c>
      <c r="DU18" s="49">
        <f t="shared" si="61"/>
        <v>0</v>
      </c>
      <c r="DV18" s="49">
        <f t="shared" si="62"/>
        <v>0</v>
      </c>
      <c r="DW18" s="49"/>
      <c r="DZ18" s="32">
        <f t="shared" si="63"/>
        <v>0</v>
      </c>
      <c r="EA18" s="49">
        <f t="shared" si="64"/>
        <v>0</v>
      </c>
      <c r="EB18" s="49">
        <f t="shared" si="65"/>
        <v>0</v>
      </c>
      <c r="EC18" s="49"/>
      <c r="EF18" s="32">
        <f t="shared" si="66"/>
        <v>0</v>
      </c>
      <c r="EG18" s="32">
        <f t="shared" si="67"/>
        <v>0</v>
      </c>
      <c r="EH18" s="49">
        <f t="shared" si="68"/>
        <v>0</v>
      </c>
      <c r="EI18" s="49"/>
      <c r="EL18" s="32">
        <f t="shared" si="69"/>
        <v>0</v>
      </c>
      <c r="EM18" s="49">
        <f t="shared" si="70"/>
        <v>0</v>
      </c>
      <c r="EN18" s="49">
        <f t="shared" si="71"/>
        <v>0</v>
      </c>
      <c r="EO18" s="49"/>
      <c r="ER18" s="32">
        <f t="shared" si="72"/>
        <v>0</v>
      </c>
      <c r="ES18" s="49">
        <f t="shared" si="73"/>
        <v>0</v>
      </c>
      <c r="ET18" s="49">
        <f t="shared" si="74"/>
        <v>0</v>
      </c>
      <c r="EU18" s="49"/>
      <c r="EV18"/>
    </row>
    <row r="19" spans="1:152" ht="12.75">
      <c r="A19" s="76">
        <v>46113</v>
      </c>
      <c r="E19" s="34">
        <f t="shared" si="0"/>
        <v>0</v>
      </c>
      <c r="I19" s="69">
        <f t="shared" si="75"/>
        <v>0</v>
      </c>
      <c r="J19" s="69">
        <f t="shared" si="1"/>
        <v>0</v>
      </c>
      <c r="K19" s="69">
        <f t="shared" si="2"/>
        <v>0</v>
      </c>
      <c r="L19" s="69">
        <f t="shared" si="3"/>
        <v>0</v>
      </c>
      <c r="M19" s="69"/>
      <c r="O19" s="32">
        <f t="shared" si="76"/>
        <v>0</v>
      </c>
      <c r="P19" s="32">
        <f t="shared" si="4"/>
        <v>0</v>
      </c>
      <c r="Q19" s="32">
        <f t="shared" si="5"/>
        <v>0</v>
      </c>
      <c r="R19" s="49">
        <f t="shared" si="6"/>
        <v>0</v>
      </c>
      <c r="S19" s="49"/>
      <c r="U19" s="32">
        <f t="shared" si="77"/>
        <v>0</v>
      </c>
      <c r="V19" s="49">
        <f t="shared" si="7"/>
        <v>0</v>
      </c>
      <c r="W19" s="49">
        <f t="shared" si="8"/>
        <v>0</v>
      </c>
      <c r="X19" s="49">
        <f t="shared" si="9"/>
        <v>0</v>
      </c>
      <c r="Y19" s="49"/>
      <c r="AA19" s="32">
        <f t="shared" si="78"/>
        <v>0</v>
      </c>
      <c r="AB19" s="49">
        <f t="shared" si="10"/>
        <v>0</v>
      </c>
      <c r="AC19" s="49">
        <f t="shared" si="11"/>
        <v>0</v>
      </c>
      <c r="AD19" s="49">
        <f t="shared" si="12"/>
        <v>0</v>
      </c>
      <c r="AE19" s="49"/>
      <c r="AG19" s="32">
        <f t="shared" si="13"/>
        <v>0</v>
      </c>
      <c r="AH19" s="32">
        <f t="shared" si="14"/>
        <v>0</v>
      </c>
      <c r="AI19" s="32">
        <f t="shared" si="15"/>
        <v>0</v>
      </c>
      <c r="AJ19" s="49">
        <f t="shared" si="16"/>
        <v>0</v>
      </c>
      <c r="AK19" s="49"/>
      <c r="AM19" s="32">
        <f t="shared" si="79"/>
        <v>0</v>
      </c>
      <c r="AN19" s="32">
        <f t="shared" si="17"/>
        <v>0</v>
      </c>
      <c r="AO19" s="32">
        <f t="shared" si="18"/>
        <v>0</v>
      </c>
      <c r="AP19" s="49">
        <f t="shared" si="19"/>
        <v>0</v>
      </c>
      <c r="AQ19" s="49"/>
      <c r="AS19" s="49">
        <f t="shared" si="80"/>
        <v>0</v>
      </c>
      <c r="AT19" s="32">
        <f t="shared" si="20"/>
        <v>0</v>
      </c>
      <c r="AU19" s="49">
        <f t="shared" si="21"/>
        <v>0</v>
      </c>
      <c r="AV19" s="49">
        <f t="shared" si="22"/>
        <v>0</v>
      </c>
      <c r="AW19" s="49"/>
      <c r="AY19" s="49">
        <f t="shared" si="81"/>
        <v>0</v>
      </c>
      <c r="AZ19" s="32">
        <f t="shared" si="23"/>
        <v>0</v>
      </c>
      <c r="BA19" s="49">
        <f t="shared" si="24"/>
        <v>0</v>
      </c>
      <c r="BB19" s="49">
        <f t="shared" si="25"/>
        <v>0</v>
      </c>
      <c r="BC19" s="49"/>
      <c r="BE19" s="32">
        <f t="shared" si="82"/>
        <v>0</v>
      </c>
      <c r="BF19" s="32">
        <f t="shared" si="26"/>
        <v>0</v>
      </c>
      <c r="BG19" s="32">
        <f t="shared" si="27"/>
        <v>0</v>
      </c>
      <c r="BH19" s="49">
        <f t="shared" si="28"/>
        <v>0</v>
      </c>
      <c r="BI19" s="49"/>
      <c r="BK19" s="32">
        <f t="shared" si="83"/>
        <v>0</v>
      </c>
      <c r="BL19" s="32">
        <f t="shared" si="29"/>
        <v>0</v>
      </c>
      <c r="BM19" s="49">
        <f t="shared" si="30"/>
        <v>0</v>
      </c>
      <c r="BN19" s="49">
        <f t="shared" si="31"/>
        <v>0</v>
      </c>
      <c r="BO19" s="49"/>
      <c r="BQ19" s="32">
        <f t="shared" si="84"/>
        <v>0</v>
      </c>
      <c r="BR19" s="32">
        <f t="shared" si="32"/>
        <v>0</v>
      </c>
      <c r="BS19" s="49">
        <f t="shared" si="33"/>
        <v>0</v>
      </c>
      <c r="BT19" s="49">
        <f t="shared" si="34"/>
        <v>0</v>
      </c>
      <c r="BU19" s="49"/>
      <c r="BW19" s="32">
        <f t="shared" si="35"/>
        <v>0</v>
      </c>
      <c r="BX19" s="32">
        <f t="shared" si="36"/>
        <v>0</v>
      </c>
      <c r="BY19" s="49">
        <f t="shared" si="37"/>
        <v>0</v>
      </c>
      <c r="BZ19" s="32">
        <f t="shared" si="38"/>
        <v>0</v>
      </c>
      <c r="CA19" s="49"/>
      <c r="CC19" s="49">
        <f t="shared" si="85"/>
        <v>0</v>
      </c>
      <c r="CD19" s="49">
        <f t="shared" si="39"/>
        <v>0</v>
      </c>
      <c r="CE19" s="32">
        <f t="shared" si="40"/>
        <v>0</v>
      </c>
      <c r="CF19" s="49">
        <f t="shared" si="41"/>
        <v>0</v>
      </c>
      <c r="CG19" s="49"/>
      <c r="CI19" s="49">
        <f t="shared" si="86"/>
        <v>0</v>
      </c>
      <c r="CJ19" s="49">
        <f t="shared" si="42"/>
        <v>0</v>
      </c>
      <c r="CK19" s="32">
        <f t="shared" si="43"/>
        <v>0</v>
      </c>
      <c r="CL19" s="49">
        <f t="shared" si="44"/>
        <v>0</v>
      </c>
      <c r="CM19" s="49"/>
      <c r="CO19" s="32">
        <f t="shared" si="87"/>
        <v>0</v>
      </c>
      <c r="CP19" s="32">
        <f t="shared" si="45"/>
        <v>0</v>
      </c>
      <c r="CQ19" s="49">
        <f t="shared" si="46"/>
        <v>0</v>
      </c>
      <c r="CR19" s="49">
        <f t="shared" si="47"/>
        <v>0</v>
      </c>
      <c r="CS19" s="49"/>
      <c r="CU19" s="32">
        <f t="shared" si="88"/>
        <v>0</v>
      </c>
      <c r="CV19" s="32">
        <f t="shared" si="48"/>
        <v>0</v>
      </c>
      <c r="CW19" s="32">
        <f t="shared" si="49"/>
        <v>0</v>
      </c>
      <c r="CX19" s="49">
        <f t="shared" si="50"/>
        <v>0</v>
      </c>
      <c r="CY19" s="49"/>
      <c r="DA19" s="32">
        <f t="shared" si="89"/>
        <v>0</v>
      </c>
      <c r="DB19" s="32">
        <f t="shared" si="51"/>
        <v>0</v>
      </c>
      <c r="DC19" s="49">
        <f t="shared" si="52"/>
        <v>0</v>
      </c>
      <c r="DD19" s="49">
        <f t="shared" si="53"/>
        <v>0</v>
      </c>
      <c r="DE19" s="49"/>
      <c r="DG19" s="32">
        <f t="shared" si="90"/>
        <v>0</v>
      </c>
      <c r="DH19" s="32">
        <f t="shared" si="54"/>
        <v>0</v>
      </c>
      <c r="DI19" s="49">
        <f t="shared" si="55"/>
        <v>0</v>
      </c>
      <c r="DJ19" s="49">
        <f t="shared" si="56"/>
        <v>0</v>
      </c>
      <c r="DK19" s="49"/>
      <c r="DM19" s="32">
        <f t="shared" si="91"/>
        <v>0</v>
      </c>
      <c r="DN19" s="32">
        <f t="shared" si="57"/>
        <v>0</v>
      </c>
      <c r="DO19" s="49">
        <f t="shared" si="58"/>
        <v>0</v>
      </c>
      <c r="DP19" s="49">
        <f t="shared" si="59"/>
        <v>0</v>
      </c>
      <c r="DQ19" s="49"/>
      <c r="DS19" s="32">
        <f t="shared" si="92"/>
        <v>0</v>
      </c>
      <c r="DT19" s="49">
        <f t="shared" si="60"/>
        <v>0</v>
      </c>
      <c r="DU19" s="49">
        <f t="shared" si="61"/>
        <v>0</v>
      </c>
      <c r="DV19" s="49">
        <f t="shared" si="62"/>
        <v>0</v>
      </c>
      <c r="DW19" s="49"/>
      <c r="DY19" s="32">
        <f t="shared" si="93"/>
        <v>0</v>
      </c>
      <c r="DZ19" s="32">
        <f t="shared" si="63"/>
        <v>0</v>
      </c>
      <c r="EA19" s="49">
        <f t="shared" si="64"/>
        <v>0</v>
      </c>
      <c r="EB19" s="49">
        <f t="shared" si="65"/>
        <v>0</v>
      </c>
      <c r="EC19" s="49"/>
      <c r="EE19" s="32">
        <f t="shared" si="94"/>
        <v>0</v>
      </c>
      <c r="EF19" s="32">
        <f t="shared" si="66"/>
        <v>0</v>
      </c>
      <c r="EG19" s="32">
        <f t="shared" si="67"/>
        <v>0</v>
      </c>
      <c r="EH19" s="49">
        <f t="shared" si="68"/>
        <v>0</v>
      </c>
      <c r="EI19" s="49"/>
      <c r="EK19" s="32">
        <f t="shared" si="95"/>
        <v>0</v>
      </c>
      <c r="EL19" s="32">
        <f t="shared" si="69"/>
        <v>0</v>
      </c>
      <c r="EM19" s="49">
        <f t="shared" si="70"/>
        <v>0</v>
      </c>
      <c r="EN19" s="49">
        <f t="shared" si="71"/>
        <v>0</v>
      </c>
      <c r="EO19" s="49"/>
      <c r="EQ19" s="32">
        <f t="shared" si="96"/>
        <v>0</v>
      </c>
      <c r="ER19" s="32">
        <f t="shared" si="72"/>
        <v>0</v>
      </c>
      <c r="ES19" s="49">
        <f t="shared" si="73"/>
        <v>0</v>
      </c>
      <c r="ET19" s="49">
        <f t="shared" si="74"/>
        <v>0</v>
      </c>
      <c r="EU19" s="49"/>
      <c r="EV19"/>
    </row>
    <row r="20" spans="1:152" ht="12.75">
      <c r="A20" s="76">
        <v>46296</v>
      </c>
      <c r="E20" s="34">
        <f t="shared" si="0"/>
        <v>0</v>
      </c>
      <c r="I20" s="69"/>
      <c r="J20" s="69">
        <f t="shared" si="1"/>
        <v>0</v>
      </c>
      <c r="K20" s="69">
        <f t="shared" si="2"/>
        <v>0</v>
      </c>
      <c r="L20" s="69">
        <f t="shared" si="3"/>
        <v>0</v>
      </c>
      <c r="M20" s="69"/>
      <c r="P20" s="32">
        <f t="shared" si="4"/>
        <v>0</v>
      </c>
      <c r="Q20" s="32">
        <f t="shared" si="5"/>
        <v>0</v>
      </c>
      <c r="R20" s="49">
        <f t="shared" si="6"/>
        <v>0</v>
      </c>
      <c r="S20" s="49"/>
      <c r="V20" s="49">
        <f t="shared" si="7"/>
        <v>0</v>
      </c>
      <c r="W20" s="49">
        <f t="shared" si="8"/>
        <v>0</v>
      </c>
      <c r="X20" s="49">
        <f t="shared" si="9"/>
        <v>0</v>
      </c>
      <c r="Y20" s="49"/>
      <c r="AB20" s="49">
        <f t="shared" si="10"/>
        <v>0</v>
      </c>
      <c r="AC20" s="49">
        <f t="shared" si="11"/>
        <v>0</v>
      </c>
      <c r="AD20" s="49">
        <f t="shared" si="12"/>
        <v>0</v>
      </c>
      <c r="AE20" s="49"/>
      <c r="AG20" s="32">
        <f t="shared" si="13"/>
        <v>0</v>
      </c>
      <c r="AH20" s="32">
        <f t="shared" si="14"/>
        <v>0</v>
      </c>
      <c r="AI20" s="32">
        <f t="shared" si="15"/>
        <v>0</v>
      </c>
      <c r="AJ20" s="49">
        <f t="shared" si="16"/>
        <v>0</v>
      </c>
      <c r="AK20" s="49"/>
      <c r="AN20" s="32">
        <f t="shared" si="17"/>
        <v>0</v>
      </c>
      <c r="AO20" s="32">
        <f t="shared" si="18"/>
        <v>0</v>
      </c>
      <c r="AP20" s="49">
        <f t="shared" si="19"/>
        <v>0</v>
      </c>
      <c r="AQ20" s="49"/>
      <c r="AS20" s="49"/>
      <c r="AT20" s="32">
        <f t="shared" si="20"/>
        <v>0</v>
      </c>
      <c r="AU20" s="49">
        <f t="shared" si="21"/>
        <v>0</v>
      </c>
      <c r="AV20" s="49">
        <f t="shared" si="22"/>
        <v>0</v>
      </c>
      <c r="AW20" s="49"/>
      <c r="AY20" s="49"/>
      <c r="AZ20" s="32">
        <f t="shared" si="23"/>
        <v>0</v>
      </c>
      <c r="BA20" s="49">
        <f t="shared" si="24"/>
        <v>0</v>
      </c>
      <c r="BB20" s="49">
        <f t="shared" si="25"/>
        <v>0</v>
      </c>
      <c r="BC20" s="49"/>
      <c r="BF20" s="32">
        <f t="shared" si="26"/>
        <v>0</v>
      </c>
      <c r="BG20" s="32">
        <f t="shared" si="27"/>
        <v>0</v>
      </c>
      <c r="BH20" s="49">
        <f t="shared" si="28"/>
        <v>0</v>
      </c>
      <c r="BI20" s="49"/>
      <c r="BL20" s="32">
        <f t="shared" si="29"/>
        <v>0</v>
      </c>
      <c r="BM20" s="49">
        <f t="shared" si="30"/>
        <v>0</v>
      </c>
      <c r="BN20" s="49">
        <f t="shared" si="31"/>
        <v>0</v>
      </c>
      <c r="BO20" s="49"/>
      <c r="BR20" s="32">
        <f t="shared" si="32"/>
        <v>0</v>
      </c>
      <c r="BS20" s="49">
        <f t="shared" si="33"/>
        <v>0</v>
      </c>
      <c r="BT20" s="49">
        <f t="shared" si="34"/>
        <v>0</v>
      </c>
      <c r="BU20" s="49"/>
      <c r="BW20" s="32">
        <f t="shared" si="35"/>
        <v>0</v>
      </c>
      <c r="BX20" s="32">
        <f t="shared" si="36"/>
        <v>0</v>
      </c>
      <c r="BY20" s="49">
        <f t="shared" si="37"/>
        <v>0</v>
      </c>
      <c r="BZ20" s="32">
        <f t="shared" si="38"/>
        <v>0</v>
      </c>
      <c r="CA20" s="49"/>
      <c r="CC20" s="49"/>
      <c r="CD20" s="49">
        <f t="shared" si="39"/>
        <v>0</v>
      </c>
      <c r="CE20" s="32">
        <f t="shared" si="40"/>
        <v>0</v>
      </c>
      <c r="CF20" s="49">
        <f t="shared" si="41"/>
        <v>0</v>
      </c>
      <c r="CG20" s="49"/>
      <c r="CI20" s="49"/>
      <c r="CJ20" s="49">
        <f t="shared" si="42"/>
        <v>0</v>
      </c>
      <c r="CK20" s="32">
        <f t="shared" si="43"/>
        <v>0</v>
      </c>
      <c r="CL20" s="49">
        <f t="shared" si="44"/>
        <v>0</v>
      </c>
      <c r="CM20" s="49"/>
      <c r="CP20" s="32">
        <f t="shared" si="45"/>
        <v>0</v>
      </c>
      <c r="CQ20" s="49">
        <f t="shared" si="46"/>
        <v>0</v>
      </c>
      <c r="CR20" s="49">
        <f t="shared" si="47"/>
        <v>0</v>
      </c>
      <c r="CS20" s="49"/>
      <c r="CV20" s="32">
        <f t="shared" si="48"/>
        <v>0</v>
      </c>
      <c r="CW20" s="32">
        <f t="shared" si="49"/>
        <v>0</v>
      </c>
      <c r="CX20" s="49">
        <f t="shared" si="50"/>
        <v>0</v>
      </c>
      <c r="CY20" s="49"/>
      <c r="DB20" s="32">
        <f t="shared" si="51"/>
        <v>0</v>
      </c>
      <c r="DC20" s="49">
        <f t="shared" si="52"/>
        <v>0</v>
      </c>
      <c r="DD20" s="49">
        <f t="shared" si="53"/>
        <v>0</v>
      </c>
      <c r="DE20" s="49"/>
      <c r="DH20" s="32">
        <f t="shared" si="54"/>
        <v>0</v>
      </c>
      <c r="DI20" s="49">
        <f t="shared" si="55"/>
        <v>0</v>
      </c>
      <c r="DJ20" s="49">
        <f t="shared" si="56"/>
        <v>0</v>
      </c>
      <c r="DK20" s="49"/>
      <c r="DN20" s="32">
        <f t="shared" si="57"/>
        <v>0</v>
      </c>
      <c r="DO20" s="49">
        <f t="shared" si="58"/>
        <v>0</v>
      </c>
      <c r="DP20" s="49">
        <f t="shared" si="59"/>
        <v>0</v>
      </c>
      <c r="DQ20" s="49"/>
      <c r="DT20" s="49">
        <f t="shared" si="60"/>
        <v>0</v>
      </c>
      <c r="DU20" s="49">
        <f t="shared" si="61"/>
        <v>0</v>
      </c>
      <c r="DV20" s="49">
        <f t="shared" si="62"/>
        <v>0</v>
      </c>
      <c r="DW20" s="49"/>
      <c r="DZ20" s="32">
        <f t="shared" si="63"/>
        <v>0</v>
      </c>
      <c r="EA20" s="49">
        <f t="shared" si="64"/>
        <v>0</v>
      </c>
      <c r="EB20" s="49">
        <f t="shared" si="65"/>
        <v>0</v>
      </c>
      <c r="EC20" s="49"/>
      <c r="EF20" s="32">
        <f t="shared" si="66"/>
        <v>0</v>
      </c>
      <c r="EG20" s="32">
        <f t="shared" si="67"/>
        <v>0</v>
      </c>
      <c r="EH20" s="49">
        <f t="shared" si="68"/>
        <v>0</v>
      </c>
      <c r="EI20" s="49"/>
      <c r="EL20" s="32">
        <f t="shared" si="69"/>
        <v>0</v>
      </c>
      <c r="EM20" s="49">
        <f t="shared" si="70"/>
        <v>0</v>
      </c>
      <c r="EN20" s="49">
        <f t="shared" si="71"/>
        <v>0</v>
      </c>
      <c r="EO20" s="49"/>
      <c r="ER20" s="32">
        <f t="shared" si="72"/>
        <v>0</v>
      </c>
      <c r="ES20" s="49">
        <f t="shared" si="73"/>
        <v>0</v>
      </c>
      <c r="ET20" s="49">
        <f t="shared" si="74"/>
        <v>0</v>
      </c>
      <c r="EU20" s="49"/>
      <c r="EV20"/>
    </row>
    <row r="21" spans="1:152" ht="12.75">
      <c r="A21" s="76">
        <v>46478</v>
      </c>
      <c r="E21" s="34">
        <f t="shared" si="0"/>
        <v>0</v>
      </c>
      <c r="I21" s="69">
        <f t="shared" si="75"/>
        <v>0</v>
      </c>
      <c r="J21" s="69">
        <f t="shared" si="1"/>
        <v>0</v>
      </c>
      <c r="K21" s="69">
        <f t="shared" si="2"/>
        <v>0</v>
      </c>
      <c r="L21" s="69">
        <f t="shared" si="3"/>
        <v>0</v>
      </c>
      <c r="M21" s="69"/>
      <c r="O21" s="32">
        <f t="shared" si="76"/>
        <v>0</v>
      </c>
      <c r="P21" s="32">
        <f t="shared" si="4"/>
        <v>0</v>
      </c>
      <c r="Q21" s="32">
        <f t="shared" si="5"/>
        <v>0</v>
      </c>
      <c r="R21" s="49">
        <f t="shared" si="6"/>
        <v>0</v>
      </c>
      <c r="S21" s="49"/>
      <c r="U21" s="32">
        <f t="shared" si="77"/>
        <v>0</v>
      </c>
      <c r="V21" s="49">
        <f t="shared" si="7"/>
        <v>0</v>
      </c>
      <c r="W21" s="49">
        <f t="shared" si="8"/>
        <v>0</v>
      </c>
      <c r="X21" s="49">
        <f t="shared" si="9"/>
        <v>0</v>
      </c>
      <c r="Y21" s="49"/>
      <c r="AA21" s="32">
        <f t="shared" si="78"/>
        <v>0</v>
      </c>
      <c r="AB21" s="49">
        <f t="shared" si="10"/>
        <v>0</v>
      </c>
      <c r="AC21" s="49">
        <f t="shared" si="11"/>
        <v>0</v>
      </c>
      <c r="AD21" s="49">
        <f t="shared" si="12"/>
        <v>0</v>
      </c>
      <c r="AE21" s="49"/>
      <c r="AG21" s="32">
        <f t="shared" si="13"/>
        <v>0</v>
      </c>
      <c r="AH21" s="32">
        <f t="shared" si="14"/>
        <v>0</v>
      </c>
      <c r="AI21" s="32">
        <f t="shared" si="15"/>
        <v>0</v>
      </c>
      <c r="AJ21" s="49">
        <f t="shared" si="16"/>
        <v>0</v>
      </c>
      <c r="AK21" s="49"/>
      <c r="AM21" s="32">
        <f t="shared" si="79"/>
        <v>0</v>
      </c>
      <c r="AN21" s="32">
        <f t="shared" si="17"/>
        <v>0</v>
      </c>
      <c r="AO21" s="32">
        <f t="shared" si="18"/>
        <v>0</v>
      </c>
      <c r="AP21" s="49">
        <f t="shared" si="19"/>
        <v>0</v>
      </c>
      <c r="AQ21" s="49"/>
      <c r="AS21" s="49">
        <f t="shared" si="80"/>
        <v>0</v>
      </c>
      <c r="AT21" s="32">
        <f t="shared" si="20"/>
        <v>0</v>
      </c>
      <c r="AU21" s="49">
        <f t="shared" si="21"/>
        <v>0</v>
      </c>
      <c r="AV21" s="49">
        <f t="shared" si="22"/>
        <v>0</v>
      </c>
      <c r="AW21" s="49"/>
      <c r="AY21" s="49">
        <f t="shared" si="81"/>
        <v>0</v>
      </c>
      <c r="AZ21" s="32">
        <f t="shared" si="23"/>
        <v>0</v>
      </c>
      <c r="BA21" s="49">
        <f t="shared" si="24"/>
        <v>0</v>
      </c>
      <c r="BB21" s="49">
        <f t="shared" si="25"/>
        <v>0</v>
      </c>
      <c r="BC21" s="49"/>
      <c r="BE21" s="32">
        <f t="shared" si="82"/>
        <v>0</v>
      </c>
      <c r="BF21" s="32">
        <f t="shared" si="26"/>
        <v>0</v>
      </c>
      <c r="BG21" s="32">
        <f t="shared" si="27"/>
        <v>0</v>
      </c>
      <c r="BH21" s="49">
        <f t="shared" si="28"/>
        <v>0</v>
      </c>
      <c r="BI21" s="49"/>
      <c r="BK21" s="32">
        <f t="shared" si="83"/>
        <v>0</v>
      </c>
      <c r="BL21" s="32">
        <f t="shared" si="29"/>
        <v>0</v>
      </c>
      <c r="BM21" s="49">
        <f t="shared" si="30"/>
        <v>0</v>
      </c>
      <c r="BN21" s="49">
        <f t="shared" si="31"/>
        <v>0</v>
      </c>
      <c r="BO21" s="49"/>
      <c r="BQ21" s="32">
        <f t="shared" si="84"/>
        <v>0</v>
      </c>
      <c r="BR21" s="32">
        <f t="shared" si="32"/>
        <v>0</v>
      </c>
      <c r="BS21" s="49">
        <f t="shared" si="33"/>
        <v>0</v>
      </c>
      <c r="BT21" s="49">
        <f t="shared" si="34"/>
        <v>0</v>
      </c>
      <c r="BU21" s="49"/>
      <c r="BW21" s="32">
        <f t="shared" si="35"/>
        <v>0</v>
      </c>
      <c r="BX21" s="32">
        <f t="shared" si="36"/>
        <v>0</v>
      </c>
      <c r="BY21" s="49">
        <f t="shared" si="37"/>
        <v>0</v>
      </c>
      <c r="BZ21" s="32">
        <f t="shared" si="38"/>
        <v>0</v>
      </c>
      <c r="CA21" s="49"/>
      <c r="CC21" s="49">
        <f t="shared" si="85"/>
        <v>0</v>
      </c>
      <c r="CD21" s="49">
        <f t="shared" si="39"/>
        <v>0</v>
      </c>
      <c r="CE21" s="32">
        <f t="shared" si="40"/>
        <v>0</v>
      </c>
      <c r="CF21" s="49">
        <f t="shared" si="41"/>
        <v>0</v>
      </c>
      <c r="CG21" s="49"/>
      <c r="CI21" s="49">
        <f t="shared" si="86"/>
        <v>0</v>
      </c>
      <c r="CJ21" s="49">
        <f t="shared" si="42"/>
        <v>0</v>
      </c>
      <c r="CK21" s="32">
        <f t="shared" si="43"/>
        <v>0</v>
      </c>
      <c r="CL21" s="49">
        <f t="shared" si="44"/>
        <v>0</v>
      </c>
      <c r="CM21" s="49"/>
      <c r="CO21" s="32">
        <f t="shared" si="87"/>
        <v>0</v>
      </c>
      <c r="CP21" s="32">
        <f t="shared" si="45"/>
        <v>0</v>
      </c>
      <c r="CQ21" s="49">
        <f t="shared" si="46"/>
        <v>0</v>
      </c>
      <c r="CR21" s="49">
        <f t="shared" si="47"/>
        <v>0</v>
      </c>
      <c r="CS21" s="49"/>
      <c r="CU21" s="32">
        <f t="shared" si="88"/>
        <v>0</v>
      </c>
      <c r="CV21" s="32">
        <f t="shared" si="48"/>
        <v>0</v>
      </c>
      <c r="CW21" s="32">
        <f t="shared" si="49"/>
        <v>0</v>
      </c>
      <c r="CX21" s="49">
        <f t="shared" si="50"/>
        <v>0</v>
      </c>
      <c r="CY21" s="49"/>
      <c r="DA21" s="32">
        <f t="shared" si="89"/>
        <v>0</v>
      </c>
      <c r="DB21" s="32">
        <f t="shared" si="51"/>
        <v>0</v>
      </c>
      <c r="DC21" s="49">
        <f t="shared" si="52"/>
        <v>0</v>
      </c>
      <c r="DD21" s="49">
        <f t="shared" si="53"/>
        <v>0</v>
      </c>
      <c r="DE21" s="49"/>
      <c r="DG21" s="32">
        <f t="shared" si="90"/>
        <v>0</v>
      </c>
      <c r="DH21" s="32">
        <f t="shared" si="54"/>
        <v>0</v>
      </c>
      <c r="DI21" s="49">
        <f t="shared" si="55"/>
        <v>0</v>
      </c>
      <c r="DJ21" s="49">
        <f t="shared" si="56"/>
        <v>0</v>
      </c>
      <c r="DK21" s="49"/>
      <c r="DM21" s="32">
        <f t="shared" si="91"/>
        <v>0</v>
      </c>
      <c r="DN21" s="32">
        <f t="shared" si="57"/>
        <v>0</v>
      </c>
      <c r="DO21" s="49">
        <f t="shared" si="58"/>
        <v>0</v>
      </c>
      <c r="DP21" s="49">
        <f t="shared" si="59"/>
        <v>0</v>
      </c>
      <c r="DQ21" s="49"/>
      <c r="DS21" s="32">
        <f t="shared" si="92"/>
        <v>0</v>
      </c>
      <c r="DT21" s="49">
        <f t="shared" si="60"/>
        <v>0</v>
      </c>
      <c r="DU21" s="49">
        <f t="shared" si="61"/>
        <v>0</v>
      </c>
      <c r="DV21" s="49">
        <f t="shared" si="62"/>
        <v>0</v>
      </c>
      <c r="DW21" s="49"/>
      <c r="DY21" s="32">
        <f t="shared" si="93"/>
        <v>0</v>
      </c>
      <c r="DZ21" s="32">
        <f t="shared" si="63"/>
        <v>0</v>
      </c>
      <c r="EA21" s="49">
        <f t="shared" si="64"/>
        <v>0</v>
      </c>
      <c r="EB21" s="49">
        <f t="shared" si="65"/>
        <v>0</v>
      </c>
      <c r="EC21" s="49"/>
      <c r="EE21" s="32">
        <f t="shared" si="94"/>
        <v>0</v>
      </c>
      <c r="EF21" s="32">
        <f t="shared" si="66"/>
        <v>0</v>
      </c>
      <c r="EG21" s="32">
        <f t="shared" si="67"/>
        <v>0</v>
      </c>
      <c r="EH21" s="49">
        <f t="shared" si="68"/>
        <v>0</v>
      </c>
      <c r="EI21" s="49"/>
      <c r="EK21" s="32">
        <f t="shared" si="95"/>
        <v>0</v>
      </c>
      <c r="EL21" s="32">
        <f t="shared" si="69"/>
        <v>0</v>
      </c>
      <c r="EM21" s="49">
        <f t="shared" si="70"/>
        <v>0</v>
      </c>
      <c r="EN21" s="49">
        <f t="shared" si="71"/>
        <v>0</v>
      </c>
      <c r="EO21" s="49"/>
      <c r="EQ21" s="32">
        <f t="shared" si="96"/>
        <v>0</v>
      </c>
      <c r="ER21" s="32">
        <f t="shared" si="72"/>
        <v>0</v>
      </c>
      <c r="ES21" s="49">
        <f t="shared" si="73"/>
        <v>0</v>
      </c>
      <c r="ET21" s="49">
        <f t="shared" si="74"/>
        <v>0</v>
      </c>
      <c r="EU21" s="49"/>
      <c r="EV21"/>
    </row>
    <row r="22" spans="1:152" ht="12.75">
      <c r="A22" s="76">
        <v>46661</v>
      </c>
      <c r="E22" s="34">
        <f t="shared" si="0"/>
        <v>0</v>
      </c>
      <c r="H22"/>
      <c r="I22" s="69"/>
      <c r="J22" s="69">
        <f t="shared" si="1"/>
        <v>0</v>
      </c>
      <c r="K22" s="69">
        <f t="shared" si="2"/>
        <v>0</v>
      </c>
      <c r="L22" s="69">
        <f t="shared" si="3"/>
        <v>0</v>
      </c>
      <c r="M22" s="69"/>
      <c r="P22" s="32">
        <f t="shared" si="4"/>
        <v>0</v>
      </c>
      <c r="Q22" s="32">
        <f t="shared" si="5"/>
        <v>0</v>
      </c>
      <c r="R22" s="49">
        <f t="shared" si="6"/>
        <v>0</v>
      </c>
      <c r="S22" s="49"/>
      <c r="V22" s="49">
        <f t="shared" si="7"/>
        <v>0</v>
      </c>
      <c r="W22" s="49">
        <f t="shared" si="8"/>
        <v>0</v>
      </c>
      <c r="X22" s="49">
        <f t="shared" si="9"/>
        <v>0</v>
      </c>
      <c r="Y22" s="49"/>
      <c r="AB22" s="49">
        <f t="shared" si="10"/>
        <v>0</v>
      </c>
      <c r="AC22" s="49">
        <f t="shared" si="11"/>
        <v>0</v>
      </c>
      <c r="AD22" s="49">
        <f t="shared" si="12"/>
        <v>0</v>
      </c>
      <c r="AE22" s="49"/>
      <c r="AG22" s="32">
        <f t="shared" si="13"/>
        <v>0</v>
      </c>
      <c r="AH22" s="32">
        <f t="shared" si="14"/>
        <v>0</v>
      </c>
      <c r="AI22" s="32">
        <f t="shared" si="15"/>
        <v>0</v>
      </c>
      <c r="AJ22" s="49">
        <f t="shared" si="16"/>
        <v>0</v>
      </c>
      <c r="AK22" s="49"/>
      <c r="AN22" s="32">
        <f t="shared" si="17"/>
        <v>0</v>
      </c>
      <c r="AO22" s="32">
        <f t="shared" si="18"/>
        <v>0</v>
      </c>
      <c r="AP22" s="49">
        <f t="shared" si="19"/>
        <v>0</v>
      </c>
      <c r="AQ22" s="49"/>
      <c r="AS22" s="49"/>
      <c r="AT22" s="32">
        <f t="shared" si="20"/>
        <v>0</v>
      </c>
      <c r="AU22" s="49">
        <f t="shared" si="21"/>
        <v>0</v>
      </c>
      <c r="AV22" s="49">
        <f t="shared" si="22"/>
        <v>0</v>
      </c>
      <c r="AW22" s="49"/>
      <c r="AY22" s="49"/>
      <c r="AZ22" s="32">
        <f t="shared" si="23"/>
        <v>0</v>
      </c>
      <c r="BA22" s="49">
        <f t="shared" si="24"/>
        <v>0</v>
      </c>
      <c r="BB22" s="49">
        <f t="shared" si="25"/>
        <v>0</v>
      </c>
      <c r="BC22" s="49"/>
      <c r="BF22" s="32">
        <f t="shared" si="26"/>
        <v>0</v>
      </c>
      <c r="BG22" s="32">
        <f t="shared" si="27"/>
        <v>0</v>
      </c>
      <c r="BH22" s="49">
        <f t="shared" si="28"/>
        <v>0</v>
      </c>
      <c r="BI22" s="49"/>
      <c r="BL22" s="32">
        <f t="shared" si="29"/>
        <v>0</v>
      </c>
      <c r="BM22" s="49">
        <f t="shared" si="30"/>
        <v>0</v>
      </c>
      <c r="BN22" s="49">
        <f t="shared" si="31"/>
        <v>0</v>
      </c>
      <c r="BO22" s="49"/>
      <c r="BR22" s="32">
        <f t="shared" si="32"/>
        <v>0</v>
      </c>
      <c r="BS22" s="49">
        <f t="shared" si="33"/>
        <v>0</v>
      </c>
      <c r="BT22" s="49">
        <f t="shared" si="34"/>
        <v>0</v>
      </c>
      <c r="BU22" s="49"/>
      <c r="BW22" s="32">
        <f t="shared" si="35"/>
        <v>0</v>
      </c>
      <c r="BX22" s="32">
        <f t="shared" si="36"/>
        <v>0</v>
      </c>
      <c r="BY22" s="49">
        <f t="shared" si="37"/>
        <v>0</v>
      </c>
      <c r="BZ22" s="32">
        <f t="shared" si="38"/>
        <v>0</v>
      </c>
      <c r="CA22" s="49"/>
      <c r="CC22" s="49"/>
      <c r="CD22" s="49">
        <f t="shared" si="39"/>
        <v>0</v>
      </c>
      <c r="CE22" s="32">
        <f t="shared" si="40"/>
        <v>0</v>
      </c>
      <c r="CF22" s="49">
        <f t="shared" si="41"/>
        <v>0</v>
      </c>
      <c r="CG22" s="49"/>
      <c r="CI22" s="49"/>
      <c r="CJ22" s="49">
        <f t="shared" si="42"/>
        <v>0</v>
      </c>
      <c r="CK22" s="32">
        <f t="shared" si="43"/>
        <v>0</v>
      </c>
      <c r="CL22" s="49">
        <f t="shared" si="44"/>
        <v>0</v>
      </c>
      <c r="CM22" s="49"/>
      <c r="CP22" s="32">
        <f t="shared" si="45"/>
        <v>0</v>
      </c>
      <c r="CQ22" s="49">
        <f t="shared" si="46"/>
        <v>0</v>
      </c>
      <c r="CR22" s="49">
        <f t="shared" si="47"/>
        <v>0</v>
      </c>
      <c r="CS22" s="49"/>
      <c r="CV22" s="32">
        <f t="shared" si="48"/>
        <v>0</v>
      </c>
      <c r="CW22" s="32">
        <f t="shared" si="49"/>
        <v>0</v>
      </c>
      <c r="CX22" s="49">
        <f t="shared" si="50"/>
        <v>0</v>
      </c>
      <c r="CY22" s="49"/>
      <c r="DB22" s="32">
        <f t="shared" si="51"/>
        <v>0</v>
      </c>
      <c r="DC22" s="49">
        <f t="shared" si="52"/>
        <v>0</v>
      </c>
      <c r="DD22" s="49">
        <f t="shared" si="53"/>
        <v>0</v>
      </c>
      <c r="DE22" s="49"/>
      <c r="DH22" s="32">
        <f t="shared" si="54"/>
        <v>0</v>
      </c>
      <c r="DI22" s="49">
        <f t="shared" si="55"/>
        <v>0</v>
      </c>
      <c r="DJ22" s="49">
        <f t="shared" si="56"/>
        <v>0</v>
      </c>
      <c r="DK22" s="49"/>
      <c r="DN22" s="32">
        <f t="shared" si="57"/>
        <v>0</v>
      </c>
      <c r="DO22" s="49">
        <f t="shared" si="58"/>
        <v>0</v>
      </c>
      <c r="DP22" s="49">
        <f t="shared" si="59"/>
        <v>0</v>
      </c>
      <c r="DQ22" s="49"/>
      <c r="DT22" s="49">
        <f t="shared" si="60"/>
        <v>0</v>
      </c>
      <c r="DU22" s="49">
        <f t="shared" si="61"/>
        <v>0</v>
      </c>
      <c r="DV22" s="49">
        <f t="shared" si="62"/>
        <v>0</v>
      </c>
      <c r="DW22" s="49"/>
      <c r="DZ22" s="32">
        <f t="shared" si="63"/>
        <v>0</v>
      </c>
      <c r="EA22" s="49">
        <f t="shared" si="64"/>
        <v>0</v>
      </c>
      <c r="EB22" s="49">
        <f t="shared" si="65"/>
        <v>0</v>
      </c>
      <c r="EC22" s="49"/>
      <c r="EF22" s="32">
        <f t="shared" si="66"/>
        <v>0</v>
      </c>
      <c r="EG22" s="32">
        <f t="shared" si="67"/>
        <v>0</v>
      </c>
      <c r="EH22" s="49">
        <f t="shared" si="68"/>
        <v>0</v>
      </c>
      <c r="EI22" s="49"/>
      <c r="EL22" s="32">
        <f t="shared" si="69"/>
        <v>0</v>
      </c>
      <c r="EM22" s="49">
        <f t="shared" si="70"/>
        <v>0</v>
      </c>
      <c r="EN22" s="49">
        <f t="shared" si="71"/>
        <v>0</v>
      </c>
      <c r="EO22" s="49"/>
      <c r="ER22" s="32">
        <f t="shared" si="72"/>
        <v>0</v>
      </c>
      <c r="ES22" s="49">
        <f t="shared" si="73"/>
        <v>0</v>
      </c>
      <c r="ET22" s="49">
        <f t="shared" si="74"/>
        <v>0</v>
      </c>
      <c r="EU22" s="49"/>
      <c r="EV22"/>
    </row>
    <row r="23" spans="1:152" ht="12.75">
      <c r="A23" s="76">
        <v>46844</v>
      </c>
      <c r="E23" s="34">
        <f t="shared" si="0"/>
        <v>0</v>
      </c>
      <c r="H23"/>
      <c r="I23" s="69">
        <f t="shared" si="75"/>
        <v>0</v>
      </c>
      <c r="J23" s="69">
        <f t="shared" si="1"/>
        <v>0</v>
      </c>
      <c r="K23" s="69">
        <f t="shared" si="2"/>
        <v>0</v>
      </c>
      <c r="L23" s="69">
        <f t="shared" si="3"/>
        <v>0</v>
      </c>
      <c r="M23" s="69"/>
      <c r="O23" s="32">
        <f t="shared" si="76"/>
        <v>0</v>
      </c>
      <c r="P23" s="32">
        <f t="shared" si="4"/>
        <v>0</v>
      </c>
      <c r="Q23" s="32">
        <f t="shared" si="5"/>
        <v>0</v>
      </c>
      <c r="R23" s="49">
        <f t="shared" si="6"/>
        <v>0</v>
      </c>
      <c r="S23" s="49"/>
      <c r="U23" s="32">
        <f t="shared" si="77"/>
        <v>0</v>
      </c>
      <c r="V23" s="49">
        <f t="shared" si="7"/>
        <v>0</v>
      </c>
      <c r="W23" s="49">
        <f t="shared" si="8"/>
        <v>0</v>
      </c>
      <c r="X23" s="49">
        <f t="shared" si="9"/>
        <v>0</v>
      </c>
      <c r="Y23" s="49"/>
      <c r="AA23" s="32">
        <f t="shared" si="78"/>
        <v>0</v>
      </c>
      <c r="AB23" s="49">
        <f t="shared" si="10"/>
        <v>0</v>
      </c>
      <c r="AC23" s="49">
        <f t="shared" si="11"/>
        <v>0</v>
      </c>
      <c r="AD23" s="49">
        <f t="shared" si="12"/>
        <v>0</v>
      </c>
      <c r="AE23" s="49"/>
      <c r="AG23" s="32">
        <f t="shared" si="13"/>
        <v>0</v>
      </c>
      <c r="AH23" s="32">
        <f t="shared" si="14"/>
        <v>0</v>
      </c>
      <c r="AI23" s="32">
        <f t="shared" si="15"/>
        <v>0</v>
      </c>
      <c r="AJ23" s="49">
        <f t="shared" si="16"/>
        <v>0</v>
      </c>
      <c r="AK23" s="49"/>
      <c r="AM23" s="32">
        <f t="shared" si="79"/>
        <v>0</v>
      </c>
      <c r="AN23" s="32">
        <f t="shared" si="17"/>
        <v>0</v>
      </c>
      <c r="AO23" s="32">
        <f t="shared" si="18"/>
        <v>0</v>
      </c>
      <c r="AP23" s="49">
        <f t="shared" si="19"/>
        <v>0</v>
      </c>
      <c r="AQ23" s="49"/>
      <c r="AS23" s="49">
        <f t="shared" si="80"/>
        <v>0</v>
      </c>
      <c r="AT23" s="32">
        <f t="shared" si="20"/>
        <v>0</v>
      </c>
      <c r="AU23" s="49">
        <f t="shared" si="21"/>
        <v>0</v>
      </c>
      <c r="AV23" s="49">
        <f t="shared" si="22"/>
        <v>0</v>
      </c>
      <c r="AW23" s="49"/>
      <c r="AY23" s="49">
        <f t="shared" si="81"/>
        <v>0</v>
      </c>
      <c r="AZ23" s="32">
        <f t="shared" si="23"/>
        <v>0</v>
      </c>
      <c r="BA23" s="49">
        <f t="shared" si="24"/>
        <v>0</v>
      </c>
      <c r="BB23" s="49">
        <f t="shared" si="25"/>
        <v>0</v>
      </c>
      <c r="BC23" s="49"/>
      <c r="BE23" s="32">
        <f t="shared" si="82"/>
        <v>0</v>
      </c>
      <c r="BF23" s="32">
        <f t="shared" si="26"/>
        <v>0</v>
      </c>
      <c r="BG23" s="32">
        <f t="shared" si="27"/>
        <v>0</v>
      </c>
      <c r="BH23" s="49">
        <f t="shared" si="28"/>
        <v>0</v>
      </c>
      <c r="BI23" s="49"/>
      <c r="BK23" s="32">
        <f t="shared" si="83"/>
        <v>0</v>
      </c>
      <c r="BL23" s="32">
        <f t="shared" si="29"/>
        <v>0</v>
      </c>
      <c r="BM23" s="49">
        <f t="shared" si="30"/>
        <v>0</v>
      </c>
      <c r="BN23" s="49">
        <f t="shared" si="31"/>
        <v>0</v>
      </c>
      <c r="BO23" s="49"/>
      <c r="BQ23" s="32">
        <f t="shared" si="84"/>
        <v>0</v>
      </c>
      <c r="BR23" s="32">
        <f t="shared" si="32"/>
        <v>0</v>
      </c>
      <c r="BS23" s="49">
        <f t="shared" si="33"/>
        <v>0</v>
      </c>
      <c r="BT23" s="49">
        <f t="shared" si="34"/>
        <v>0</v>
      </c>
      <c r="BU23" s="49"/>
      <c r="BW23" s="32">
        <f t="shared" si="35"/>
        <v>0</v>
      </c>
      <c r="BX23" s="32">
        <f t="shared" si="36"/>
        <v>0</v>
      </c>
      <c r="BY23" s="49">
        <f t="shared" si="37"/>
        <v>0</v>
      </c>
      <c r="BZ23" s="32">
        <f t="shared" si="38"/>
        <v>0</v>
      </c>
      <c r="CA23" s="49"/>
      <c r="CC23" s="49">
        <f t="shared" si="85"/>
        <v>0</v>
      </c>
      <c r="CD23" s="49">
        <f t="shared" si="39"/>
        <v>0</v>
      </c>
      <c r="CE23" s="32">
        <f t="shared" si="40"/>
        <v>0</v>
      </c>
      <c r="CF23" s="49">
        <f t="shared" si="41"/>
        <v>0</v>
      </c>
      <c r="CG23" s="49"/>
      <c r="CI23" s="49">
        <f t="shared" si="86"/>
        <v>0</v>
      </c>
      <c r="CJ23" s="49">
        <f t="shared" si="42"/>
        <v>0</v>
      </c>
      <c r="CK23" s="32">
        <f t="shared" si="43"/>
        <v>0</v>
      </c>
      <c r="CL23" s="49">
        <f t="shared" si="44"/>
        <v>0</v>
      </c>
      <c r="CM23" s="49"/>
      <c r="CO23" s="32">
        <f t="shared" si="87"/>
        <v>0</v>
      </c>
      <c r="CP23" s="32">
        <f t="shared" si="45"/>
        <v>0</v>
      </c>
      <c r="CQ23" s="49">
        <f t="shared" si="46"/>
        <v>0</v>
      </c>
      <c r="CR23" s="49">
        <f t="shared" si="47"/>
        <v>0</v>
      </c>
      <c r="CS23" s="49"/>
      <c r="CU23" s="32">
        <f t="shared" si="88"/>
        <v>0</v>
      </c>
      <c r="CV23" s="32">
        <f t="shared" si="48"/>
        <v>0</v>
      </c>
      <c r="CW23" s="32">
        <f t="shared" si="49"/>
        <v>0</v>
      </c>
      <c r="CX23" s="49">
        <f t="shared" si="50"/>
        <v>0</v>
      </c>
      <c r="CY23" s="49"/>
      <c r="DA23" s="32">
        <f t="shared" si="89"/>
        <v>0</v>
      </c>
      <c r="DB23" s="32">
        <f t="shared" si="51"/>
        <v>0</v>
      </c>
      <c r="DC23" s="49">
        <f t="shared" si="52"/>
        <v>0</v>
      </c>
      <c r="DD23" s="49">
        <f t="shared" si="53"/>
        <v>0</v>
      </c>
      <c r="DE23" s="49"/>
      <c r="DG23" s="32">
        <f t="shared" si="90"/>
        <v>0</v>
      </c>
      <c r="DH23" s="32">
        <f t="shared" si="54"/>
        <v>0</v>
      </c>
      <c r="DI23" s="49">
        <f t="shared" si="55"/>
        <v>0</v>
      </c>
      <c r="DJ23" s="49">
        <f t="shared" si="56"/>
        <v>0</v>
      </c>
      <c r="DK23" s="49"/>
      <c r="DM23" s="32">
        <f t="shared" si="91"/>
        <v>0</v>
      </c>
      <c r="DN23" s="32">
        <f t="shared" si="57"/>
        <v>0</v>
      </c>
      <c r="DO23" s="49">
        <f t="shared" si="58"/>
        <v>0</v>
      </c>
      <c r="DP23" s="49">
        <f t="shared" si="59"/>
        <v>0</v>
      </c>
      <c r="DQ23" s="49"/>
      <c r="DS23" s="32">
        <f t="shared" si="92"/>
        <v>0</v>
      </c>
      <c r="DT23" s="49">
        <f t="shared" si="60"/>
        <v>0</v>
      </c>
      <c r="DU23" s="49">
        <f t="shared" si="61"/>
        <v>0</v>
      </c>
      <c r="DV23" s="49">
        <f t="shared" si="62"/>
        <v>0</v>
      </c>
      <c r="DW23" s="49"/>
      <c r="DY23" s="32">
        <f t="shared" si="93"/>
        <v>0</v>
      </c>
      <c r="DZ23" s="32">
        <f t="shared" si="63"/>
        <v>0</v>
      </c>
      <c r="EA23" s="49">
        <f t="shared" si="64"/>
        <v>0</v>
      </c>
      <c r="EB23" s="49">
        <f t="shared" si="65"/>
        <v>0</v>
      </c>
      <c r="EC23" s="49"/>
      <c r="EE23" s="32">
        <f t="shared" si="94"/>
        <v>0</v>
      </c>
      <c r="EF23" s="32">
        <f t="shared" si="66"/>
        <v>0</v>
      </c>
      <c r="EG23" s="32">
        <f t="shared" si="67"/>
        <v>0</v>
      </c>
      <c r="EH23" s="49">
        <f t="shared" si="68"/>
        <v>0</v>
      </c>
      <c r="EI23" s="49"/>
      <c r="EK23" s="32">
        <f t="shared" si="95"/>
        <v>0</v>
      </c>
      <c r="EL23" s="32">
        <f t="shared" si="69"/>
        <v>0</v>
      </c>
      <c r="EM23" s="49">
        <f t="shared" si="70"/>
        <v>0</v>
      </c>
      <c r="EN23" s="49">
        <f t="shared" si="71"/>
        <v>0</v>
      </c>
      <c r="EO23" s="49"/>
      <c r="EQ23" s="32">
        <f t="shared" si="96"/>
        <v>0</v>
      </c>
      <c r="ER23" s="32">
        <f t="shared" si="72"/>
        <v>0</v>
      </c>
      <c r="ES23" s="49">
        <f t="shared" si="73"/>
        <v>0</v>
      </c>
      <c r="ET23" s="49">
        <f t="shared" si="74"/>
        <v>0</v>
      </c>
      <c r="EU23" s="49"/>
      <c r="EV23"/>
    </row>
    <row r="24" spans="1:152" ht="12.75">
      <c r="A24" s="76">
        <v>47027</v>
      </c>
      <c r="E24" s="34">
        <f t="shared" si="0"/>
        <v>0</v>
      </c>
      <c r="H24"/>
      <c r="I24" s="69"/>
      <c r="J24" s="69">
        <f t="shared" si="1"/>
        <v>0</v>
      </c>
      <c r="K24" s="69">
        <f t="shared" si="2"/>
        <v>0</v>
      </c>
      <c r="L24" s="69">
        <f t="shared" si="3"/>
        <v>0</v>
      </c>
      <c r="M24" s="69"/>
      <c r="N24"/>
      <c r="P24" s="32">
        <f t="shared" si="4"/>
        <v>0</v>
      </c>
      <c r="Q24" s="32">
        <f t="shared" si="5"/>
        <v>0</v>
      </c>
      <c r="R24" s="49">
        <f t="shared" si="6"/>
        <v>0</v>
      </c>
      <c r="S24" s="49"/>
      <c r="T24"/>
      <c r="V24" s="49">
        <f t="shared" si="7"/>
        <v>0</v>
      </c>
      <c r="W24" s="49">
        <f t="shared" si="8"/>
        <v>0</v>
      </c>
      <c r="X24" s="49">
        <f t="shared" si="9"/>
        <v>0</v>
      </c>
      <c r="Y24" s="49"/>
      <c r="Z24"/>
      <c r="AB24" s="49">
        <f t="shared" si="10"/>
        <v>0</v>
      </c>
      <c r="AC24" s="49">
        <f t="shared" si="11"/>
        <v>0</v>
      </c>
      <c r="AD24" s="49">
        <f t="shared" si="12"/>
        <v>0</v>
      </c>
      <c r="AE24" s="49"/>
      <c r="AF24"/>
      <c r="AG24" s="32">
        <f t="shared" si="13"/>
        <v>0</v>
      </c>
      <c r="AH24" s="32">
        <f t="shared" si="14"/>
        <v>0</v>
      </c>
      <c r="AI24" s="32">
        <f t="shared" si="15"/>
        <v>0</v>
      </c>
      <c r="AJ24" s="49">
        <f t="shared" si="16"/>
        <v>0</v>
      </c>
      <c r="AK24" s="49"/>
      <c r="AN24" s="32">
        <f t="shared" si="17"/>
        <v>0</v>
      </c>
      <c r="AO24" s="32">
        <f t="shared" si="18"/>
        <v>0</v>
      </c>
      <c r="AP24" s="49">
        <f t="shared" si="19"/>
        <v>0</v>
      </c>
      <c r="AQ24" s="49"/>
      <c r="AR24"/>
      <c r="AS24" s="49"/>
      <c r="AT24" s="32">
        <f t="shared" si="20"/>
        <v>0</v>
      </c>
      <c r="AU24" s="49">
        <f t="shared" si="21"/>
        <v>0</v>
      </c>
      <c r="AV24" s="49">
        <f t="shared" si="22"/>
        <v>0</v>
      </c>
      <c r="AW24" s="49"/>
      <c r="AX24"/>
      <c r="AY24" s="49"/>
      <c r="AZ24" s="32">
        <f t="shared" si="23"/>
        <v>0</v>
      </c>
      <c r="BA24" s="49">
        <f t="shared" si="24"/>
        <v>0</v>
      </c>
      <c r="BB24" s="49">
        <f t="shared" si="25"/>
        <v>0</v>
      </c>
      <c r="BC24" s="49"/>
      <c r="BD24"/>
      <c r="BF24" s="32">
        <f t="shared" si="26"/>
        <v>0</v>
      </c>
      <c r="BG24" s="32">
        <f t="shared" si="27"/>
        <v>0</v>
      </c>
      <c r="BH24" s="49">
        <f t="shared" si="28"/>
        <v>0</v>
      </c>
      <c r="BI24" s="49"/>
      <c r="BJ24"/>
      <c r="BL24" s="32">
        <f t="shared" si="29"/>
        <v>0</v>
      </c>
      <c r="BM24" s="49">
        <f t="shared" si="30"/>
        <v>0</v>
      </c>
      <c r="BN24" s="49">
        <f t="shared" si="31"/>
        <v>0</v>
      </c>
      <c r="BO24" s="49"/>
      <c r="BR24" s="32">
        <f t="shared" si="32"/>
        <v>0</v>
      </c>
      <c r="BS24" s="49">
        <f t="shared" si="33"/>
        <v>0</v>
      </c>
      <c r="BT24" s="49">
        <f t="shared" si="34"/>
        <v>0</v>
      </c>
      <c r="BU24" s="49"/>
      <c r="BW24" s="32">
        <f t="shared" si="35"/>
        <v>0</v>
      </c>
      <c r="BX24" s="32">
        <f t="shared" si="36"/>
        <v>0</v>
      </c>
      <c r="BY24" s="49">
        <f t="shared" si="37"/>
        <v>0</v>
      </c>
      <c r="BZ24" s="32">
        <f t="shared" si="38"/>
        <v>0</v>
      </c>
      <c r="CA24" s="49"/>
      <c r="CC24" s="49"/>
      <c r="CD24" s="49">
        <f t="shared" si="39"/>
        <v>0</v>
      </c>
      <c r="CE24" s="32">
        <f t="shared" si="40"/>
        <v>0</v>
      </c>
      <c r="CF24" s="49">
        <f t="shared" si="41"/>
        <v>0</v>
      </c>
      <c r="CG24" s="49"/>
      <c r="CI24" s="49"/>
      <c r="CJ24" s="49">
        <f t="shared" si="42"/>
        <v>0</v>
      </c>
      <c r="CK24" s="32">
        <f t="shared" si="43"/>
        <v>0</v>
      </c>
      <c r="CL24" s="49">
        <f t="shared" si="44"/>
        <v>0</v>
      </c>
      <c r="CM24" s="49"/>
      <c r="CP24" s="32">
        <f t="shared" si="45"/>
        <v>0</v>
      </c>
      <c r="CQ24" s="49">
        <f t="shared" si="46"/>
        <v>0</v>
      </c>
      <c r="CR24" s="49">
        <f t="shared" si="47"/>
        <v>0</v>
      </c>
      <c r="CS24" s="49"/>
      <c r="CV24" s="32">
        <f t="shared" si="48"/>
        <v>0</v>
      </c>
      <c r="CW24" s="32">
        <f t="shared" si="49"/>
        <v>0</v>
      </c>
      <c r="CX24" s="49">
        <f t="shared" si="50"/>
        <v>0</v>
      </c>
      <c r="CY24" s="49"/>
      <c r="DB24" s="32">
        <f t="shared" si="51"/>
        <v>0</v>
      </c>
      <c r="DC24" s="49">
        <f t="shared" si="52"/>
        <v>0</v>
      </c>
      <c r="DD24" s="49">
        <f t="shared" si="53"/>
        <v>0</v>
      </c>
      <c r="DE24" s="49"/>
      <c r="DH24" s="32">
        <f t="shared" si="54"/>
        <v>0</v>
      </c>
      <c r="DI24" s="49">
        <f t="shared" si="55"/>
        <v>0</v>
      </c>
      <c r="DJ24" s="49">
        <f t="shared" si="56"/>
        <v>0</v>
      </c>
      <c r="DK24" s="49"/>
      <c r="DN24" s="32">
        <f t="shared" si="57"/>
        <v>0</v>
      </c>
      <c r="DO24" s="49">
        <f t="shared" si="58"/>
        <v>0</v>
      </c>
      <c r="DP24" s="49">
        <f t="shared" si="59"/>
        <v>0</v>
      </c>
      <c r="DQ24" s="49"/>
      <c r="DT24" s="49">
        <f t="shared" si="60"/>
        <v>0</v>
      </c>
      <c r="DU24" s="49">
        <f t="shared" si="61"/>
        <v>0</v>
      </c>
      <c r="DV24" s="49">
        <f t="shared" si="62"/>
        <v>0</v>
      </c>
      <c r="DW24" s="49"/>
      <c r="DZ24" s="32">
        <f t="shared" si="63"/>
        <v>0</v>
      </c>
      <c r="EA24" s="49">
        <f t="shared" si="64"/>
        <v>0</v>
      </c>
      <c r="EB24" s="49">
        <f t="shared" si="65"/>
        <v>0</v>
      </c>
      <c r="EC24" s="49"/>
      <c r="EF24" s="32">
        <f t="shared" si="66"/>
        <v>0</v>
      </c>
      <c r="EG24" s="32">
        <f t="shared" si="67"/>
        <v>0</v>
      </c>
      <c r="EH24" s="49">
        <f t="shared" si="68"/>
        <v>0</v>
      </c>
      <c r="EI24" s="49"/>
      <c r="EL24" s="32">
        <f t="shared" si="69"/>
        <v>0</v>
      </c>
      <c r="EM24" s="49">
        <f t="shared" si="70"/>
        <v>0</v>
      </c>
      <c r="EN24" s="49">
        <f t="shared" si="71"/>
        <v>0</v>
      </c>
      <c r="EO24" s="49"/>
      <c r="ER24" s="32">
        <f t="shared" si="72"/>
        <v>0</v>
      </c>
      <c r="ES24" s="49">
        <f t="shared" si="73"/>
        <v>0</v>
      </c>
      <c r="ET24" s="49">
        <f t="shared" si="74"/>
        <v>0</v>
      </c>
      <c r="EU24" s="49"/>
      <c r="EV24"/>
    </row>
    <row r="25" spans="1:152" ht="12.75">
      <c r="A25" s="76">
        <v>47209</v>
      </c>
      <c r="E25" s="34">
        <f t="shared" si="0"/>
        <v>0</v>
      </c>
      <c r="H25"/>
      <c r="I25" s="69">
        <f t="shared" si="75"/>
        <v>0</v>
      </c>
      <c r="J25" s="69">
        <f t="shared" si="1"/>
        <v>0</v>
      </c>
      <c r="K25" s="69">
        <f t="shared" si="2"/>
        <v>0</v>
      </c>
      <c r="L25" s="69">
        <f t="shared" si="3"/>
        <v>0</v>
      </c>
      <c r="M25" s="69"/>
      <c r="N25"/>
      <c r="O25" s="32">
        <f t="shared" si="76"/>
        <v>0</v>
      </c>
      <c r="P25" s="32">
        <f t="shared" si="4"/>
        <v>0</v>
      </c>
      <c r="Q25" s="32">
        <f t="shared" si="5"/>
        <v>0</v>
      </c>
      <c r="R25" s="49">
        <f t="shared" si="6"/>
        <v>0</v>
      </c>
      <c r="S25" s="49"/>
      <c r="T25"/>
      <c r="U25" s="32">
        <f t="shared" si="77"/>
        <v>0</v>
      </c>
      <c r="V25" s="49">
        <f t="shared" si="7"/>
        <v>0</v>
      </c>
      <c r="W25" s="49">
        <f t="shared" si="8"/>
        <v>0</v>
      </c>
      <c r="X25" s="49">
        <f t="shared" si="9"/>
        <v>0</v>
      </c>
      <c r="Y25" s="49"/>
      <c r="Z25"/>
      <c r="AA25" s="32">
        <f t="shared" si="78"/>
        <v>0</v>
      </c>
      <c r="AB25" s="49">
        <f t="shared" si="10"/>
        <v>0</v>
      </c>
      <c r="AC25" s="49">
        <f t="shared" si="11"/>
        <v>0</v>
      </c>
      <c r="AD25" s="49">
        <f t="shared" si="12"/>
        <v>0</v>
      </c>
      <c r="AE25" s="49"/>
      <c r="AF25"/>
      <c r="AG25" s="32">
        <f t="shared" si="13"/>
        <v>0</v>
      </c>
      <c r="AH25" s="32">
        <f t="shared" si="14"/>
        <v>0</v>
      </c>
      <c r="AI25" s="32">
        <f t="shared" si="15"/>
        <v>0</v>
      </c>
      <c r="AJ25" s="49">
        <f t="shared" si="16"/>
        <v>0</v>
      </c>
      <c r="AK25" s="49"/>
      <c r="AM25" s="32">
        <f t="shared" si="79"/>
        <v>0</v>
      </c>
      <c r="AN25" s="32">
        <f t="shared" si="17"/>
        <v>0</v>
      </c>
      <c r="AO25" s="32">
        <f t="shared" si="18"/>
        <v>0</v>
      </c>
      <c r="AP25" s="49">
        <f t="shared" si="19"/>
        <v>0</v>
      </c>
      <c r="AQ25" s="49"/>
      <c r="AR25"/>
      <c r="AS25" s="49">
        <f t="shared" si="80"/>
        <v>0</v>
      </c>
      <c r="AT25" s="32">
        <f t="shared" si="20"/>
        <v>0</v>
      </c>
      <c r="AU25" s="49">
        <f t="shared" si="21"/>
        <v>0</v>
      </c>
      <c r="AV25" s="49">
        <f t="shared" si="22"/>
        <v>0</v>
      </c>
      <c r="AW25" s="49"/>
      <c r="AX25"/>
      <c r="AY25" s="49">
        <f t="shared" si="81"/>
        <v>0</v>
      </c>
      <c r="AZ25" s="32">
        <f t="shared" si="23"/>
        <v>0</v>
      </c>
      <c r="BA25" s="49">
        <f t="shared" si="24"/>
        <v>0</v>
      </c>
      <c r="BB25" s="49">
        <f t="shared" si="25"/>
        <v>0</v>
      </c>
      <c r="BC25" s="49"/>
      <c r="BD25"/>
      <c r="BE25" s="32">
        <f t="shared" si="82"/>
        <v>0</v>
      </c>
      <c r="BF25" s="32">
        <f t="shared" si="26"/>
        <v>0</v>
      </c>
      <c r="BG25" s="32">
        <f t="shared" si="27"/>
        <v>0</v>
      </c>
      <c r="BH25" s="49">
        <f t="shared" si="28"/>
        <v>0</v>
      </c>
      <c r="BI25" s="49"/>
      <c r="BJ25"/>
      <c r="BK25" s="32">
        <f t="shared" si="83"/>
        <v>0</v>
      </c>
      <c r="BL25" s="32">
        <f t="shared" si="29"/>
        <v>0</v>
      </c>
      <c r="BM25" s="49">
        <f t="shared" si="30"/>
        <v>0</v>
      </c>
      <c r="BN25" s="49">
        <f t="shared" si="31"/>
        <v>0</v>
      </c>
      <c r="BO25" s="49"/>
      <c r="BQ25" s="32">
        <f t="shared" si="84"/>
        <v>0</v>
      </c>
      <c r="BR25" s="32">
        <f t="shared" si="32"/>
        <v>0</v>
      </c>
      <c r="BS25" s="49">
        <f t="shared" si="33"/>
        <v>0</v>
      </c>
      <c r="BT25" s="49">
        <f t="shared" si="34"/>
        <v>0</v>
      </c>
      <c r="BU25" s="49"/>
      <c r="BW25" s="32">
        <f t="shared" si="35"/>
        <v>0</v>
      </c>
      <c r="BX25" s="32">
        <f t="shared" si="36"/>
        <v>0</v>
      </c>
      <c r="BY25" s="49">
        <f t="shared" si="37"/>
        <v>0</v>
      </c>
      <c r="BZ25" s="32">
        <f t="shared" si="38"/>
        <v>0</v>
      </c>
      <c r="CA25" s="49"/>
      <c r="CC25" s="49">
        <f t="shared" si="85"/>
        <v>0</v>
      </c>
      <c r="CD25" s="49">
        <f t="shared" si="39"/>
        <v>0</v>
      </c>
      <c r="CE25" s="32">
        <f t="shared" si="40"/>
        <v>0</v>
      </c>
      <c r="CF25" s="49">
        <f t="shared" si="41"/>
        <v>0</v>
      </c>
      <c r="CG25" s="49"/>
      <c r="CI25" s="49">
        <f t="shared" si="86"/>
        <v>0</v>
      </c>
      <c r="CJ25" s="49">
        <f t="shared" si="42"/>
        <v>0</v>
      </c>
      <c r="CK25" s="32">
        <f t="shared" si="43"/>
        <v>0</v>
      </c>
      <c r="CL25" s="49">
        <f t="shared" si="44"/>
        <v>0</v>
      </c>
      <c r="CM25" s="49"/>
      <c r="CO25" s="32">
        <f t="shared" si="87"/>
        <v>0</v>
      </c>
      <c r="CP25" s="32">
        <f t="shared" si="45"/>
        <v>0</v>
      </c>
      <c r="CQ25" s="49">
        <f t="shared" si="46"/>
        <v>0</v>
      </c>
      <c r="CR25" s="49">
        <f t="shared" si="47"/>
        <v>0</v>
      </c>
      <c r="CS25" s="49"/>
      <c r="CU25" s="32">
        <f t="shared" si="88"/>
        <v>0</v>
      </c>
      <c r="CV25" s="32">
        <f t="shared" si="48"/>
        <v>0</v>
      </c>
      <c r="CW25" s="32">
        <f t="shared" si="49"/>
        <v>0</v>
      </c>
      <c r="CX25" s="49">
        <f t="shared" si="50"/>
        <v>0</v>
      </c>
      <c r="CY25" s="49"/>
      <c r="DA25" s="32">
        <f t="shared" si="89"/>
        <v>0</v>
      </c>
      <c r="DB25" s="32">
        <f t="shared" si="51"/>
        <v>0</v>
      </c>
      <c r="DC25" s="49">
        <f t="shared" si="52"/>
        <v>0</v>
      </c>
      <c r="DD25" s="49">
        <f t="shared" si="53"/>
        <v>0</v>
      </c>
      <c r="DE25" s="49"/>
      <c r="DG25" s="32">
        <f t="shared" si="90"/>
        <v>0</v>
      </c>
      <c r="DH25" s="32">
        <f t="shared" si="54"/>
        <v>0</v>
      </c>
      <c r="DI25" s="49">
        <f t="shared" si="55"/>
        <v>0</v>
      </c>
      <c r="DJ25" s="49">
        <f t="shared" si="56"/>
        <v>0</v>
      </c>
      <c r="DK25" s="49"/>
      <c r="DM25" s="32">
        <f t="shared" si="91"/>
        <v>0</v>
      </c>
      <c r="DN25" s="32">
        <f t="shared" si="57"/>
        <v>0</v>
      </c>
      <c r="DO25" s="49">
        <f t="shared" si="58"/>
        <v>0</v>
      </c>
      <c r="DP25" s="49">
        <f t="shared" si="59"/>
        <v>0</v>
      </c>
      <c r="DQ25" s="49"/>
      <c r="DS25" s="32">
        <f t="shared" si="92"/>
        <v>0</v>
      </c>
      <c r="DT25" s="49">
        <f t="shared" si="60"/>
        <v>0</v>
      </c>
      <c r="DU25" s="49">
        <f t="shared" si="61"/>
        <v>0</v>
      </c>
      <c r="DV25" s="49">
        <f t="shared" si="62"/>
        <v>0</v>
      </c>
      <c r="DW25" s="49"/>
      <c r="DY25" s="32">
        <f t="shared" si="93"/>
        <v>0</v>
      </c>
      <c r="DZ25" s="32">
        <f t="shared" si="63"/>
        <v>0</v>
      </c>
      <c r="EA25" s="49">
        <f t="shared" si="64"/>
        <v>0</v>
      </c>
      <c r="EB25" s="49">
        <f t="shared" si="65"/>
        <v>0</v>
      </c>
      <c r="EC25" s="49"/>
      <c r="EE25" s="32">
        <f t="shared" si="94"/>
        <v>0</v>
      </c>
      <c r="EF25" s="32">
        <f t="shared" si="66"/>
        <v>0</v>
      </c>
      <c r="EG25" s="32">
        <f t="shared" si="67"/>
        <v>0</v>
      </c>
      <c r="EH25" s="49">
        <f t="shared" si="68"/>
        <v>0</v>
      </c>
      <c r="EI25" s="49"/>
      <c r="EK25" s="32">
        <f t="shared" si="95"/>
        <v>0</v>
      </c>
      <c r="EL25" s="32">
        <f t="shared" si="69"/>
        <v>0</v>
      </c>
      <c r="EM25" s="49">
        <f t="shared" si="70"/>
        <v>0</v>
      </c>
      <c r="EN25" s="49">
        <f t="shared" si="71"/>
        <v>0</v>
      </c>
      <c r="EO25" s="49"/>
      <c r="EQ25" s="32">
        <f t="shared" si="96"/>
        <v>0</v>
      </c>
      <c r="ER25" s="32">
        <f t="shared" si="72"/>
        <v>0</v>
      </c>
      <c r="ES25" s="49">
        <f t="shared" si="73"/>
        <v>0</v>
      </c>
      <c r="ET25" s="49">
        <f t="shared" si="74"/>
        <v>0</v>
      </c>
      <c r="EU25" s="49"/>
      <c r="EV25"/>
    </row>
    <row r="26" spans="3:152" ht="12.75">
      <c r="C26" s="39"/>
      <c r="D26" s="39"/>
      <c r="E26" s="39"/>
      <c r="F26" s="39"/>
      <c r="G26" s="39"/>
      <c r="H26"/>
      <c r="I26"/>
      <c r="J26"/>
      <c r="K26"/>
      <c r="L26"/>
      <c r="M26" s="3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N26"/>
      <c r="BO26"/>
      <c r="BT26"/>
      <c r="BU26"/>
      <c r="CA26"/>
      <c r="CF26"/>
      <c r="CG26"/>
      <c r="CL26"/>
      <c r="CM26"/>
      <c r="CR26"/>
      <c r="CS26"/>
      <c r="CX26"/>
      <c r="CY26"/>
      <c r="DD26"/>
      <c r="DE26"/>
      <c r="DJ26"/>
      <c r="DK26"/>
      <c r="DP26"/>
      <c r="DQ26"/>
      <c r="DV26"/>
      <c r="DW26"/>
      <c r="EB26"/>
      <c r="EC26"/>
      <c r="EH26"/>
      <c r="EI26"/>
      <c r="EN26"/>
      <c r="EO26"/>
      <c r="ET26"/>
      <c r="EU26"/>
      <c r="EV26"/>
    </row>
    <row r="27" spans="1:152" ht="13.5" thickBot="1">
      <c r="A27" s="30" t="s">
        <v>4</v>
      </c>
      <c r="C27" s="48">
        <f>SUM(C8:C26)</f>
        <v>10090000</v>
      </c>
      <c r="D27" s="48">
        <f>SUM(D8:D26)</f>
        <v>661100</v>
      </c>
      <c r="E27" s="48">
        <f>SUM(E8:E26)</f>
        <v>10751100</v>
      </c>
      <c r="F27" s="48">
        <f>SUM(F8:F26)</f>
        <v>670072</v>
      </c>
      <c r="G27" s="48">
        <f>SUM(G8:G26)</f>
        <v>361284</v>
      </c>
      <c r="H27"/>
      <c r="I27" s="48">
        <f>SUM(I8:I26)</f>
        <v>3244474.8149999995</v>
      </c>
      <c r="J27" s="48">
        <f>SUM(J8:J26)</f>
        <v>212579.01885</v>
      </c>
      <c r="K27" s="48">
        <f>SUM(K8:K26)</f>
        <v>3457053.83385</v>
      </c>
      <c r="L27" s="48">
        <f>SUM(L8:L26)</f>
        <v>215463.996852</v>
      </c>
      <c r="M27" s="48">
        <f>SUM(M8:M26)</f>
        <v>116172.134694</v>
      </c>
      <c r="O27" s="48">
        <f>SUM(O8:O26)</f>
        <v>445887.19000000006</v>
      </c>
      <c r="P27" s="48">
        <f>SUM(P8:P26)</f>
        <v>29214.6701</v>
      </c>
      <c r="Q27" s="48">
        <f>SUM(Q8:Q26)</f>
        <v>475101.86010000005</v>
      </c>
      <c r="R27" s="48">
        <f>SUM(R8:R26)</f>
        <v>29611.151752</v>
      </c>
      <c r="S27" s="48">
        <f>SUM(S8:S26)</f>
        <v>15965.501244000001</v>
      </c>
      <c r="T27"/>
      <c r="U27" s="48">
        <f>SUM(U8:U26)</f>
        <v>454958.1</v>
      </c>
      <c r="V27" s="48">
        <f>SUM(V8:V26)</f>
        <v>29808.999</v>
      </c>
      <c r="W27" s="48">
        <f>SUM(W8:W26)</f>
        <v>484767.09899999993</v>
      </c>
      <c r="X27" s="48">
        <f>SUM(X8:X26)</f>
        <v>30213.546479999997</v>
      </c>
      <c r="Y27" s="48">
        <f>SUM(Y8:Y26)</f>
        <v>16290.295559999999</v>
      </c>
      <c r="Z27"/>
      <c r="AA27" s="48">
        <f>SUM(AA8:AA26)</f>
        <v>15212.693</v>
      </c>
      <c r="AB27" s="48">
        <f>SUM(AB8:AB26)</f>
        <v>996.74047</v>
      </c>
      <c r="AC27" s="48">
        <f>SUM(AC8:AC26)</f>
        <v>16209.43347</v>
      </c>
      <c r="AD27" s="48">
        <f>SUM(AD8:AD26)</f>
        <v>1010.2675544</v>
      </c>
      <c r="AE27" s="48">
        <f>SUM(AE8:AE26)</f>
        <v>544.7078868</v>
      </c>
      <c r="AF27"/>
      <c r="AG27" s="48">
        <f>SUM(AG8:AG26)</f>
        <v>5650.4</v>
      </c>
      <c r="AH27" s="48">
        <f>SUM(AH8:AH26)</f>
        <v>370.21599999999995</v>
      </c>
      <c r="AI27" s="48">
        <f>SUM(AI8:AI26)</f>
        <v>6020.615999999999</v>
      </c>
      <c r="AJ27" s="48">
        <f>SUM(AJ8:AJ26)</f>
        <v>375.24031999999994</v>
      </c>
      <c r="AK27" s="48">
        <f>SUM(AK8:AK26)</f>
        <v>202.31903999999997</v>
      </c>
      <c r="AL27" s="48"/>
      <c r="AM27" s="48">
        <f>SUM(AM8:AM26)</f>
        <v>85634.83899999999</v>
      </c>
      <c r="AN27" s="48">
        <f>SUM(AN8:AN26)</f>
        <v>5610.8218099999995</v>
      </c>
      <c r="AO27" s="48">
        <f>SUM(AO8:AO26)</f>
        <v>91245.66080999999</v>
      </c>
      <c r="AP27" s="48">
        <f>SUM(AP8:AP26)</f>
        <v>5686.968071199999</v>
      </c>
      <c r="AQ27" s="48">
        <f>SUM(AQ8:AQ26)</f>
        <v>3066.2534364</v>
      </c>
      <c r="AR27"/>
      <c r="AS27" s="48">
        <f>SUM(AS8:AS26)</f>
        <v>21728.815000000002</v>
      </c>
      <c r="AT27" s="48">
        <f>SUM(AT8:AT26)</f>
        <v>1423.6788500000002</v>
      </c>
      <c r="AU27" s="48">
        <f>SUM(AU8:AU26)</f>
        <v>23152.49385</v>
      </c>
      <c r="AV27" s="48">
        <f>SUM(AV8:AV26)</f>
        <v>1443.000052</v>
      </c>
      <c r="AW27" s="48">
        <f>SUM(AW8:AW26)</f>
        <v>778.025094</v>
      </c>
      <c r="AX27"/>
      <c r="AY27" s="48">
        <f>SUM(AY8:AY26)</f>
        <v>23255.432</v>
      </c>
      <c r="AZ27" s="48">
        <f>SUM(AZ8:AZ26)</f>
        <v>1523.7032800000002</v>
      </c>
      <c r="BA27" s="48">
        <f>SUM(BA8:BA26)</f>
        <v>24779.135280000002</v>
      </c>
      <c r="BB27" s="48">
        <f>SUM(BB8:BB26)</f>
        <v>1544.3819456</v>
      </c>
      <c r="BC27" s="48">
        <f>SUM(BC8:BC26)</f>
        <v>832.6873632</v>
      </c>
      <c r="BD27"/>
      <c r="BE27" s="48">
        <f>SUM(BE8:BE26)</f>
        <v>23571.248999999996</v>
      </c>
      <c r="BF27" s="48">
        <f>SUM(BF8:BF26)</f>
        <v>1544.3957099999998</v>
      </c>
      <c r="BG27" s="48">
        <f>SUM(BG8:BG26)</f>
        <v>25115.64471</v>
      </c>
      <c r="BH27" s="48">
        <f>SUM(BH8:BH26)</f>
        <v>1565.3551991999998</v>
      </c>
      <c r="BI27" s="48">
        <f>SUM(BI8:BI26)</f>
        <v>843.9955524</v>
      </c>
      <c r="BJ27"/>
      <c r="BK27" s="48">
        <f>SUM(BK8:BK26)</f>
        <v>4684.787</v>
      </c>
      <c r="BL27" s="48">
        <f>SUM(BL8:BL26)</f>
        <v>306.94873</v>
      </c>
      <c r="BM27" s="48">
        <f>SUM(BM8:BM26)</f>
        <v>4991.73573</v>
      </c>
      <c r="BN27" s="48">
        <f>SUM(BN8:BN26)</f>
        <v>311.1144296</v>
      </c>
      <c r="BO27" s="48">
        <f>SUM(BO8:BO26)</f>
        <v>167.7441612</v>
      </c>
      <c r="BQ27" s="48">
        <f>SUM(BQ8:BQ26)</f>
        <v>38020.129</v>
      </c>
      <c r="BR27" s="48">
        <f>SUM(BR8:BR26)</f>
        <v>2491.09091</v>
      </c>
      <c r="BS27" s="48">
        <f>SUM(BS8:BS26)</f>
        <v>40511.21991</v>
      </c>
      <c r="BT27" s="48">
        <f>SUM(BT8:BT26)</f>
        <v>2524.8983032</v>
      </c>
      <c r="BU27" s="48">
        <f>SUM(BU8:BU26)</f>
        <v>1361.3542404</v>
      </c>
      <c r="BW27" s="48">
        <f>SUM(BW8:BW26)</f>
        <v>1158.3320000000008</v>
      </c>
      <c r="BX27" s="48">
        <f>SUM(BX8:BX26)</f>
        <v>75.89428000000005</v>
      </c>
      <c r="BY27" s="48">
        <f>SUM(BY8:BY26)</f>
        <v>1234.2262800000008</v>
      </c>
      <c r="BZ27" s="48">
        <f>SUM(BZ8:BZ26)</f>
        <v>76.92426560000006</v>
      </c>
      <c r="CA27" s="48">
        <f>SUM(CA8:CA26)</f>
        <v>41.47540320000003</v>
      </c>
      <c r="CC27" s="48">
        <f>SUM(CC8:CC26)</f>
        <v>33303.054000000004</v>
      </c>
      <c r="CD27" s="48">
        <f>SUM(CD8:CD26)</f>
        <v>2182.02666</v>
      </c>
      <c r="CE27" s="48">
        <f>SUM(CE8:CE26)</f>
        <v>35485.08066000001</v>
      </c>
      <c r="CF27" s="48">
        <f>SUM(CF8:CF26)</f>
        <v>2211.6396432</v>
      </c>
      <c r="CG27" s="48">
        <f>SUM(CG8:CG26)</f>
        <v>1192.4539704</v>
      </c>
      <c r="CI27" s="48">
        <f>SUM(CI8:CI26)</f>
        <v>20963.993000000002</v>
      </c>
      <c r="CJ27" s="48">
        <f>SUM(CJ8:CJ26)</f>
        <v>1373.56747</v>
      </c>
      <c r="CK27" s="48">
        <f>SUM(CK8:CK26)</f>
        <v>22337.56047</v>
      </c>
      <c r="CL27" s="48">
        <f>SUM(CL8:CL26)</f>
        <v>1392.2085944</v>
      </c>
      <c r="CM27" s="48">
        <f>SUM(CM8:CM26)</f>
        <v>750.6397668</v>
      </c>
      <c r="CO27" s="48">
        <f>SUM(CO8:CO26)</f>
        <v>802923.858</v>
      </c>
      <c r="CP27" s="48">
        <f>SUM(CP8:CP26)</f>
        <v>52607.82582</v>
      </c>
      <c r="CQ27" s="48">
        <f>SUM(CQ8:CQ26)</f>
        <v>855531.6838199999</v>
      </c>
      <c r="CR27" s="48">
        <f>SUM(CR8:CR26)</f>
        <v>53321.7834864</v>
      </c>
      <c r="CS27" s="48">
        <f>SUM(CS8:CS26)</f>
        <v>28749.6078408</v>
      </c>
      <c r="CU27" s="48">
        <f>SUM(CU8:CU26)</f>
        <v>9163.738</v>
      </c>
      <c r="CV27" s="48">
        <f>SUM(CV8:CV26)</f>
        <v>600.41102</v>
      </c>
      <c r="CW27" s="48">
        <f>SUM(CW8:CW26)</f>
        <v>9764.149019999999</v>
      </c>
      <c r="CX27" s="48">
        <f>SUM(CX8:CX26)</f>
        <v>608.5593904</v>
      </c>
      <c r="CY27" s="48">
        <f>SUM(CY8:CY26)</f>
        <v>328.11812879999997</v>
      </c>
      <c r="DA27" s="48">
        <f>SUM(DA8:DA26)</f>
        <v>1119420.924</v>
      </c>
      <c r="DB27" s="48">
        <f>SUM(DB8:DB26)</f>
        <v>73344.81396</v>
      </c>
      <c r="DC27" s="48">
        <f>SUM(DC8:DC26)</f>
        <v>1192765.73796</v>
      </c>
      <c r="DD27" s="48">
        <f>SUM(DD8:DD26)</f>
        <v>74340.1999392</v>
      </c>
      <c r="DE27" s="48">
        <f>SUM(DE8:DE26)</f>
        <v>40082.1475824</v>
      </c>
      <c r="DG27" s="48">
        <f>SUM(DG8:DG26)</f>
        <v>10796.3</v>
      </c>
      <c r="DH27" s="48">
        <f>SUM(DH8:DH26)</f>
        <v>707.3770000000001</v>
      </c>
      <c r="DI27" s="48">
        <f>SUM(DI8:DI26)</f>
        <v>11503.677</v>
      </c>
      <c r="DJ27" s="48">
        <f>SUM(DJ8:DJ26)</f>
        <v>716.97704</v>
      </c>
      <c r="DK27" s="48">
        <f>SUM(DK8:DK26)</f>
        <v>386.57388</v>
      </c>
      <c r="DM27" s="48">
        <f>SUM(DM8:DM26)</f>
        <v>7467.609</v>
      </c>
      <c r="DN27" s="48">
        <f>SUM(DN8:DN26)</f>
        <v>489.28011000000004</v>
      </c>
      <c r="DO27" s="48">
        <f>SUM(DO8:DO26)</f>
        <v>7956.889110000001</v>
      </c>
      <c r="DP27" s="48">
        <f>SUM(DP8:DP26)</f>
        <v>495.9202872</v>
      </c>
      <c r="DQ27" s="48">
        <f>SUM(DQ8:DQ26)</f>
        <v>267.3862884</v>
      </c>
      <c r="DS27" s="48">
        <f>SUM(DS8:DS26)</f>
        <v>4605.076</v>
      </c>
      <c r="DT27" s="48">
        <f>SUM(DT8:DT26)</f>
        <v>301.72604</v>
      </c>
      <c r="DU27" s="48">
        <f>SUM(DU8:DU26)</f>
        <v>4906.80204</v>
      </c>
      <c r="DV27" s="48">
        <f>SUM(DV8:DV26)</f>
        <v>305.8208608</v>
      </c>
      <c r="DW27" s="48">
        <f>SUM(DW8:DW26)</f>
        <v>164.8900176</v>
      </c>
      <c r="DY27" s="48">
        <f>SUM(DY8:DY26)</f>
        <v>115.02599999999998</v>
      </c>
      <c r="DZ27" s="48">
        <f>SUM(DZ8:DZ26)</f>
        <v>7.53654</v>
      </c>
      <c r="EA27" s="48">
        <f>SUM(EA8:EA26)</f>
        <v>122.56253999999998</v>
      </c>
      <c r="EB27" s="48">
        <f>SUM(EB8:EB26)</f>
        <v>7.6388207999999995</v>
      </c>
      <c r="EC27" s="48">
        <f>SUM(EC8:EC26)</f>
        <v>4.1186376</v>
      </c>
      <c r="EE27" s="48">
        <f>SUM(EE8:EE26)</f>
        <v>28345.837</v>
      </c>
      <c r="EF27" s="48">
        <f>SUM(EF8:EF26)</f>
        <v>1857.22823</v>
      </c>
      <c r="EG27" s="48">
        <f>SUM(EG8:EG26)</f>
        <v>30203.065229999993</v>
      </c>
      <c r="EH27" s="48">
        <f>SUM(EH8:EH26)</f>
        <v>1882.4332696</v>
      </c>
      <c r="EI27" s="48">
        <f>SUM(EI8:EI26)</f>
        <v>1014.9551412</v>
      </c>
      <c r="EK27" s="48">
        <f>SUM(EK8:EK26)</f>
        <v>68166.022</v>
      </c>
      <c r="EL27" s="48">
        <f>SUM(EL8:EL26)</f>
        <v>4466.25938</v>
      </c>
      <c r="EM27" s="48">
        <f>SUM(EM8:EM26)</f>
        <v>72632.28138</v>
      </c>
      <c r="EN27" s="48">
        <f>SUM(EN8:EN26)</f>
        <v>4526.8724176000005</v>
      </c>
      <c r="EO27" s="48">
        <f>SUM(EO8:EO26)</f>
        <v>2440.7624472</v>
      </c>
      <c r="EQ27" s="48">
        <f>SUM(EQ8:EQ26)</f>
        <v>19441.412</v>
      </c>
      <c r="ER27" s="48">
        <f>SUM(ER8:ER26)</f>
        <v>1273.80748</v>
      </c>
      <c r="ES27" s="48">
        <f>SUM(ES8:ES26)</f>
        <v>20715.21948</v>
      </c>
      <c r="ET27" s="48">
        <f>SUM(ET8:ET26)</f>
        <v>1291.0947296</v>
      </c>
      <c r="EU27" s="48">
        <f>SUM(EU8:EU26)</f>
        <v>696.1220112</v>
      </c>
      <c r="EV27"/>
    </row>
    <row r="28" spans="8:152" ht="13.5" thickTop="1"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EV28"/>
    </row>
    <row r="29" spans="8:152" ht="12.75"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EV29"/>
    </row>
    <row r="30" spans="8:152" ht="12.75"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EV30"/>
    </row>
    <row r="31" spans="8:152" ht="12.75"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EV31"/>
    </row>
    <row r="32" spans="8:152" ht="12.75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EV32"/>
    </row>
    <row r="33" spans="8:152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EV33"/>
    </row>
    <row r="34" spans="8:152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EV34"/>
    </row>
    <row r="35" spans="8:152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EV35"/>
    </row>
    <row r="36" spans="8:152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EV36"/>
    </row>
    <row r="37" spans="8:152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EV37"/>
    </row>
    <row r="38" spans="8:152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EV38"/>
    </row>
    <row r="39" spans="1:152" ht="12.75">
      <c r="A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</row>
    <row r="40" spans="1:152" ht="12.75">
      <c r="A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</row>
    <row r="41" spans="1:15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</row>
    <row r="42" spans="1:15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5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5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ht="12.75">
      <c r="H49" s="32"/>
    </row>
    <row r="50" ht="12.75">
      <c r="H50" s="32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spans="1:152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1:152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1:152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</sheetData>
  <sheetProtection/>
  <printOptions/>
  <pageMargins left="0.75" right="0.75" top="1" bottom="1" header="0.3" footer="0.3"/>
  <pageSetup orientation="landscape" scale="7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67"/>
  <sheetViews>
    <sheetView zoomScale="150" zoomScaleNormal="150" zoomScalePageLayoutView="0" workbookViewId="0" topLeftCell="A1">
      <selection activeCell="C11" sqref="C11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14.28125" style="34" customWidth="1"/>
    <col min="8" max="8" width="3.7109375" style="32" customWidth="1"/>
    <col min="9" max="12" width="13.7109375" style="32" customWidth="1"/>
    <col min="13" max="13" width="15.00390625" style="32" customWidth="1"/>
    <col min="14" max="14" width="3.7109375" style="32" customWidth="1"/>
    <col min="15" max="18" width="13.7109375" style="0" customWidth="1"/>
    <col min="19" max="19" width="15.140625" style="0" customWidth="1"/>
    <col min="20" max="20" width="3.7109375" style="32" customWidth="1"/>
    <col min="21" max="24" width="13.7109375" style="0" customWidth="1"/>
    <col min="25" max="25" width="14.71093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2" width="12.7109375" style="20" customWidth="1"/>
    <col min="103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9" width="13.7109375" style="20" customWidth="1"/>
    <col min="170" max="170" width="3.7109375" style="20" customWidth="1"/>
    <col min="171" max="174" width="13.7109375" style="20" customWidth="1"/>
    <col min="175" max="175" width="3.7109375" style="0" customWidth="1"/>
  </cols>
  <sheetData>
    <row r="1" spans="1:176" ht="12.75">
      <c r="A1" s="41"/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S1" s="42"/>
      <c r="AY1" s="42" t="s">
        <v>138</v>
      </c>
      <c r="BK1" s="42"/>
      <c r="BQ1" s="42" t="s">
        <v>138</v>
      </c>
      <c r="CC1" s="42"/>
      <c r="CI1" s="42" t="s">
        <v>138</v>
      </c>
      <c r="CO1" s="42"/>
      <c r="DA1" s="42" t="s">
        <v>138</v>
      </c>
      <c r="DG1" s="42"/>
      <c r="DS1" s="42" t="s">
        <v>138</v>
      </c>
      <c r="EK1" s="42" t="s">
        <v>138</v>
      </c>
      <c r="EQ1" s="42"/>
      <c r="FC1" s="42" t="s">
        <v>138</v>
      </c>
      <c r="FI1" s="42"/>
      <c r="FT1" s="42" t="s">
        <v>138</v>
      </c>
    </row>
    <row r="2" spans="1:176" ht="12.75">
      <c r="A2" s="41"/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S2" s="42"/>
      <c r="AY2" s="40" t="s">
        <v>139</v>
      </c>
      <c r="BK2" s="42"/>
      <c r="BQ2" s="40" t="s">
        <v>139</v>
      </c>
      <c r="CC2" s="42"/>
      <c r="CI2" s="40" t="s">
        <v>139</v>
      </c>
      <c r="CO2" s="42"/>
      <c r="DA2" s="40" t="s">
        <v>139</v>
      </c>
      <c r="DG2" s="42"/>
      <c r="DS2" s="40" t="s">
        <v>139</v>
      </c>
      <c r="EK2" s="40" t="s">
        <v>139</v>
      </c>
      <c r="EQ2" s="42"/>
      <c r="FC2" s="40" t="s">
        <v>139</v>
      </c>
      <c r="FI2" s="42"/>
      <c r="FT2" s="40" t="s">
        <v>139</v>
      </c>
    </row>
    <row r="3" spans="1:176" ht="12.75">
      <c r="A3" s="41"/>
      <c r="B3" s="29"/>
      <c r="C3" s="40"/>
      <c r="D3" s="40"/>
      <c r="I3" s="42"/>
      <c r="O3" s="85" t="s">
        <v>150</v>
      </c>
      <c r="P3" s="12"/>
      <c r="U3" s="42"/>
      <c r="AA3" s="42"/>
      <c r="AG3" s="42" t="str">
        <f>O3</f>
        <v>2009 Series A &amp; B 2009 Bond refinanced on 2019B</v>
      </c>
      <c r="AM3" s="42"/>
      <c r="AS3" s="42"/>
      <c r="AY3" s="42" t="str">
        <f>AG3</f>
        <v>2009 Series A &amp; B 2009 Bond refinanced on 2019B</v>
      </c>
      <c r="BK3" s="42"/>
      <c r="BQ3" s="42" t="str">
        <f>AY3</f>
        <v>2009 Series A &amp; B 2009 Bond refinanced on 2019B</v>
      </c>
      <c r="CC3" s="42"/>
      <c r="CI3" s="42" t="str">
        <f>BQ3</f>
        <v>2009 Series A &amp; B 2009 Bond refinanced on 2019B</v>
      </c>
      <c r="CO3" s="42"/>
      <c r="DA3" s="42" t="s">
        <v>137</v>
      </c>
      <c r="DG3" s="42"/>
      <c r="DS3" s="42" t="s">
        <v>137</v>
      </c>
      <c r="EK3" s="42" t="s">
        <v>137</v>
      </c>
      <c r="EQ3" s="42"/>
      <c r="FC3" s="42" t="s">
        <v>137</v>
      </c>
      <c r="FI3" s="42"/>
      <c r="FT3" s="42" t="s">
        <v>137</v>
      </c>
    </row>
    <row r="4" spans="1:4" ht="12.75">
      <c r="A4" s="41"/>
      <c r="B4" s="29"/>
      <c r="C4" s="42"/>
      <c r="D4" s="42"/>
    </row>
    <row r="5" spans="1:174" ht="12.75">
      <c r="A5" s="21" t="s">
        <v>9</v>
      </c>
      <c r="C5" s="86" t="s">
        <v>153</v>
      </c>
      <c r="D5" s="46"/>
      <c r="E5" s="47"/>
      <c r="F5" s="47"/>
      <c r="G5" s="38"/>
      <c r="I5" s="35" t="s">
        <v>82</v>
      </c>
      <c r="J5" s="68"/>
      <c r="K5" s="37"/>
      <c r="L5" s="47"/>
      <c r="M5" s="38"/>
      <c r="O5" s="35" t="s">
        <v>83</v>
      </c>
      <c r="P5" s="36"/>
      <c r="Q5" s="37"/>
      <c r="R5" s="47"/>
      <c r="S5" s="38"/>
      <c r="U5" s="22" t="s">
        <v>69</v>
      </c>
      <c r="V5" s="23"/>
      <c r="W5" s="24"/>
      <c r="X5" s="47"/>
      <c r="Y5" s="38"/>
      <c r="AA5" s="22" t="s">
        <v>46</v>
      </c>
      <c r="AB5" s="23"/>
      <c r="AC5" s="24"/>
      <c r="AD5" s="47"/>
      <c r="AE5" s="38"/>
      <c r="AG5" s="22" t="s">
        <v>70</v>
      </c>
      <c r="AH5" s="23"/>
      <c r="AI5" s="24"/>
      <c r="AJ5" s="47"/>
      <c r="AK5" s="38"/>
      <c r="AM5" s="22" t="s">
        <v>51</v>
      </c>
      <c r="AN5" s="23"/>
      <c r="AO5" s="24"/>
      <c r="AP5" s="47"/>
      <c r="AQ5" s="38"/>
      <c r="AS5" s="22" t="s">
        <v>27</v>
      </c>
      <c r="AT5" s="23"/>
      <c r="AU5" s="24"/>
      <c r="AV5" s="47"/>
      <c r="AW5" s="38"/>
      <c r="AY5" s="22" t="s">
        <v>55</v>
      </c>
      <c r="AZ5" s="23"/>
      <c r="BA5" s="24"/>
      <c r="BB5" s="47"/>
      <c r="BC5" s="38"/>
      <c r="BE5" s="22" t="s">
        <v>71</v>
      </c>
      <c r="BF5" s="23"/>
      <c r="BG5" s="24"/>
      <c r="BH5" s="47"/>
      <c r="BI5" s="38"/>
      <c r="BK5" s="22" t="s">
        <v>78</v>
      </c>
      <c r="BL5" s="23"/>
      <c r="BM5" s="24"/>
      <c r="BN5" s="47"/>
      <c r="BO5" s="38"/>
      <c r="BQ5" s="22" t="s">
        <v>28</v>
      </c>
      <c r="BR5" s="23"/>
      <c r="BS5" s="24"/>
      <c r="BT5" s="47"/>
      <c r="BU5" s="38"/>
      <c r="BW5" s="22" t="s">
        <v>132</v>
      </c>
      <c r="BX5" s="23"/>
      <c r="BY5" s="24"/>
      <c r="BZ5" s="47"/>
      <c r="CA5" s="38"/>
      <c r="CC5" s="22" t="s">
        <v>113</v>
      </c>
      <c r="CD5" s="23"/>
      <c r="CE5" s="24"/>
      <c r="CF5" s="47"/>
      <c r="CG5" s="38"/>
      <c r="CI5" s="22" t="s">
        <v>133</v>
      </c>
      <c r="CJ5" s="23"/>
      <c r="CK5" s="24"/>
      <c r="CL5" s="47"/>
      <c r="CM5" s="38"/>
      <c r="CO5" s="22" t="s">
        <v>47</v>
      </c>
      <c r="CP5" s="23"/>
      <c r="CQ5" s="24"/>
      <c r="CR5" s="47"/>
      <c r="CS5" s="38"/>
      <c r="CU5" s="22" t="s">
        <v>48</v>
      </c>
      <c r="CV5" s="23"/>
      <c r="CW5" s="24"/>
      <c r="CX5" s="47"/>
      <c r="CY5" s="38"/>
      <c r="DA5" s="22" t="s">
        <v>49</v>
      </c>
      <c r="DB5" s="23"/>
      <c r="DC5" s="24"/>
      <c r="DD5" s="47"/>
      <c r="DE5" s="38"/>
      <c r="DG5" s="22" t="s">
        <v>72</v>
      </c>
      <c r="DH5" s="23"/>
      <c r="DI5" s="24"/>
      <c r="DJ5" s="47"/>
      <c r="DK5" s="38"/>
      <c r="DM5" s="22" t="s">
        <v>50</v>
      </c>
      <c r="DN5" s="23"/>
      <c r="DO5" s="24"/>
      <c r="DP5" s="47"/>
      <c r="DQ5" s="38"/>
      <c r="DS5" s="22" t="s">
        <v>134</v>
      </c>
      <c r="DT5" s="23"/>
      <c r="DU5" s="24"/>
      <c r="DV5" s="47"/>
      <c r="DW5" s="38"/>
      <c r="DY5" s="55" t="s">
        <v>135</v>
      </c>
      <c r="DZ5" s="23"/>
      <c r="EA5" s="24"/>
      <c r="EB5" s="47"/>
      <c r="EC5" s="38"/>
      <c r="EE5" s="22" t="s">
        <v>136</v>
      </c>
      <c r="EF5" s="23"/>
      <c r="EG5" s="24"/>
      <c r="EH5" s="47"/>
      <c r="EI5" s="38"/>
      <c r="EK5" s="22" t="s">
        <v>31</v>
      </c>
      <c r="EL5" s="23"/>
      <c r="EM5" s="24"/>
      <c r="EN5" s="47"/>
      <c r="EO5" s="38"/>
      <c r="EQ5" s="22" t="s">
        <v>32</v>
      </c>
      <c r="ER5" s="23"/>
      <c r="ES5" s="24"/>
      <c r="ET5" s="47"/>
      <c r="EU5" s="38"/>
      <c r="EW5" s="22" t="s">
        <v>56</v>
      </c>
      <c r="EX5" s="23"/>
      <c r="EY5" s="24"/>
      <c r="EZ5" s="47"/>
      <c r="FA5" s="38"/>
      <c r="FB5" s="63"/>
      <c r="FC5" s="22" t="s">
        <v>36</v>
      </c>
      <c r="FD5" s="23"/>
      <c r="FE5" s="24"/>
      <c r="FF5" s="47"/>
      <c r="FG5" s="38"/>
      <c r="FI5" s="22" t="s">
        <v>112</v>
      </c>
      <c r="FJ5" s="23"/>
      <c r="FK5" s="24"/>
      <c r="FL5" s="47"/>
      <c r="FM5" s="38"/>
      <c r="FO5" s="55" t="s">
        <v>13</v>
      </c>
      <c r="FP5" s="23"/>
      <c r="FQ5" s="24"/>
      <c r="FR5" s="63"/>
    </row>
    <row r="6" spans="1:174" s="12" customFormat="1" ht="12.75">
      <c r="A6" s="43" t="s">
        <v>10</v>
      </c>
      <c r="C6" s="84"/>
      <c r="D6" s="36"/>
      <c r="E6" s="37"/>
      <c r="F6" s="78" t="s">
        <v>141</v>
      </c>
      <c r="G6" s="38" t="s">
        <v>141</v>
      </c>
      <c r="H6" s="32"/>
      <c r="I6" s="67"/>
      <c r="J6" s="62">
        <v>0.3215535</v>
      </c>
      <c r="K6" s="72"/>
      <c r="L6" s="78" t="s">
        <v>141</v>
      </c>
      <c r="M6" s="38" t="s">
        <v>141</v>
      </c>
      <c r="N6" s="32"/>
      <c r="O6" s="67"/>
      <c r="P6" s="71">
        <f>V6+AB6+AH6+AN6+AT6+AZ6+BF6+BL6+BR6+CD6+CP6+CV6+DB6+DH6+DN6+EL6+ER6+EX6+FD6+FJ6+FP6+BX6+CJ6+DT6+DZ6+EF6</f>
        <v>0.6784465000000001</v>
      </c>
      <c r="Q6" s="72"/>
      <c r="R6" s="78" t="s">
        <v>141</v>
      </c>
      <c r="S6" s="38" t="s">
        <v>141</v>
      </c>
      <c r="T6" s="32"/>
      <c r="U6" s="70"/>
      <c r="V6" s="31">
        <v>0.0550165</v>
      </c>
      <c r="W6" s="72"/>
      <c r="X6" s="78" t="s">
        <v>141</v>
      </c>
      <c r="Y6" s="38" t="s">
        <v>141</v>
      </c>
      <c r="Z6" s="32"/>
      <c r="AA6" s="70"/>
      <c r="AB6" s="31">
        <v>0.0671633</v>
      </c>
      <c r="AC6" s="72"/>
      <c r="AD6" s="78" t="s">
        <v>141</v>
      </c>
      <c r="AE6" s="38" t="s">
        <v>141</v>
      </c>
      <c r="AF6" s="32"/>
      <c r="AG6" s="70"/>
      <c r="AH6" s="31">
        <v>0.0002459</v>
      </c>
      <c r="AI6" s="72"/>
      <c r="AJ6" s="78" t="s">
        <v>141</v>
      </c>
      <c r="AK6" s="38" t="s">
        <v>141</v>
      </c>
      <c r="AL6" s="32"/>
      <c r="AM6" s="70"/>
      <c r="AN6" s="31">
        <v>0.0145161</v>
      </c>
      <c r="AO6" s="72"/>
      <c r="AP6" s="78" t="s">
        <v>141</v>
      </c>
      <c r="AQ6" s="38" t="s">
        <v>141</v>
      </c>
      <c r="AR6" s="32"/>
      <c r="AS6" s="70"/>
      <c r="AT6" s="31">
        <v>0.0667925</v>
      </c>
      <c r="AU6" s="72"/>
      <c r="AV6" s="78" t="s">
        <v>141</v>
      </c>
      <c r="AW6" s="38" t="s">
        <v>141</v>
      </c>
      <c r="AY6" s="70"/>
      <c r="AZ6" s="31">
        <v>0.0105296</v>
      </c>
      <c r="BA6" s="72"/>
      <c r="BB6" s="78" t="s">
        <v>141</v>
      </c>
      <c r="BC6" s="38" t="s">
        <v>141</v>
      </c>
      <c r="BE6" s="70"/>
      <c r="BF6" s="31">
        <v>0.0005849</v>
      </c>
      <c r="BG6" s="72"/>
      <c r="BH6" s="78" t="s">
        <v>141</v>
      </c>
      <c r="BI6" s="38" t="s">
        <v>141</v>
      </c>
      <c r="BK6" s="70"/>
      <c r="BL6" s="31">
        <v>0.0067373</v>
      </c>
      <c r="BM6" s="72"/>
      <c r="BN6" s="78" t="s">
        <v>141</v>
      </c>
      <c r="BO6" s="38" t="s">
        <v>141</v>
      </c>
      <c r="BQ6" s="70"/>
      <c r="BR6" s="31">
        <v>0.0094186</v>
      </c>
      <c r="BS6" s="72"/>
      <c r="BT6" s="78" t="s">
        <v>141</v>
      </c>
      <c r="BU6" s="38" t="s">
        <v>141</v>
      </c>
      <c r="BW6" s="70"/>
      <c r="BX6" s="31">
        <v>0.0013176</v>
      </c>
      <c r="BY6" s="72"/>
      <c r="BZ6" s="78" t="s">
        <v>141</v>
      </c>
      <c r="CA6" s="38" t="s">
        <v>141</v>
      </c>
      <c r="CC6" s="70"/>
      <c r="CD6" s="31">
        <v>0.0068448</v>
      </c>
      <c r="CE6" s="72"/>
      <c r="CF6" s="78" t="s">
        <v>141</v>
      </c>
      <c r="CG6" s="38" t="s">
        <v>141</v>
      </c>
      <c r="CI6" s="70"/>
      <c r="CJ6" s="31">
        <v>0.000389</v>
      </c>
      <c r="CK6" s="72"/>
      <c r="CL6" s="78" t="s">
        <v>141</v>
      </c>
      <c r="CM6" s="38" t="s">
        <v>141</v>
      </c>
      <c r="CO6" s="70"/>
      <c r="CP6" s="31">
        <v>0.0013749</v>
      </c>
      <c r="CQ6" s="72"/>
      <c r="CR6" s="78" t="s">
        <v>141</v>
      </c>
      <c r="CS6" s="38" t="s">
        <v>141</v>
      </c>
      <c r="CU6" s="70"/>
      <c r="CV6" s="31">
        <v>0.0049977</v>
      </c>
      <c r="CW6" s="72"/>
      <c r="CX6" s="78" t="s">
        <v>141</v>
      </c>
      <c r="CY6" s="38" t="s">
        <v>141</v>
      </c>
      <c r="DA6" s="70"/>
      <c r="DB6" s="31">
        <v>0.0341296</v>
      </c>
      <c r="DC6" s="72"/>
      <c r="DD6" s="78" t="s">
        <v>141</v>
      </c>
      <c r="DE6" s="38" t="s">
        <v>141</v>
      </c>
      <c r="DG6" s="70"/>
      <c r="DH6" s="31">
        <v>0.1412511</v>
      </c>
      <c r="DI6" s="72"/>
      <c r="DJ6" s="78" t="s">
        <v>141</v>
      </c>
      <c r="DK6" s="38" t="s">
        <v>141</v>
      </c>
      <c r="DM6" s="70"/>
      <c r="DN6" s="31">
        <v>0.0259668</v>
      </c>
      <c r="DO6" s="72"/>
      <c r="DP6" s="78" t="s">
        <v>141</v>
      </c>
      <c r="DQ6" s="38" t="s">
        <v>141</v>
      </c>
      <c r="DS6" s="70"/>
      <c r="DT6" s="31">
        <v>0.0889019</v>
      </c>
      <c r="DU6" s="72"/>
      <c r="DV6" s="78" t="s">
        <v>141</v>
      </c>
      <c r="DW6" s="38" t="s">
        <v>141</v>
      </c>
      <c r="DY6" s="70"/>
      <c r="DZ6" s="31">
        <v>0.0189545</v>
      </c>
      <c r="EA6" s="72"/>
      <c r="EB6" s="78" t="s">
        <v>141</v>
      </c>
      <c r="EC6" s="38" t="s">
        <v>141</v>
      </c>
      <c r="EE6" s="70"/>
      <c r="EF6" s="31">
        <v>0.0015442</v>
      </c>
      <c r="EG6" s="72"/>
      <c r="EH6" s="78" t="s">
        <v>141</v>
      </c>
      <c r="EI6" s="38" t="s">
        <v>141</v>
      </c>
      <c r="EK6" s="70"/>
      <c r="EL6" s="31">
        <v>0.0018417</v>
      </c>
      <c r="EM6" s="72"/>
      <c r="EN6" s="78" t="s">
        <v>141</v>
      </c>
      <c r="EO6" s="38" t="s">
        <v>141</v>
      </c>
      <c r="EQ6" s="70"/>
      <c r="ER6" s="31">
        <v>0.0037562</v>
      </c>
      <c r="ES6" s="72"/>
      <c r="ET6" s="78" t="s">
        <v>141</v>
      </c>
      <c r="EU6" s="38" t="s">
        <v>141</v>
      </c>
      <c r="EW6" s="70"/>
      <c r="EX6" s="31">
        <v>0.1035336</v>
      </c>
      <c r="EY6" s="72"/>
      <c r="EZ6" s="78" t="s">
        <v>141</v>
      </c>
      <c r="FA6" s="38" t="s">
        <v>141</v>
      </c>
      <c r="FB6" s="27"/>
      <c r="FC6" s="70"/>
      <c r="FD6" s="31">
        <v>0.004021</v>
      </c>
      <c r="FE6" s="72"/>
      <c r="FF6" s="78" t="s">
        <v>141</v>
      </c>
      <c r="FG6" s="38" t="s">
        <v>141</v>
      </c>
      <c r="FI6" s="70"/>
      <c r="FJ6" s="31">
        <v>0.0086172</v>
      </c>
      <c r="FK6" s="72"/>
      <c r="FL6" s="78" t="s">
        <v>141</v>
      </c>
      <c r="FM6" s="38" t="s">
        <v>141</v>
      </c>
      <c r="FO6" s="70"/>
      <c r="FP6" s="31"/>
      <c r="FQ6" s="44"/>
      <c r="FR6" s="27"/>
    </row>
    <row r="7" spans="1:174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G7" s="87" t="s">
        <v>152</v>
      </c>
      <c r="I7" s="38" t="s">
        <v>11</v>
      </c>
      <c r="J7" s="38" t="s">
        <v>12</v>
      </c>
      <c r="K7" s="38" t="s">
        <v>4</v>
      </c>
      <c r="L7" s="38" t="s">
        <v>142</v>
      </c>
      <c r="M7" s="87" t="s">
        <v>152</v>
      </c>
      <c r="O7" s="38" t="s">
        <v>11</v>
      </c>
      <c r="P7" s="38" t="s">
        <v>12</v>
      </c>
      <c r="Q7" s="38" t="s">
        <v>4</v>
      </c>
      <c r="R7" s="38" t="s">
        <v>142</v>
      </c>
      <c r="S7" s="87" t="s">
        <v>152</v>
      </c>
      <c r="U7" s="26" t="s">
        <v>11</v>
      </c>
      <c r="V7" s="26" t="s">
        <v>12</v>
      </c>
      <c r="W7" s="26" t="s">
        <v>4</v>
      </c>
      <c r="X7" s="38" t="s">
        <v>142</v>
      </c>
      <c r="Y7" s="87" t="s">
        <v>152</v>
      </c>
      <c r="AA7" s="26" t="s">
        <v>11</v>
      </c>
      <c r="AB7" s="26" t="s">
        <v>12</v>
      </c>
      <c r="AC7" s="26" t="s">
        <v>4</v>
      </c>
      <c r="AD7" s="38" t="s">
        <v>142</v>
      </c>
      <c r="AE7" s="87" t="s">
        <v>152</v>
      </c>
      <c r="AG7" s="26" t="s">
        <v>11</v>
      </c>
      <c r="AH7" s="26" t="s">
        <v>12</v>
      </c>
      <c r="AI7" s="26" t="s">
        <v>4</v>
      </c>
      <c r="AJ7" s="38" t="s">
        <v>142</v>
      </c>
      <c r="AK7" s="87" t="s">
        <v>152</v>
      </c>
      <c r="AM7" s="26" t="s">
        <v>11</v>
      </c>
      <c r="AN7" s="26" t="s">
        <v>12</v>
      </c>
      <c r="AO7" s="26" t="s">
        <v>4</v>
      </c>
      <c r="AP7" s="38" t="s">
        <v>142</v>
      </c>
      <c r="AQ7" s="87" t="s">
        <v>152</v>
      </c>
      <c r="AS7" s="26" t="s">
        <v>11</v>
      </c>
      <c r="AT7" s="26" t="s">
        <v>12</v>
      </c>
      <c r="AU7" s="26" t="s">
        <v>4</v>
      </c>
      <c r="AV7" s="38" t="s">
        <v>142</v>
      </c>
      <c r="AW7" s="87" t="s">
        <v>152</v>
      </c>
      <c r="AY7" s="26" t="s">
        <v>11</v>
      </c>
      <c r="AZ7" s="26" t="s">
        <v>12</v>
      </c>
      <c r="BA7" s="26" t="s">
        <v>4</v>
      </c>
      <c r="BB7" s="38" t="s">
        <v>142</v>
      </c>
      <c r="BC7" s="87" t="s">
        <v>152</v>
      </c>
      <c r="BE7" s="26" t="s">
        <v>11</v>
      </c>
      <c r="BF7" s="26" t="s">
        <v>12</v>
      </c>
      <c r="BG7" s="26" t="s">
        <v>4</v>
      </c>
      <c r="BH7" s="38" t="s">
        <v>142</v>
      </c>
      <c r="BI7" s="87" t="s">
        <v>152</v>
      </c>
      <c r="BK7" s="26" t="s">
        <v>11</v>
      </c>
      <c r="BL7" s="26" t="s">
        <v>12</v>
      </c>
      <c r="BM7" s="26" t="s">
        <v>4</v>
      </c>
      <c r="BN7" s="38" t="s">
        <v>142</v>
      </c>
      <c r="BO7" s="87" t="s">
        <v>152</v>
      </c>
      <c r="BQ7" s="26" t="s">
        <v>11</v>
      </c>
      <c r="BR7" s="26" t="s">
        <v>12</v>
      </c>
      <c r="BS7" s="26" t="s">
        <v>4</v>
      </c>
      <c r="BT7" s="38" t="s">
        <v>142</v>
      </c>
      <c r="BU7" s="87" t="s">
        <v>152</v>
      </c>
      <c r="BW7" s="26" t="s">
        <v>11</v>
      </c>
      <c r="BX7" s="26" t="s">
        <v>12</v>
      </c>
      <c r="BY7" s="26" t="s">
        <v>4</v>
      </c>
      <c r="BZ7" s="38" t="s">
        <v>142</v>
      </c>
      <c r="CA7" s="87" t="s">
        <v>152</v>
      </c>
      <c r="CC7" s="26" t="s">
        <v>11</v>
      </c>
      <c r="CD7" s="26" t="s">
        <v>12</v>
      </c>
      <c r="CE7" s="26" t="s">
        <v>4</v>
      </c>
      <c r="CF7" s="38" t="s">
        <v>142</v>
      </c>
      <c r="CG7" s="87" t="s">
        <v>152</v>
      </c>
      <c r="CI7" s="26" t="s">
        <v>11</v>
      </c>
      <c r="CJ7" s="26" t="s">
        <v>12</v>
      </c>
      <c r="CK7" s="26" t="s">
        <v>4</v>
      </c>
      <c r="CL7" s="38" t="s">
        <v>142</v>
      </c>
      <c r="CM7" s="87" t="s">
        <v>152</v>
      </c>
      <c r="CO7" s="26" t="s">
        <v>11</v>
      </c>
      <c r="CP7" s="26" t="s">
        <v>12</v>
      </c>
      <c r="CQ7" s="26" t="s">
        <v>4</v>
      </c>
      <c r="CR7" s="38" t="s">
        <v>142</v>
      </c>
      <c r="CS7" s="87" t="s">
        <v>152</v>
      </c>
      <c r="CU7" s="26" t="s">
        <v>11</v>
      </c>
      <c r="CV7" s="26" t="s">
        <v>12</v>
      </c>
      <c r="CW7" s="26" t="s">
        <v>4</v>
      </c>
      <c r="CX7" s="38" t="s">
        <v>142</v>
      </c>
      <c r="CY7" s="87" t="s">
        <v>152</v>
      </c>
      <c r="DA7" s="26" t="s">
        <v>11</v>
      </c>
      <c r="DB7" s="26" t="s">
        <v>12</v>
      </c>
      <c r="DC7" s="26" t="s">
        <v>4</v>
      </c>
      <c r="DD7" s="38" t="s">
        <v>142</v>
      </c>
      <c r="DE7" s="87" t="s">
        <v>152</v>
      </c>
      <c r="DG7" s="26" t="s">
        <v>11</v>
      </c>
      <c r="DH7" s="26" t="s">
        <v>12</v>
      </c>
      <c r="DI7" s="26" t="s">
        <v>4</v>
      </c>
      <c r="DJ7" s="38" t="s">
        <v>142</v>
      </c>
      <c r="DK7" s="87" t="s">
        <v>152</v>
      </c>
      <c r="DM7" s="26" t="s">
        <v>11</v>
      </c>
      <c r="DN7" s="26" t="s">
        <v>12</v>
      </c>
      <c r="DO7" s="26" t="s">
        <v>4</v>
      </c>
      <c r="DP7" s="38" t="s">
        <v>142</v>
      </c>
      <c r="DQ7" s="87" t="s">
        <v>152</v>
      </c>
      <c r="DS7" s="26" t="s">
        <v>11</v>
      </c>
      <c r="DT7" s="26" t="s">
        <v>12</v>
      </c>
      <c r="DU7" s="26" t="s">
        <v>4</v>
      </c>
      <c r="DV7" s="38" t="s">
        <v>142</v>
      </c>
      <c r="DW7" s="87" t="s">
        <v>152</v>
      </c>
      <c r="DY7" s="26" t="s">
        <v>11</v>
      </c>
      <c r="DZ7" s="26" t="s">
        <v>12</v>
      </c>
      <c r="EA7" s="26" t="s">
        <v>4</v>
      </c>
      <c r="EB7" s="38" t="s">
        <v>142</v>
      </c>
      <c r="EC7" s="87" t="s">
        <v>152</v>
      </c>
      <c r="EE7" s="26" t="s">
        <v>11</v>
      </c>
      <c r="EF7" s="26" t="s">
        <v>12</v>
      </c>
      <c r="EG7" s="26" t="s">
        <v>4</v>
      </c>
      <c r="EH7" s="38" t="s">
        <v>142</v>
      </c>
      <c r="EI7" s="87" t="s">
        <v>152</v>
      </c>
      <c r="EK7" s="26" t="s">
        <v>11</v>
      </c>
      <c r="EL7" s="26" t="s">
        <v>12</v>
      </c>
      <c r="EM7" s="26" t="s">
        <v>4</v>
      </c>
      <c r="EN7" s="38" t="s">
        <v>142</v>
      </c>
      <c r="EO7" s="87" t="s">
        <v>152</v>
      </c>
      <c r="EQ7" s="26" t="s">
        <v>11</v>
      </c>
      <c r="ER7" s="26" t="s">
        <v>12</v>
      </c>
      <c r="ES7" s="26" t="s">
        <v>4</v>
      </c>
      <c r="ET7" s="38" t="s">
        <v>142</v>
      </c>
      <c r="EU7" s="87" t="s">
        <v>152</v>
      </c>
      <c r="EW7" s="26" t="s">
        <v>11</v>
      </c>
      <c r="EX7" s="26" t="s">
        <v>12</v>
      </c>
      <c r="EY7" s="26" t="s">
        <v>4</v>
      </c>
      <c r="EZ7" s="38" t="s">
        <v>142</v>
      </c>
      <c r="FA7" s="87" t="s">
        <v>152</v>
      </c>
      <c r="FB7" s="64"/>
      <c r="FC7" s="26" t="s">
        <v>11</v>
      </c>
      <c r="FD7" s="26" t="s">
        <v>12</v>
      </c>
      <c r="FE7" s="26" t="s">
        <v>4</v>
      </c>
      <c r="FF7" s="38" t="s">
        <v>142</v>
      </c>
      <c r="FG7" s="87" t="s">
        <v>152</v>
      </c>
      <c r="FI7" s="26" t="s">
        <v>11</v>
      </c>
      <c r="FJ7" s="26" t="s">
        <v>12</v>
      </c>
      <c r="FK7" s="26" t="s">
        <v>4</v>
      </c>
      <c r="FL7" s="38" t="s">
        <v>142</v>
      </c>
      <c r="FM7" s="87" t="s">
        <v>152</v>
      </c>
      <c r="FO7" s="26" t="s">
        <v>11</v>
      </c>
      <c r="FP7" s="26" t="s">
        <v>12</v>
      </c>
      <c r="FQ7" s="26" t="s">
        <v>4</v>
      </c>
      <c r="FR7" s="64"/>
    </row>
    <row r="8" spans="1:174" ht="12.75">
      <c r="A8" s="50">
        <v>44105</v>
      </c>
      <c r="D8" s="34">
        <v>952000</v>
      </c>
      <c r="E8" s="34">
        <f aca="true" t="shared" si="0" ref="E8:E25">C8+D8</f>
        <v>952000</v>
      </c>
      <c r="F8" s="34">
        <v>374379</v>
      </c>
      <c r="G8" s="34">
        <v>7574</v>
      </c>
      <c r="I8" s="49">
        <f>'2019B Academic'!I8</f>
        <v>0</v>
      </c>
      <c r="J8" s="49">
        <f>'2019B Academic'!J8</f>
        <v>306118.932</v>
      </c>
      <c r="K8" s="49">
        <f aca="true" t="shared" si="1" ref="K8:K25">I8+J8</f>
        <v>306118.932</v>
      </c>
      <c r="L8" s="49">
        <f>'2019B Academic'!L8</f>
        <v>120382.8777765</v>
      </c>
      <c r="M8" s="49">
        <f>'2019B Academic'!M8</f>
        <v>2435.4462089999997</v>
      </c>
      <c r="O8" s="49"/>
      <c r="P8" s="39">
        <f aca="true" t="shared" si="2" ref="P8:P25">V8+AB8+AH8+AN8+AT8+AZ8+BF8+BL8+BR8+CD8+CP8+CV8+DB8+DH8+DN8+EL8+ER8+EX8+FD8+FJ8+FP8+BX8+CJ8+DT8+DZ8+EF8</f>
        <v>645881.0680000001</v>
      </c>
      <c r="Q8" s="32">
        <f aca="true" t="shared" si="3" ref="Q8:Q25">O8+P8</f>
        <v>645881.0680000001</v>
      </c>
      <c r="R8" s="39">
        <f aca="true" t="shared" si="4" ref="R8:R25">X8+AD8+AJ8+AP8+AV8+BB8+BH8+BN8+BT8+CF8+CR8+CX8+DD8+DJ8+DP8+EN8+ET8+EZ8+FF8+FL8+FS8+BZ8+CL8+DV8+EB8+EH8</f>
        <v>253996.12222350002</v>
      </c>
      <c r="S8" s="39">
        <f aca="true" t="shared" si="5" ref="S8:S25">Y8+AE8+AK8+AQ8+AW8+BC8+BI8+BO8+BU8+CG8+CS8+CY8+DE8+DK8+DQ8+EO8+EU8+FA8+FG8+FM8+FT8+CA8+CM8+DW8+EC8+EI8</f>
        <v>5138.553790999999</v>
      </c>
      <c r="U8" s="63"/>
      <c r="V8" s="63">
        <f aca="true" t="shared" si="6" ref="V8:V25">D8*$V$6</f>
        <v>52375.708000000006</v>
      </c>
      <c r="W8" s="20">
        <f aca="true" t="shared" si="7" ref="W8:W25">U8+V8</f>
        <v>52375.708000000006</v>
      </c>
      <c r="X8" s="63">
        <f aca="true" t="shared" si="8" ref="X8:X25">V$6*$F8</f>
        <v>20597.0222535</v>
      </c>
      <c r="Y8" s="63">
        <f aca="true" t="shared" si="9" ref="Y8:Y25">V$6*$G8</f>
        <v>416.694971</v>
      </c>
      <c r="AA8" s="63"/>
      <c r="AB8" s="63">
        <f aca="true" t="shared" si="10" ref="AB8:AB25">D8*$AB$6</f>
        <v>63939.461599999995</v>
      </c>
      <c r="AC8" s="20">
        <f aca="true" t="shared" si="11" ref="AC8:AC25">AA8+AB8</f>
        <v>63939.461599999995</v>
      </c>
      <c r="AD8" s="63">
        <f aca="true" t="shared" si="12" ref="AD8:AD25">AB$6*$F8</f>
        <v>25144.529090699998</v>
      </c>
      <c r="AE8" s="63">
        <f aca="true" t="shared" si="13" ref="AE8:AE25">AB$6*$G8</f>
        <v>508.69483419999995</v>
      </c>
      <c r="AH8" s="32">
        <f aca="true" t="shared" si="14" ref="AH8:AH25">D8*$AH$6</f>
        <v>234.0968</v>
      </c>
      <c r="AI8" s="32">
        <f aca="true" t="shared" si="15" ref="AI8:AI25">AG8+AH8</f>
        <v>234.0968</v>
      </c>
      <c r="AJ8" s="63">
        <f aca="true" t="shared" si="16" ref="AJ8:AJ25">AH$6*$F8</f>
        <v>92.0597961</v>
      </c>
      <c r="AK8" s="63">
        <f aca="true" t="shared" si="17" ref="AK8:AK25">AH$6*$G8</f>
        <v>1.8624466000000002</v>
      </c>
      <c r="AM8" s="63"/>
      <c r="AN8" s="63">
        <f aca="true" t="shared" si="18" ref="AN8:AN25">D8*$AN$6</f>
        <v>13819.3272</v>
      </c>
      <c r="AO8" s="20">
        <f aca="true" t="shared" si="19" ref="AO8:AO25">AM8+AN8</f>
        <v>13819.3272</v>
      </c>
      <c r="AP8" s="63">
        <f aca="true" t="shared" si="20" ref="AP8:AP25">AN$6*$F8</f>
        <v>5434.5230019</v>
      </c>
      <c r="AQ8" s="63">
        <f aca="true" t="shared" si="21" ref="AQ8:AQ25">AN$6*$G8</f>
        <v>109.9449414</v>
      </c>
      <c r="AS8" s="63"/>
      <c r="AT8" s="63">
        <f aca="true" t="shared" si="22" ref="AT8:AT25">D8*$AT$6</f>
        <v>63586.46000000001</v>
      </c>
      <c r="AU8" s="20">
        <f aca="true" t="shared" si="23" ref="AU8:AU25">AS8+AT8</f>
        <v>63586.46000000001</v>
      </c>
      <c r="AV8" s="63">
        <f aca="true" t="shared" si="24" ref="AV8:AV25">AT$6*$F8</f>
        <v>25005.709357500004</v>
      </c>
      <c r="AW8" s="63">
        <f aca="true" t="shared" si="25" ref="AW8:AW25">AT$6*$G8</f>
        <v>505.88639500000005</v>
      </c>
      <c r="AX8" s="32"/>
      <c r="AY8" s="63"/>
      <c r="AZ8" s="63">
        <f aca="true" t="shared" si="26" ref="AZ8:AZ25">D8*$AZ$6</f>
        <v>10024.1792</v>
      </c>
      <c r="BA8" s="20">
        <f aca="true" t="shared" si="27" ref="BA8:BA25">AY8+AZ8</f>
        <v>10024.1792</v>
      </c>
      <c r="BB8" s="63">
        <f aca="true" t="shared" si="28" ref="BB8:BB25">AZ$6*$F8</f>
        <v>3942.0611184</v>
      </c>
      <c r="BC8" s="63">
        <f aca="true" t="shared" si="29" ref="BC8:BC25">AZ$6*$G8</f>
        <v>79.7511904</v>
      </c>
      <c r="BD8" s="32"/>
      <c r="BE8" s="49"/>
      <c r="BF8" s="49">
        <f aca="true" t="shared" si="30" ref="BF8:BF25">D8*$BF$6</f>
        <v>556.8248</v>
      </c>
      <c r="BG8" s="32">
        <f aca="true" t="shared" si="31" ref="BG8:BG25">BE8+BF8</f>
        <v>556.8248</v>
      </c>
      <c r="BH8" s="63">
        <f aca="true" t="shared" si="32" ref="BH8:BH25">BF$6*$F8</f>
        <v>218.9742771</v>
      </c>
      <c r="BI8" s="63">
        <f aca="true" t="shared" si="33" ref="BI8:BI25">BF$6*$G8</f>
        <v>4.4300326</v>
      </c>
      <c r="BJ8" s="32"/>
      <c r="BK8" s="32"/>
      <c r="BL8" s="32">
        <f aca="true" t="shared" si="34" ref="BL8:BL25">D8*$BL$6</f>
        <v>6413.9096</v>
      </c>
      <c r="BM8" s="32">
        <f aca="true" t="shared" si="35" ref="BM8:BM25">BK8+BL8</f>
        <v>6413.9096</v>
      </c>
      <c r="BN8" s="63">
        <f aca="true" t="shared" si="36" ref="BN8:BN25">BL$6*$F8</f>
        <v>2522.3036367</v>
      </c>
      <c r="BO8" s="63">
        <f aca="true" t="shared" si="37" ref="BO8:BO25">BL$6*$G8</f>
        <v>51.0283102</v>
      </c>
      <c r="BP8" s="32"/>
      <c r="BQ8" s="49"/>
      <c r="BR8" s="49">
        <f aca="true" t="shared" si="38" ref="BR8:BR25">D8*$BR$6</f>
        <v>8966.5072</v>
      </c>
      <c r="BS8" s="32">
        <f aca="true" t="shared" si="39" ref="BS8:BS25">BQ8+BR8</f>
        <v>8966.5072</v>
      </c>
      <c r="BT8" s="63">
        <f aca="true" t="shared" si="40" ref="BT8:BT25">BR$6*$F8</f>
        <v>3526.1260494</v>
      </c>
      <c r="BU8" s="63">
        <f aca="true" t="shared" si="41" ref="BU8:BU25">BR$6*$G8</f>
        <v>71.3364764</v>
      </c>
      <c r="BV8" s="32"/>
      <c r="BW8" s="49"/>
      <c r="BX8" s="49">
        <f aca="true" t="shared" si="42" ref="BX8:BX25">D8*$BX$6</f>
        <v>1254.3552</v>
      </c>
      <c r="BY8" s="32">
        <f aca="true" t="shared" si="43" ref="BY8:BY25">BW8+BX8</f>
        <v>1254.3552</v>
      </c>
      <c r="BZ8" s="63">
        <f aca="true" t="shared" si="44" ref="BZ8:BZ25">BX$6*$F8</f>
        <v>493.28177039999997</v>
      </c>
      <c r="CA8" s="63">
        <f aca="true" t="shared" si="45" ref="CA8:CA25">BX$6*$G8</f>
        <v>9.9795024</v>
      </c>
      <c r="CB8" s="32"/>
      <c r="CC8" s="49"/>
      <c r="CD8" s="49">
        <f aca="true" t="shared" si="46" ref="CD8:CD25">D8*$CD$6</f>
        <v>6516.2496</v>
      </c>
      <c r="CE8" s="32">
        <f aca="true" t="shared" si="47" ref="CE8:CE25">CC8+CD8</f>
        <v>6516.2496</v>
      </c>
      <c r="CF8" s="63">
        <f aca="true" t="shared" si="48" ref="CF8:CF25">CD$6*$F8</f>
        <v>2562.5493791999997</v>
      </c>
      <c r="CG8" s="63">
        <f aca="true" t="shared" si="49" ref="CG8:CG25">CD$6*$G8</f>
        <v>51.8425152</v>
      </c>
      <c r="CH8" s="32"/>
      <c r="CI8" s="49"/>
      <c r="CJ8" s="49">
        <f aca="true" t="shared" si="50" ref="CJ8:CJ25">D8*$CJ$6</f>
        <v>370.32800000000003</v>
      </c>
      <c r="CK8" s="32">
        <f aca="true" t="shared" si="51" ref="CK8:CK25">CI8+CJ8</f>
        <v>370.32800000000003</v>
      </c>
      <c r="CL8" s="63">
        <f aca="true" t="shared" si="52" ref="CL8:CL25">CJ$6*$F8</f>
        <v>145.633431</v>
      </c>
      <c r="CM8" s="63">
        <f aca="true" t="shared" si="53" ref="CM8:CM25">CJ$6*$G8</f>
        <v>2.946286</v>
      </c>
      <c r="CN8" s="32"/>
      <c r="CO8" s="49"/>
      <c r="CP8" s="49">
        <f aca="true" t="shared" si="54" ref="CP8:CP25">D8*$CP$6</f>
        <v>1308.9048</v>
      </c>
      <c r="CQ8" s="32">
        <f aca="true" t="shared" si="55" ref="CQ8:CQ25">CO8+CP8</f>
        <v>1308.9048</v>
      </c>
      <c r="CR8" s="63">
        <f aca="true" t="shared" si="56" ref="CR8:CR25">CP$6*$F8</f>
        <v>514.7336871</v>
      </c>
      <c r="CS8" s="63">
        <f aca="true" t="shared" si="57" ref="CS8:CS25">CP$6*$G8</f>
        <v>10.413492600000001</v>
      </c>
      <c r="CT8" s="32"/>
      <c r="CU8" s="32"/>
      <c r="CV8" s="32">
        <f aca="true" t="shared" si="58" ref="CV8:CV25">D8*$CV$6</f>
        <v>4757.8104</v>
      </c>
      <c r="CW8" s="32">
        <f aca="true" t="shared" si="59" ref="CW8:CW25">CU8+CV8</f>
        <v>4757.8104</v>
      </c>
      <c r="CX8" s="63">
        <f aca="true" t="shared" si="60" ref="CX8:CX25">CV$6*$F8</f>
        <v>1871.0339283</v>
      </c>
      <c r="CY8" s="63">
        <f aca="true" t="shared" si="61" ref="CY8:CY25">CV$6*$G8</f>
        <v>37.8525798</v>
      </c>
      <c r="CZ8" s="32"/>
      <c r="DA8" s="49"/>
      <c r="DB8" s="49">
        <f aca="true" t="shared" si="62" ref="DB8:DB25">D8*$DB$6</f>
        <v>32491.379200000003</v>
      </c>
      <c r="DC8" s="32">
        <f aca="true" t="shared" si="63" ref="DC8:DC25">DA8+DB8</f>
        <v>32491.379200000003</v>
      </c>
      <c r="DD8" s="63">
        <f aca="true" t="shared" si="64" ref="DD8:DD25">DB$6*$F8</f>
        <v>12777.4055184</v>
      </c>
      <c r="DE8" s="63">
        <f aca="true" t="shared" si="65" ref="DE8:DE25">DB$6*$G8</f>
        <v>258.49759040000004</v>
      </c>
      <c r="DF8" s="32"/>
      <c r="DG8" s="49"/>
      <c r="DH8" s="49">
        <f aca="true" t="shared" si="66" ref="DH8:DH25">D8*$DH$6</f>
        <v>134471.0472</v>
      </c>
      <c r="DI8" s="32">
        <f aca="true" t="shared" si="67" ref="DI8:DI25">DG8+DH8</f>
        <v>134471.0472</v>
      </c>
      <c r="DJ8" s="63">
        <f aca="true" t="shared" si="68" ref="DJ8:DJ25">DH$6*$F8</f>
        <v>52881.445566899994</v>
      </c>
      <c r="DK8" s="63">
        <f aca="true" t="shared" si="69" ref="DK8:DK25">DH$6*$G8</f>
        <v>1069.8358314</v>
      </c>
      <c r="DL8" s="32"/>
      <c r="DM8" s="49"/>
      <c r="DN8" s="49">
        <f aca="true" t="shared" si="70" ref="DN8:DN25">D8*$DN$6</f>
        <v>24720.393600000003</v>
      </c>
      <c r="DO8" s="32">
        <f aca="true" t="shared" si="71" ref="DO8:DO25">DM8+DN8</f>
        <v>24720.393600000003</v>
      </c>
      <c r="DP8" s="63">
        <f aca="true" t="shared" si="72" ref="DP8:DP25">DN$6*$F8</f>
        <v>9721.4246172</v>
      </c>
      <c r="DQ8" s="63">
        <f aca="true" t="shared" si="73" ref="DQ8:DQ25">DN$6*$G8</f>
        <v>196.6725432</v>
      </c>
      <c r="DR8" s="32"/>
      <c r="DS8" s="49"/>
      <c r="DT8" s="49">
        <f aca="true" t="shared" si="74" ref="DT8:DT25">D8*$DT$6</f>
        <v>84634.6088</v>
      </c>
      <c r="DU8" s="32">
        <f aca="true" t="shared" si="75" ref="DU8:DU25">DS8+DT8</f>
        <v>84634.6088</v>
      </c>
      <c r="DV8" s="63">
        <f aca="true" t="shared" si="76" ref="DV8:DV25">DT$6*$F8</f>
        <v>33283.004420100006</v>
      </c>
      <c r="DW8" s="63">
        <f aca="true" t="shared" si="77" ref="DW8:DW25">DT$6*$G8</f>
        <v>673.3429906</v>
      </c>
      <c r="DX8" s="32"/>
      <c r="DY8" s="49"/>
      <c r="DZ8" s="49">
        <f aca="true" t="shared" si="78" ref="DZ8:DZ25">D8*$DZ$6</f>
        <v>18044.683999999997</v>
      </c>
      <c r="EA8" s="32">
        <f aca="true" t="shared" si="79" ref="EA8:EA25">DY8+DZ8</f>
        <v>18044.683999999997</v>
      </c>
      <c r="EB8" s="63">
        <f aca="true" t="shared" si="80" ref="EB8:EB25">DZ$6*$F8</f>
        <v>7096.166755499999</v>
      </c>
      <c r="EC8" s="63">
        <f aca="true" t="shared" si="81" ref="EC8:EC25">DZ$6*$G8</f>
        <v>143.561383</v>
      </c>
      <c r="ED8" s="32"/>
      <c r="EE8" s="49"/>
      <c r="EF8" s="49">
        <f aca="true" t="shared" si="82" ref="EF8:EF25">D8*$EF$6</f>
        <v>1470.0783999999999</v>
      </c>
      <c r="EG8" s="32">
        <f aca="true" t="shared" si="83" ref="EG8:EG25">EE8+EF8</f>
        <v>1470.0783999999999</v>
      </c>
      <c r="EH8" s="63">
        <f aca="true" t="shared" si="84" ref="EH8:EH25">EF$6*$F8</f>
        <v>578.1160517999999</v>
      </c>
      <c r="EI8" s="63">
        <f aca="true" t="shared" si="85" ref="EI8:EI25">EF$6*$G8</f>
        <v>11.6957708</v>
      </c>
      <c r="EJ8" s="32"/>
      <c r="EK8" s="49"/>
      <c r="EL8" s="49">
        <f aca="true" t="shared" si="86" ref="EL8:EL25">D8*$EL$6</f>
        <v>1753.2984</v>
      </c>
      <c r="EM8" s="32">
        <f aca="true" t="shared" si="87" ref="EM8:EM25">EK8+EL8</f>
        <v>1753.2984</v>
      </c>
      <c r="EN8" s="63">
        <f aca="true" t="shared" si="88" ref="EN8:EN25">EL$6*$F8</f>
        <v>689.4938043</v>
      </c>
      <c r="EO8" s="63">
        <f aca="true" t="shared" si="89" ref="EO8:EO25">EL$6*$G8</f>
        <v>13.949035799999999</v>
      </c>
      <c r="EP8" s="32"/>
      <c r="EQ8" s="49"/>
      <c r="ER8" s="49">
        <f aca="true" t="shared" si="90" ref="ER8:ER25">D8*$ER$6</f>
        <v>3575.9024</v>
      </c>
      <c r="ES8" s="32">
        <f aca="true" t="shared" si="91" ref="ES8:ES25">EQ8+ER8</f>
        <v>3575.9024</v>
      </c>
      <c r="ET8" s="63">
        <f aca="true" t="shared" si="92" ref="ET8:ET25">ER$6*$F8</f>
        <v>1406.2423998</v>
      </c>
      <c r="EU8" s="63">
        <f aca="true" t="shared" si="93" ref="EU8:EU25">ER$6*$G8</f>
        <v>28.4494588</v>
      </c>
      <c r="EV8" s="32"/>
      <c r="EW8" s="49"/>
      <c r="EX8" s="49">
        <f aca="true" t="shared" si="94" ref="EX8:EX25">D8*$EX$6</f>
        <v>98563.9872</v>
      </c>
      <c r="EY8" s="32">
        <f aca="true" t="shared" si="95" ref="EY8:EY25">EW8+EX8</f>
        <v>98563.9872</v>
      </c>
      <c r="EZ8" s="63">
        <f aca="true" t="shared" si="96" ref="EZ8:EZ25">EX$6*$F8</f>
        <v>38760.8056344</v>
      </c>
      <c r="FA8" s="63">
        <f aca="true" t="shared" si="97" ref="FA8:FA25">EX$6*$G8</f>
        <v>784.1634864</v>
      </c>
      <c r="FB8" s="32"/>
      <c r="FC8" s="32"/>
      <c r="FD8" s="32">
        <f aca="true" t="shared" si="98" ref="FD8:FD25">D8*$FD$6</f>
        <v>3827.992</v>
      </c>
      <c r="FE8" s="32">
        <f aca="true" t="shared" si="99" ref="FE8:FE25">FC8+FD8</f>
        <v>3827.992</v>
      </c>
      <c r="FF8" s="63">
        <f aca="true" t="shared" si="100" ref="FF8:FF25">FD$6*$F8</f>
        <v>1505.3779590000001</v>
      </c>
      <c r="FG8" s="63">
        <f aca="true" t="shared" si="101" ref="FG8:FG25">FD$6*$G8</f>
        <v>30.455054</v>
      </c>
      <c r="FH8" s="32"/>
      <c r="FI8" s="49"/>
      <c r="FJ8" s="49">
        <f aca="true" t="shared" si="102" ref="FJ8:FJ25">D8*$FJ$6</f>
        <v>8203.5744</v>
      </c>
      <c r="FK8" s="32">
        <f aca="true" t="shared" si="103" ref="FK8:FK25">FI8+FJ8</f>
        <v>8203.5744</v>
      </c>
      <c r="FL8" s="63">
        <f aca="true" t="shared" si="104" ref="FL8:FL25">FJ$6*$F8</f>
        <v>3226.0987188</v>
      </c>
      <c r="FM8" s="63">
        <f aca="true" t="shared" si="105" ref="FM8:FM25">FJ$6*$G8</f>
        <v>65.2666728</v>
      </c>
      <c r="FN8" s="32"/>
      <c r="FO8" s="32"/>
      <c r="FP8" s="32"/>
      <c r="FQ8" s="32"/>
      <c r="FR8" s="32"/>
    </row>
    <row r="9" spans="1:174" ht="12.75">
      <c r="A9" s="50">
        <v>44287</v>
      </c>
      <c r="D9" s="34">
        <v>952000</v>
      </c>
      <c r="E9" s="34">
        <f t="shared" si="0"/>
        <v>952000</v>
      </c>
      <c r="F9" s="34">
        <v>374379</v>
      </c>
      <c r="G9" s="34">
        <v>7574</v>
      </c>
      <c r="I9" s="49">
        <f>'2019B Academic'!I9</f>
        <v>0</v>
      </c>
      <c r="J9" s="49">
        <f>'2019B Academic'!J9</f>
        <v>306118.932</v>
      </c>
      <c r="K9" s="49">
        <f t="shared" si="1"/>
        <v>306118.932</v>
      </c>
      <c r="L9" s="49">
        <f>'2019B Academic'!L9</f>
        <v>120382.8777765</v>
      </c>
      <c r="M9" s="49">
        <f>'2019B Academic'!M9</f>
        <v>2435.4462089999997</v>
      </c>
      <c r="O9" s="49">
        <f aca="true" t="shared" si="106" ref="O9:O25">U9+AA9+AG9+AM9+AS9+AY9+BE9+BK9+BQ9+CC9+CO9+CU9+DA9+DG9+DM9+EK9+EQ9+EW9+FC9+FI9+FO9+BW9+CI9+DS9+DY9+EE9</f>
        <v>0</v>
      </c>
      <c r="P9" s="39">
        <f t="shared" si="2"/>
        <v>645881.0680000001</v>
      </c>
      <c r="Q9" s="32">
        <f t="shared" si="3"/>
        <v>645881.0680000001</v>
      </c>
      <c r="R9" s="39">
        <f t="shared" si="4"/>
        <v>253996.12222350002</v>
      </c>
      <c r="S9" s="39">
        <f t="shared" si="5"/>
        <v>5138.553790999999</v>
      </c>
      <c r="U9" s="63">
        <f aca="true" t="shared" si="107" ref="U9:U25">C9*$V$6</f>
        <v>0</v>
      </c>
      <c r="V9" s="63">
        <f t="shared" si="6"/>
        <v>52375.708000000006</v>
      </c>
      <c r="W9" s="20">
        <f t="shared" si="7"/>
        <v>52375.708000000006</v>
      </c>
      <c r="X9" s="63">
        <f t="shared" si="8"/>
        <v>20597.0222535</v>
      </c>
      <c r="Y9" s="63">
        <f t="shared" si="9"/>
        <v>416.694971</v>
      </c>
      <c r="AA9" s="63">
        <f aca="true" t="shared" si="108" ref="AA9:AA25">C9*$AB$6</f>
        <v>0</v>
      </c>
      <c r="AB9" s="63">
        <f t="shared" si="10"/>
        <v>63939.461599999995</v>
      </c>
      <c r="AC9" s="20">
        <f t="shared" si="11"/>
        <v>63939.461599999995</v>
      </c>
      <c r="AD9" s="63">
        <f t="shared" si="12"/>
        <v>25144.529090699998</v>
      </c>
      <c r="AE9" s="63">
        <f t="shared" si="13"/>
        <v>508.69483419999995</v>
      </c>
      <c r="AG9" s="32">
        <f aca="true" t="shared" si="109" ref="AG9:AG25">C9*$AH$6</f>
        <v>0</v>
      </c>
      <c r="AH9" s="32">
        <f t="shared" si="14"/>
        <v>234.0968</v>
      </c>
      <c r="AI9" s="32">
        <f t="shared" si="15"/>
        <v>234.0968</v>
      </c>
      <c r="AJ9" s="63">
        <f t="shared" si="16"/>
        <v>92.0597961</v>
      </c>
      <c r="AK9" s="63">
        <f t="shared" si="17"/>
        <v>1.8624466000000002</v>
      </c>
      <c r="AM9" s="63">
        <f aca="true" t="shared" si="110" ref="AM9:AM25">C9*$AN$6</f>
        <v>0</v>
      </c>
      <c r="AN9" s="63">
        <f t="shared" si="18"/>
        <v>13819.3272</v>
      </c>
      <c r="AO9" s="20">
        <f t="shared" si="19"/>
        <v>13819.3272</v>
      </c>
      <c r="AP9" s="63">
        <f t="shared" si="20"/>
        <v>5434.5230019</v>
      </c>
      <c r="AQ9" s="63">
        <f t="shared" si="21"/>
        <v>109.9449414</v>
      </c>
      <c r="AS9" s="63">
        <f aca="true" t="shared" si="111" ref="AS9:AS25">C9*$AT$6</f>
        <v>0</v>
      </c>
      <c r="AT9" s="63">
        <f t="shared" si="22"/>
        <v>63586.46000000001</v>
      </c>
      <c r="AU9" s="20">
        <f t="shared" si="23"/>
        <v>63586.46000000001</v>
      </c>
      <c r="AV9" s="63">
        <f t="shared" si="24"/>
        <v>25005.709357500004</v>
      </c>
      <c r="AW9" s="63">
        <f t="shared" si="25"/>
        <v>505.88639500000005</v>
      </c>
      <c r="AX9" s="32"/>
      <c r="AY9" s="63">
        <f aca="true" t="shared" si="112" ref="AY9:AY25">C9*$AZ$6</f>
        <v>0</v>
      </c>
      <c r="AZ9" s="63">
        <f t="shared" si="26"/>
        <v>10024.1792</v>
      </c>
      <c r="BA9" s="20">
        <f t="shared" si="27"/>
        <v>10024.1792</v>
      </c>
      <c r="BB9" s="63">
        <f t="shared" si="28"/>
        <v>3942.0611184</v>
      </c>
      <c r="BC9" s="63">
        <f t="shared" si="29"/>
        <v>79.7511904</v>
      </c>
      <c r="BD9" s="32"/>
      <c r="BE9" s="49">
        <f aca="true" t="shared" si="113" ref="BE9:BE25">C9*$BF$6</f>
        <v>0</v>
      </c>
      <c r="BF9" s="49">
        <f t="shared" si="30"/>
        <v>556.8248</v>
      </c>
      <c r="BG9" s="32">
        <f t="shared" si="31"/>
        <v>556.8248</v>
      </c>
      <c r="BH9" s="63">
        <f t="shared" si="32"/>
        <v>218.9742771</v>
      </c>
      <c r="BI9" s="63">
        <f t="shared" si="33"/>
        <v>4.4300326</v>
      </c>
      <c r="BJ9" s="32"/>
      <c r="BK9" s="32">
        <f aca="true" t="shared" si="114" ref="BK9:BK25">C9*$BL$6</f>
        <v>0</v>
      </c>
      <c r="BL9" s="32">
        <f t="shared" si="34"/>
        <v>6413.9096</v>
      </c>
      <c r="BM9" s="32">
        <f t="shared" si="35"/>
        <v>6413.9096</v>
      </c>
      <c r="BN9" s="63">
        <f t="shared" si="36"/>
        <v>2522.3036367</v>
      </c>
      <c r="BO9" s="63">
        <f t="shared" si="37"/>
        <v>51.0283102</v>
      </c>
      <c r="BP9" s="32"/>
      <c r="BQ9" s="49">
        <f aca="true" t="shared" si="115" ref="BQ9:BQ25">C9*$BR$6</f>
        <v>0</v>
      </c>
      <c r="BR9" s="49">
        <f t="shared" si="38"/>
        <v>8966.5072</v>
      </c>
      <c r="BS9" s="32">
        <f t="shared" si="39"/>
        <v>8966.5072</v>
      </c>
      <c r="BT9" s="63">
        <f t="shared" si="40"/>
        <v>3526.1260494</v>
      </c>
      <c r="BU9" s="63">
        <f t="shared" si="41"/>
        <v>71.3364764</v>
      </c>
      <c r="BV9" s="32"/>
      <c r="BW9" s="49">
        <f aca="true" t="shared" si="116" ref="BW9:BW25">C9*$BX$6</f>
        <v>0</v>
      </c>
      <c r="BX9" s="49">
        <f t="shared" si="42"/>
        <v>1254.3552</v>
      </c>
      <c r="BY9" s="32">
        <f t="shared" si="43"/>
        <v>1254.3552</v>
      </c>
      <c r="BZ9" s="63">
        <f t="shared" si="44"/>
        <v>493.28177039999997</v>
      </c>
      <c r="CA9" s="63">
        <f t="shared" si="45"/>
        <v>9.9795024</v>
      </c>
      <c r="CB9" s="32"/>
      <c r="CC9" s="49">
        <f aca="true" t="shared" si="117" ref="CC9:CC25">C9*$CD$6</f>
        <v>0</v>
      </c>
      <c r="CD9" s="49">
        <f t="shared" si="46"/>
        <v>6516.2496</v>
      </c>
      <c r="CE9" s="32">
        <f t="shared" si="47"/>
        <v>6516.2496</v>
      </c>
      <c r="CF9" s="63">
        <f t="shared" si="48"/>
        <v>2562.5493791999997</v>
      </c>
      <c r="CG9" s="63">
        <f t="shared" si="49"/>
        <v>51.8425152</v>
      </c>
      <c r="CH9" s="32"/>
      <c r="CI9" s="49">
        <f aca="true" t="shared" si="118" ref="CI9:CI25">C9*$CJ$6</f>
        <v>0</v>
      </c>
      <c r="CJ9" s="49">
        <f t="shared" si="50"/>
        <v>370.32800000000003</v>
      </c>
      <c r="CK9" s="32">
        <f t="shared" si="51"/>
        <v>370.32800000000003</v>
      </c>
      <c r="CL9" s="63">
        <f t="shared" si="52"/>
        <v>145.633431</v>
      </c>
      <c r="CM9" s="63">
        <f t="shared" si="53"/>
        <v>2.946286</v>
      </c>
      <c r="CN9" s="32"/>
      <c r="CO9" s="49">
        <f aca="true" t="shared" si="119" ref="CO9:CO25">C9*$CP$6</f>
        <v>0</v>
      </c>
      <c r="CP9" s="49">
        <f t="shared" si="54"/>
        <v>1308.9048</v>
      </c>
      <c r="CQ9" s="32">
        <f t="shared" si="55"/>
        <v>1308.9048</v>
      </c>
      <c r="CR9" s="63">
        <f t="shared" si="56"/>
        <v>514.7336871</v>
      </c>
      <c r="CS9" s="63">
        <f t="shared" si="57"/>
        <v>10.413492600000001</v>
      </c>
      <c r="CT9" s="32"/>
      <c r="CU9" s="32">
        <f aca="true" t="shared" si="120" ref="CU9:CU25">C9*$CV$6</f>
        <v>0</v>
      </c>
      <c r="CV9" s="32">
        <f t="shared" si="58"/>
        <v>4757.8104</v>
      </c>
      <c r="CW9" s="32">
        <f t="shared" si="59"/>
        <v>4757.8104</v>
      </c>
      <c r="CX9" s="63">
        <f t="shared" si="60"/>
        <v>1871.0339283</v>
      </c>
      <c r="CY9" s="63">
        <f t="shared" si="61"/>
        <v>37.8525798</v>
      </c>
      <c r="CZ9" s="32"/>
      <c r="DA9" s="49">
        <f aca="true" t="shared" si="121" ref="DA9:DA25">C9*$DB$6</f>
        <v>0</v>
      </c>
      <c r="DB9" s="49">
        <f t="shared" si="62"/>
        <v>32491.379200000003</v>
      </c>
      <c r="DC9" s="32">
        <f t="shared" si="63"/>
        <v>32491.379200000003</v>
      </c>
      <c r="DD9" s="63">
        <f t="shared" si="64"/>
        <v>12777.4055184</v>
      </c>
      <c r="DE9" s="63">
        <f t="shared" si="65"/>
        <v>258.49759040000004</v>
      </c>
      <c r="DF9" s="32"/>
      <c r="DG9" s="49">
        <f aca="true" t="shared" si="122" ref="DG9:DG25">C9*$DH$6</f>
        <v>0</v>
      </c>
      <c r="DH9" s="49">
        <f t="shared" si="66"/>
        <v>134471.0472</v>
      </c>
      <c r="DI9" s="32">
        <f t="shared" si="67"/>
        <v>134471.0472</v>
      </c>
      <c r="DJ9" s="63">
        <f t="shared" si="68"/>
        <v>52881.445566899994</v>
      </c>
      <c r="DK9" s="63">
        <f t="shared" si="69"/>
        <v>1069.8358314</v>
      </c>
      <c r="DL9" s="32"/>
      <c r="DM9" s="49">
        <f aca="true" t="shared" si="123" ref="DM9:DM25">C9*$DN$6</f>
        <v>0</v>
      </c>
      <c r="DN9" s="49">
        <f t="shared" si="70"/>
        <v>24720.393600000003</v>
      </c>
      <c r="DO9" s="32">
        <f t="shared" si="71"/>
        <v>24720.393600000003</v>
      </c>
      <c r="DP9" s="63">
        <f t="shared" si="72"/>
        <v>9721.4246172</v>
      </c>
      <c r="DQ9" s="63">
        <f t="shared" si="73"/>
        <v>196.6725432</v>
      </c>
      <c r="DR9" s="32"/>
      <c r="DS9" s="49">
        <f aca="true" t="shared" si="124" ref="DS9:DS25">C9*$DT$6</f>
        <v>0</v>
      </c>
      <c r="DT9" s="49">
        <f t="shared" si="74"/>
        <v>84634.6088</v>
      </c>
      <c r="DU9" s="32">
        <f t="shared" si="75"/>
        <v>84634.6088</v>
      </c>
      <c r="DV9" s="63">
        <f t="shared" si="76"/>
        <v>33283.004420100006</v>
      </c>
      <c r="DW9" s="63">
        <f t="shared" si="77"/>
        <v>673.3429906</v>
      </c>
      <c r="DX9" s="32"/>
      <c r="DY9" s="49">
        <f aca="true" t="shared" si="125" ref="DY9:DY25">C9*$DZ$6</f>
        <v>0</v>
      </c>
      <c r="DZ9" s="49">
        <f t="shared" si="78"/>
        <v>18044.683999999997</v>
      </c>
      <c r="EA9" s="32">
        <f t="shared" si="79"/>
        <v>18044.683999999997</v>
      </c>
      <c r="EB9" s="63">
        <f t="shared" si="80"/>
        <v>7096.166755499999</v>
      </c>
      <c r="EC9" s="63">
        <f t="shared" si="81"/>
        <v>143.561383</v>
      </c>
      <c r="ED9" s="32"/>
      <c r="EE9" s="49">
        <f aca="true" t="shared" si="126" ref="EE9:EE25">C9*$EF$6</f>
        <v>0</v>
      </c>
      <c r="EF9" s="49">
        <f t="shared" si="82"/>
        <v>1470.0783999999999</v>
      </c>
      <c r="EG9" s="32">
        <f t="shared" si="83"/>
        <v>1470.0783999999999</v>
      </c>
      <c r="EH9" s="63">
        <f t="shared" si="84"/>
        <v>578.1160517999999</v>
      </c>
      <c r="EI9" s="63">
        <f t="shared" si="85"/>
        <v>11.6957708</v>
      </c>
      <c r="EJ9" s="32"/>
      <c r="EK9" s="49">
        <f aca="true" t="shared" si="127" ref="EK9:EK25">C9*$EL$6</f>
        <v>0</v>
      </c>
      <c r="EL9" s="49">
        <f t="shared" si="86"/>
        <v>1753.2984</v>
      </c>
      <c r="EM9" s="32">
        <f t="shared" si="87"/>
        <v>1753.2984</v>
      </c>
      <c r="EN9" s="63">
        <f t="shared" si="88"/>
        <v>689.4938043</v>
      </c>
      <c r="EO9" s="63">
        <f t="shared" si="89"/>
        <v>13.949035799999999</v>
      </c>
      <c r="EP9" s="32"/>
      <c r="EQ9" s="49">
        <f aca="true" t="shared" si="128" ref="EQ9:EQ25">C9*$ER$6</f>
        <v>0</v>
      </c>
      <c r="ER9" s="49">
        <f t="shared" si="90"/>
        <v>3575.9024</v>
      </c>
      <c r="ES9" s="32">
        <f t="shared" si="91"/>
        <v>3575.9024</v>
      </c>
      <c r="ET9" s="63">
        <f t="shared" si="92"/>
        <v>1406.2423998</v>
      </c>
      <c r="EU9" s="63">
        <f t="shared" si="93"/>
        <v>28.4494588</v>
      </c>
      <c r="EV9" s="32"/>
      <c r="EW9" s="49">
        <f aca="true" t="shared" si="129" ref="EW9:EW25">C9*$EX$6</f>
        <v>0</v>
      </c>
      <c r="EX9" s="49">
        <f t="shared" si="94"/>
        <v>98563.9872</v>
      </c>
      <c r="EY9" s="32">
        <f t="shared" si="95"/>
        <v>98563.9872</v>
      </c>
      <c r="EZ9" s="63">
        <f t="shared" si="96"/>
        <v>38760.8056344</v>
      </c>
      <c r="FA9" s="63">
        <f t="shared" si="97"/>
        <v>784.1634864</v>
      </c>
      <c r="FB9" s="32"/>
      <c r="FC9" s="32">
        <f aca="true" t="shared" si="130" ref="FC9:FC25">C9*$FD$6</f>
        <v>0</v>
      </c>
      <c r="FD9" s="32">
        <f t="shared" si="98"/>
        <v>3827.992</v>
      </c>
      <c r="FE9" s="32">
        <f t="shared" si="99"/>
        <v>3827.992</v>
      </c>
      <c r="FF9" s="63">
        <f t="shared" si="100"/>
        <v>1505.3779590000001</v>
      </c>
      <c r="FG9" s="63">
        <f t="shared" si="101"/>
        <v>30.455054</v>
      </c>
      <c r="FH9" s="32"/>
      <c r="FI9" s="49">
        <f aca="true" t="shared" si="131" ref="FI9:FI25">C9*$FJ$6</f>
        <v>0</v>
      </c>
      <c r="FJ9" s="49">
        <f t="shared" si="102"/>
        <v>8203.5744</v>
      </c>
      <c r="FK9" s="32">
        <f t="shared" si="103"/>
        <v>8203.5744</v>
      </c>
      <c r="FL9" s="63">
        <f t="shared" si="104"/>
        <v>3226.0987188</v>
      </c>
      <c r="FM9" s="63">
        <f t="shared" si="105"/>
        <v>65.2666728</v>
      </c>
      <c r="FN9" s="32"/>
      <c r="FO9" s="32"/>
      <c r="FP9" s="32"/>
      <c r="FQ9" s="32"/>
      <c r="FR9" s="32"/>
    </row>
    <row r="10" spans="1:174" ht="12.75">
      <c r="A10" s="50">
        <v>44470</v>
      </c>
      <c r="D10" s="34">
        <v>952000</v>
      </c>
      <c r="E10" s="34">
        <f t="shared" si="0"/>
        <v>952000</v>
      </c>
      <c r="F10" s="34">
        <v>374379</v>
      </c>
      <c r="G10" s="34">
        <v>7574</v>
      </c>
      <c r="I10" s="49">
        <f>'2019B Academic'!I10</f>
        <v>0</v>
      </c>
      <c r="J10" s="49">
        <f>'2019B Academic'!J10</f>
        <v>306118.932</v>
      </c>
      <c r="K10" s="49">
        <f t="shared" si="1"/>
        <v>306118.932</v>
      </c>
      <c r="L10" s="49">
        <f>'2019B Academic'!L10</f>
        <v>120382.8777765</v>
      </c>
      <c r="M10" s="49">
        <f>'2019B Academic'!M10</f>
        <v>2435.4462089999997</v>
      </c>
      <c r="O10" s="49"/>
      <c r="P10" s="39">
        <f t="shared" si="2"/>
        <v>645881.0680000001</v>
      </c>
      <c r="Q10" s="32">
        <f t="shared" si="3"/>
        <v>645881.0680000001</v>
      </c>
      <c r="R10" s="39">
        <f t="shared" si="4"/>
        <v>253996.12222350002</v>
      </c>
      <c r="S10" s="39">
        <f t="shared" si="5"/>
        <v>5138.553790999999</v>
      </c>
      <c r="U10" s="63"/>
      <c r="V10" s="63">
        <f t="shared" si="6"/>
        <v>52375.708000000006</v>
      </c>
      <c r="W10" s="20">
        <f t="shared" si="7"/>
        <v>52375.708000000006</v>
      </c>
      <c r="X10" s="63">
        <f t="shared" si="8"/>
        <v>20597.0222535</v>
      </c>
      <c r="Y10" s="63">
        <f t="shared" si="9"/>
        <v>416.694971</v>
      </c>
      <c r="AA10" s="63"/>
      <c r="AB10" s="63">
        <f t="shared" si="10"/>
        <v>63939.461599999995</v>
      </c>
      <c r="AC10" s="20">
        <f t="shared" si="11"/>
        <v>63939.461599999995</v>
      </c>
      <c r="AD10" s="63">
        <f t="shared" si="12"/>
        <v>25144.529090699998</v>
      </c>
      <c r="AE10" s="63">
        <f t="shared" si="13"/>
        <v>508.69483419999995</v>
      </c>
      <c r="AH10" s="32">
        <f t="shared" si="14"/>
        <v>234.0968</v>
      </c>
      <c r="AI10" s="32">
        <f t="shared" si="15"/>
        <v>234.0968</v>
      </c>
      <c r="AJ10" s="63">
        <f t="shared" si="16"/>
        <v>92.0597961</v>
      </c>
      <c r="AK10" s="63">
        <f t="shared" si="17"/>
        <v>1.8624466000000002</v>
      </c>
      <c r="AM10" s="63"/>
      <c r="AN10" s="63">
        <f t="shared" si="18"/>
        <v>13819.3272</v>
      </c>
      <c r="AO10" s="20">
        <f t="shared" si="19"/>
        <v>13819.3272</v>
      </c>
      <c r="AP10" s="63">
        <f t="shared" si="20"/>
        <v>5434.5230019</v>
      </c>
      <c r="AQ10" s="63">
        <f t="shared" si="21"/>
        <v>109.9449414</v>
      </c>
      <c r="AS10" s="63"/>
      <c r="AT10" s="63">
        <f t="shared" si="22"/>
        <v>63586.46000000001</v>
      </c>
      <c r="AU10" s="20">
        <f t="shared" si="23"/>
        <v>63586.46000000001</v>
      </c>
      <c r="AV10" s="63">
        <f t="shared" si="24"/>
        <v>25005.709357500004</v>
      </c>
      <c r="AW10" s="63">
        <f t="shared" si="25"/>
        <v>505.88639500000005</v>
      </c>
      <c r="AX10" s="32"/>
      <c r="AY10" s="63"/>
      <c r="AZ10" s="63">
        <f t="shared" si="26"/>
        <v>10024.1792</v>
      </c>
      <c r="BA10" s="20">
        <f t="shared" si="27"/>
        <v>10024.1792</v>
      </c>
      <c r="BB10" s="63">
        <f t="shared" si="28"/>
        <v>3942.0611184</v>
      </c>
      <c r="BC10" s="63">
        <f t="shared" si="29"/>
        <v>79.7511904</v>
      </c>
      <c r="BD10" s="32"/>
      <c r="BE10" s="49"/>
      <c r="BF10" s="49">
        <f t="shared" si="30"/>
        <v>556.8248</v>
      </c>
      <c r="BG10" s="32">
        <f t="shared" si="31"/>
        <v>556.8248</v>
      </c>
      <c r="BH10" s="63">
        <f t="shared" si="32"/>
        <v>218.9742771</v>
      </c>
      <c r="BI10" s="63">
        <f t="shared" si="33"/>
        <v>4.4300326</v>
      </c>
      <c r="BJ10" s="32"/>
      <c r="BK10" s="32"/>
      <c r="BL10" s="32">
        <f t="shared" si="34"/>
        <v>6413.9096</v>
      </c>
      <c r="BM10" s="32">
        <f t="shared" si="35"/>
        <v>6413.9096</v>
      </c>
      <c r="BN10" s="63">
        <f t="shared" si="36"/>
        <v>2522.3036367</v>
      </c>
      <c r="BO10" s="63">
        <f t="shared" si="37"/>
        <v>51.0283102</v>
      </c>
      <c r="BP10" s="32"/>
      <c r="BQ10" s="49"/>
      <c r="BR10" s="49">
        <f t="shared" si="38"/>
        <v>8966.5072</v>
      </c>
      <c r="BS10" s="32">
        <f t="shared" si="39"/>
        <v>8966.5072</v>
      </c>
      <c r="BT10" s="63">
        <f t="shared" si="40"/>
        <v>3526.1260494</v>
      </c>
      <c r="BU10" s="63">
        <f t="shared" si="41"/>
        <v>71.3364764</v>
      </c>
      <c r="BV10" s="32"/>
      <c r="BW10" s="49"/>
      <c r="BX10" s="49">
        <f t="shared" si="42"/>
        <v>1254.3552</v>
      </c>
      <c r="BY10" s="32">
        <f t="shared" si="43"/>
        <v>1254.3552</v>
      </c>
      <c r="BZ10" s="63">
        <f t="shared" si="44"/>
        <v>493.28177039999997</v>
      </c>
      <c r="CA10" s="63">
        <f t="shared" si="45"/>
        <v>9.9795024</v>
      </c>
      <c r="CB10" s="32"/>
      <c r="CC10" s="49"/>
      <c r="CD10" s="49">
        <f t="shared" si="46"/>
        <v>6516.2496</v>
      </c>
      <c r="CE10" s="32">
        <f t="shared" si="47"/>
        <v>6516.2496</v>
      </c>
      <c r="CF10" s="63">
        <f t="shared" si="48"/>
        <v>2562.5493791999997</v>
      </c>
      <c r="CG10" s="63">
        <f t="shared" si="49"/>
        <v>51.8425152</v>
      </c>
      <c r="CH10" s="32"/>
      <c r="CI10" s="49"/>
      <c r="CJ10" s="49">
        <f t="shared" si="50"/>
        <v>370.32800000000003</v>
      </c>
      <c r="CK10" s="32">
        <f t="shared" si="51"/>
        <v>370.32800000000003</v>
      </c>
      <c r="CL10" s="63">
        <f t="shared" si="52"/>
        <v>145.633431</v>
      </c>
      <c r="CM10" s="63">
        <f t="shared" si="53"/>
        <v>2.946286</v>
      </c>
      <c r="CN10" s="32"/>
      <c r="CO10" s="49"/>
      <c r="CP10" s="49">
        <f t="shared" si="54"/>
        <v>1308.9048</v>
      </c>
      <c r="CQ10" s="32">
        <f t="shared" si="55"/>
        <v>1308.9048</v>
      </c>
      <c r="CR10" s="63">
        <f t="shared" si="56"/>
        <v>514.7336871</v>
      </c>
      <c r="CS10" s="63">
        <f t="shared" si="57"/>
        <v>10.413492600000001</v>
      </c>
      <c r="CT10" s="32"/>
      <c r="CU10" s="32"/>
      <c r="CV10" s="32">
        <f t="shared" si="58"/>
        <v>4757.8104</v>
      </c>
      <c r="CW10" s="32">
        <f t="shared" si="59"/>
        <v>4757.8104</v>
      </c>
      <c r="CX10" s="63">
        <f t="shared" si="60"/>
        <v>1871.0339283</v>
      </c>
      <c r="CY10" s="63">
        <f t="shared" si="61"/>
        <v>37.8525798</v>
      </c>
      <c r="CZ10" s="32"/>
      <c r="DA10" s="49"/>
      <c r="DB10" s="49">
        <f t="shared" si="62"/>
        <v>32491.379200000003</v>
      </c>
      <c r="DC10" s="32">
        <f t="shared" si="63"/>
        <v>32491.379200000003</v>
      </c>
      <c r="DD10" s="63">
        <f t="shared" si="64"/>
        <v>12777.4055184</v>
      </c>
      <c r="DE10" s="63">
        <f t="shared" si="65"/>
        <v>258.49759040000004</v>
      </c>
      <c r="DF10" s="32"/>
      <c r="DG10" s="49"/>
      <c r="DH10" s="49">
        <f t="shared" si="66"/>
        <v>134471.0472</v>
      </c>
      <c r="DI10" s="32">
        <f t="shared" si="67"/>
        <v>134471.0472</v>
      </c>
      <c r="DJ10" s="63">
        <f t="shared" si="68"/>
        <v>52881.445566899994</v>
      </c>
      <c r="DK10" s="63">
        <f t="shared" si="69"/>
        <v>1069.8358314</v>
      </c>
      <c r="DL10" s="32"/>
      <c r="DM10" s="49"/>
      <c r="DN10" s="49">
        <f t="shared" si="70"/>
        <v>24720.393600000003</v>
      </c>
      <c r="DO10" s="32">
        <f t="shared" si="71"/>
        <v>24720.393600000003</v>
      </c>
      <c r="DP10" s="63">
        <f t="shared" si="72"/>
        <v>9721.4246172</v>
      </c>
      <c r="DQ10" s="63">
        <f t="shared" si="73"/>
        <v>196.6725432</v>
      </c>
      <c r="DR10" s="32"/>
      <c r="DS10" s="49"/>
      <c r="DT10" s="49">
        <f t="shared" si="74"/>
        <v>84634.6088</v>
      </c>
      <c r="DU10" s="32">
        <f t="shared" si="75"/>
        <v>84634.6088</v>
      </c>
      <c r="DV10" s="63">
        <f t="shared" si="76"/>
        <v>33283.004420100006</v>
      </c>
      <c r="DW10" s="63">
        <f t="shared" si="77"/>
        <v>673.3429906</v>
      </c>
      <c r="DX10" s="32"/>
      <c r="DY10" s="49"/>
      <c r="DZ10" s="49">
        <f t="shared" si="78"/>
        <v>18044.683999999997</v>
      </c>
      <c r="EA10" s="32">
        <f t="shared" si="79"/>
        <v>18044.683999999997</v>
      </c>
      <c r="EB10" s="63">
        <f t="shared" si="80"/>
        <v>7096.166755499999</v>
      </c>
      <c r="EC10" s="63">
        <f t="shared" si="81"/>
        <v>143.561383</v>
      </c>
      <c r="ED10" s="32"/>
      <c r="EE10" s="49"/>
      <c r="EF10" s="49">
        <f t="shared" si="82"/>
        <v>1470.0783999999999</v>
      </c>
      <c r="EG10" s="32">
        <f t="shared" si="83"/>
        <v>1470.0783999999999</v>
      </c>
      <c r="EH10" s="63">
        <f t="shared" si="84"/>
        <v>578.1160517999999</v>
      </c>
      <c r="EI10" s="63">
        <f t="shared" si="85"/>
        <v>11.6957708</v>
      </c>
      <c r="EJ10" s="32"/>
      <c r="EK10" s="49"/>
      <c r="EL10" s="49">
        <f t="shared" si="86"/>
        <v>1753.2984</v>
      </c>
      <c r="EM10" s="32">
        <f t="shared" si="87"/>
        <v>1753.2984</v>
      </c>
      <c r="EN10" s="63">
        <f t="shared" si="88"/>
        <v>689.4938043</v>
      </c>
      <c r="EO10" s="63">
        <f t="shared" si="89"/>
        <v>13.949035799999999</v>
      </c>
      <c r="EP10" s="32"/>
      <c r="EQ10" s="49"/>
      <c r="ER10" s="49">
        <f t="shared" si="90"/>
        <v>3575.9024</v>
      </c>
      <c r="ES10" s="32">
        <f t="shared" si="91"/>
        <v>3575.9024</v>
      </c>
      <c r="ET10" s="63">
        <f t="shared" si="92"/>
        <v>1406.2423998</v>
      </c>
      <c r="EU10" s="63">
        <f t="shared" si="93"/>
        <v>28.4494588</v>
      </c>
      <c r="EV10" s="32"/>
      <c r="EW10" s="49"/>
      <c r="EX10" s="49">
        <f t="shared" si="94"/>
        <v>98563.9872</v>
      </c>
      <c r="EY10" s="32">
        <f t="shared" si="95"/>
        <v>98563.9872</v>
      </c>
      <c r="EZ10" s="63">
        <f t="shared" si="96"/>
        <v>38760.8056344</v>
      </c>
      <c r="FA10" s="63">
        <f t="shared" si="97"/>
        <v>784.1634864</v>
      </c>
      <c r="FB10" s="32"/>
      <c r="FC10" s="32"/>
      <c r="FD10" s="32">
        <f t="shared" si="98"/>
        <v>3827.992</v>
      </c>
      <c r="FE10" s="32">
        <f t="shared" si="99"/>
        <v>3827.992</v>
      </c>
      <c r="FF10" s="63">
        <f t="shared" si="100"/>
        <v>1505.3779590000001</v>
      </c>
      <c r="FG10" s="63">
        <f t="shared" si="101"/>
        <v>30.455054</v>
      </c>
      <c r="FH10" s="32"/>
      <c r="FI10" s="49"/>
      <c r="FJ10" s="49">
        <f t="shared" si="102"/>
        <v>8203.5744</v>
      </c>
      <c r="FK10" s="32">
        <f t="shared" si="103"/>
        <v>8203.5744</v>
      </c>
      <c r="FL10" s="63">
        <f t="shared" si="104"/>
        <v>3226.0987188</v>
      </c>
      <c r="FM10" s="63">
        <f t="shared" si="105"/>
        <v>65.2666728</v>
      </c>
      <c r="FN10" s="32"/>
      <c r="FO10" s="32"/>
      <c r="FP10" s="32"/>
      <c r="FQ10" s="32"/>
      <c r="FR10" s="32"/>
    </row>
    <row r="11" spans="1:174" s="51" customFormat="1" ht="12.75">
      <c r="A11" s="50">
        <v>44652</v>
      </c>
      <c r="C11" s="34"/>
      <c r="D11" s="34">
        <v>952000</v>
      </c>
      <c r="E11" s="34">
        <f t="shared" si="0"/>
        <v>952000</v>
      </c>
      <c r="F11" s="34">
        <v>374379</v>
      </c>
      <c r="G11" s="34">
        <v>7574</v>
      </c>
      <c r="H11" s="49"/>
      <c r="I11" s="49">
        <f>'2019B Academic'!I11</f>
        <v>0</v>
      </c>
      <c r="J11" s="49">
        <f>'2019B Academic'!J11</f>
        <v>306118.932</v>
      </c>
      <c r="K11" s="49">
        <f t="shared" si="1"/>
        <v>306118.932</v>
      </c>
      <c r="L11" s="49">
        <f>'2019B Academic'!L11</f>
        <v>120382.8777765</v>
      </c>
      <c r="M11" s="49">
        <f>'2019B Academic'!M11</f>
        <v>2435.4462089999997</v>
      </c>
      <c r="N11" s="49"/>
      <c r="O11" s="49">
        <f t="shared" si="106"/>
        <v>0</v>
      </c>
      <c r="P11" s="39">
        <f t="shared" si="2"/>
        <v>645881.0680000001</v>
      </c>
      <c r="Q11" s="32">
        <f t="shared" si="3"/>
        <v>645881.0680000001</v>
      </c>
      <c r="R11" s="39">
        <f t="shared" si="4"/>
        <v>253996.12222350002</v>
      </c>
      <c r="S11" s="39">
        <f t="shared" si="5"/>
        <v>5138.553790999999</v>
      </c>
      <c r="T11" s="49"/>
      <c r="U11" s="63">
        <f t="shared" si="107"/>
        <v>0</v>
      </c>
      <c r="V11" s="63">
        <f t="shared" si="6"/>
        <v>52375.708000000006</v>
      </c>
      <c r="W11" s="20">
        <f t="shared" si="7"/>
        <v>52375.708000000006</v>
      </c>
      <c r="X11" s="63">
        <f t="shared" si="8"/>
        <v>20597.0222535</v>
      </c>
      <c r="Y11" s="63">
        <f t="shared" si="9"/>
        <v>416.694971</v>
      </c>
      <c r="Z11" s="49"/>
      <c r="AA11" s="63">
        <f t="shared" si="108"/>
        <v>0</v>
      </c>
      <c r="AB11" s="63">
        <f t="shared" si="10"/>
        <v>63939.461599999995</v>
      </c>
      <c r="AC11" s="20">
        <f t="shared" si="11"/>
        <v>63939.461599999995</v>
      </c>
      <c r="AD11" s="63">
        <f t="shared" si="12"/>
        <v>25144.529090699998</v>
      </c>
      <c r="AE11" s="63">
        <f t="shared" si="13"/>
        <v>508.69483419999995</v>
      </c>
      <c r="AF11" s="49"/>
      <c r="AG11" s="32">
        <f t="shared" si="109"/>
        <v>0</v>
      </c>
      <c r="AH11" s="32">
        <f t="shared" si="14"/>
        <v>234.0968</v>
      </c>
      <c r="AI11" s="32">
        <f t="shared" si="15"/>
        <v>234.0968</v>
      </c>
      <c r="AJ11" s="63">
        <f t="shared" si="16"/>
        <v>92.0597961</v>
      </c>
      <c r="AK11" s="63">
        <f t="shared" si="17"/>
        <v>1.8624466000000002</v>
      </c>
      <c r="AL11" s="49"/>
      <c r="AM11" s="63">
        <f t="shared" si="110"/>
        <v>0</v>
      </c>
      <c r="AN11" s="63">
        <f t="shared" si="18"/>
        <v>13819.3272</v>
      </c>
      <c r="AO11" s="20">
        <f t="shared" si="19"/>
        <v>13819.3272</v>
      </c>
      <c r="AP11" s="63">
        <f t="shared" si="20"/>
        <v>5434.5230019</v>
      </c>
      <c r="AQ11" s="63">
        <f t="shared" si="21"/>
        <v>109.9449414</v>
      </c>
      <c r="AR11" s="49"/>
      <c r="AS11" s="63">
        <f t="shared" si="111"/>
        <v>0</v>
      </c>
      <c r="AT11" s="63">
        <f t="shared" si="22"/>
        <v>63586.46000000001</v>
      </c>
      <c r="AU11" s="20">
        <f t="shared" si="23"/>
        <v>63586.46000000001</v>
      </c>
      <c r="AV11" s="63">
        <f t="shared" si="24"/>
        <v>25005.709357500004</v>
      </c>
      <c r="AW11" s="63">
        <f t="shared" si="25"/>
        <v>505.88639500000005</v>
      </c>
      <c r="AX11" s="49"/>
      <c r="AY11" s="63">
        <f t="shared" si="112"/>
        <v>0</v>
      </c>
      <c r="AZ11" s="63">
        <f t="shared" si="26"/>
        <v>10024.1792</v>
      </c>
      <c r="BA11" s="20">
        <f t="shared" si="27"/>
        <v>10024.1792</v>
      </c>
      <c r="BB11" s="63">
        <f t="shared" si="28"/>
        <v>3942.0611184</v>
      </c>
      <c r="BC11" s="63">
        <f t="shared" si="29"/>
        <v>79.7511904</v>
      </c>
      <c r="BD11" s="49"/>
      <c r="BE11" s="49">
        <f t="shared" si="113"/>
        <v>0</v>
      </c>
      <c r="BF11" s="49">
        <f t="shared" si="30"/>
        <v>556.8248</v>
      </c>
      <c r="BG11" s="32">
        <f t="shared" si="31"/>
        <v>556.8248</v>
      </c>
      <c r="BH11" s="63">
        <f t="shared" si="32"/>
        <v>218.9742771</v>
      </c>
      <c r="BI11" s="63">
        <f t="shared" si="33"/>
        <v>4.4300326</v>
      </c>
      <c r="BJ11" s="49"/>
      <c r="BK11" s="32">
        <f t="shared" si="114"/>
        <v>0</v>
      </c>
      <c r="BL11" s="32">
        <f t="shared" si="34"/>
        <v>6413.9096</v>
      </c>
      <c r="BM11" s="32">
        <f t="shared" si="35"/>
        <v>6413.9096</v>
      </c>
      <c r="BN11" s="63">
        <f t="shared" si="36"/>
        <v>2522.3036367</v>
      </c>
      <c r="BO11" s="63">
        <f t="shared" si="37"/>
        <v>51.0283102</v>
      </c>
      <c r="BP11" s="49"/>
      <c r="BQ11" s="49">
        <f t="shared" si="115"/>
        <v>0</v>
      </c>
      <c r="BR11" s="49">
        <f t="shared" si="38"/>
        <v>8966.5072</v>
      </c>
      <c r="BS11" s="32">
        <f t="shared" si="39"/>
        <v>8966.5072</v>
      </c>
      <c r="BT11" s="63">
        <f t="shared" si="40"/>
        <v>3526.1260494</v>
      </c>
      <c r="BU11" s="63">
        <f t="shared" si="41"/>
        <v>71.3364764</v>
      </c>
      <c r="BV11" s="49"/>
      <c r="BW11" s="49">
        <f t="shared" si="116"/>
        <v>0</v>
      </c>
      <c r="BX11" s="49">
        <f t="shared" si="42"/>
        <v>1254.3552</v>
      </c>
      <c r="BY11" s="32">
        <f t="shared" si="43"/>
        <v>1254.3552</v>
      </c>
      <c r="BZ11" s="63">
        <f t="shared" si="44"/>
        <v>493.28177039999997</v>
      </c>
      <c r="CA11" s="63">
        <f t="shared" si="45"/>
        <v>9.9795024</v>
      </c>
      <c r="CB11" s="49"/>
      <c r="CC11" s="49">
        <f t="shared" si="117"/>
        <v>0</v>
      </c>
      <c r="CD11" s="49">
        <f t="shared" si="46"/>
        <v>6516.2496</v>
      </c>
      <c r="CE11" s="32">
        <f t="shared" si="47"/>
        <v>6516.2496</v>
      </c>
      <c r="CF11" s="63">
        <f t="shared" si="48"/>
        <v>2562.5493791999997</v>
      </c>
      <c r="CG11" s="63">
        <f t="shared" si="49"/>
        <v>51.8425152</v>
      </c>
      <c r="CH11" s="49"/>
      <c r="CI11" s="49">
        <f t="shared" si="118"/>
        <v>0</v>
      </c>
      <c r="CJ11" s="49">
        <f t="shared" si="50"/>
        <v>370.32800000000003</v>
      </c>
      <c r="CK11" s="32">
        <f t="shared" si="51"/>
        <v>370.32800000000003</v>
      </c>
      <c r="CL11" s="63">
        <f t="shared" si="52"/>
        <v>145.633431</v>
      </c>
      <c r="CM11" s="63">
        <f t="shared" si="53"/>
        <v>2.946286</v>
      </c>
      <c r="CN11" s="49"/>
      <c r="CO11" s="49">
        <f t="shared" si="119"/>
        <v>0</v>
      </c>
      <c r="CP11" s="49">
        <f t="shared" si="54"/>
        <v>1308.9048</v>
      </c>
      <c r="CQ11" s="32">
        <f t="shared" si="55"/>
        <v>1308.9048</v>
      </c>
      <c r="CR11" s="63">
        <f t="shared" si="56"/>
        <v>514.7336871</v>
      </c>
      <c r="CS11" s="63">
        <f t="shared" si="57"/>
        <v>10.413492600000001</v>
      </c>
      <c r="CT11" s="49"/>
      <c r="CU11" s="32">
        <f t="shared" si="120"/>
        <v>0</v>
      </c>
      <c r="CV11" s="32">
        <f t="shared" si="58"/>
        <v>4757.8104</v>
      </c>
      <c r="CW11" s="32">
        <f t="shared" si="59"/>
        <v>4757.8104</v>
      </c>
      <c r="CX11" s="63">
        <f t="shared" si="60"/>
        <v>1871.0339283</v>
      </c>
      <c r="CY11" s="63">
        <f t="shared" si="61"/>
        <v>37.8525798</v>
      </c>
      <c r="CZ11" s="49"/>
      <c r="DA11" s="49">
        <f t="shared" si="121"/>
        <v>0</v>
      </c>
      <c r="DB11" s="49">
        <f t="shared" si="62"/>
        <v>32491.379200000003</v>
      </c>
      <c r="DC11" s="32">
        <f t="shared" si="63"/>
        <v>32491.379200000003</v>
      </c>
      <c r="DD11" s="63">
        <f t="shared" si="64"/>
        <v>12777.4055184</v>
      </c>
      <c r="DE11" s="63">
        <f t="shared" si="65"/>
        <v>258.49759040000004</v>
      </c>
      <c r="DF11" s="49"/>
      <c r="DG11" s="49">
        <f t="shared" si="122"/>
        <v>0</v>
      </c>
      <c r="DH11" s="49">
        <f t="shared" si="66"/>
        <v>134471.0472</v>
      </c>
      <c r="DI11" s="32">
        <f t="shared" si="67"/>
        <v>134471.0472</v>
      </c>
      <c r="DJ11" s="63">
        <f t="shared" si="68"/>
        <v>52881.445566899994</v>
      </c>
      <c r="DK11" s="63">
        <f t="shared" si="69"/>
        <v>1069.8358314</v>
      </c>
      <c r="DL11" s="49"/>
      <c r="DM11" s="49">
        <f t="shared" si="123"/>
        <v>0</v>
      </c>
      <c r="DN11" s="49">
        <f t="shared" si="70"/>
        <v>24720.393600000003</v>
      </c>
      <c r="DO11" s="32">
        <f t="shared" si="71"/>
        <v>24720.393600000003</v>
      </c>
      <c r="DP11" s="63">
        <f t="shared" si="72"/>
        <v>9721.4246172</v>
      </c>
      <c r="DQ11" s="63">
        <f t="shared" si="73"/>
        <v>196.6725432</v>
      </c>
      <c r="DR11" s="49"/>
      <c r="DS11" s="49">
        <f t="shared" si="124"/>
        <v>0</v>
      </c>
      <c r="DT11" s="49">
        <f t="shared" si="74"/>
        <v>84634.6088</v>
      </c>
      <c r="DU11" s="32">
        <f t="shared" si="75"/>
        <v>84634.6088</v>
      </c>
      <c r="DV11" s="63">
        <f t="shared" si="76"/>
        <v>33283.004420100006</v>
      </c>
      <c r="DW11" s="63">
        <f t="shared" si="77"/>
        <v>673.3429906</v>
      </c>
      <c r="DX11" s="49"/>
      <c r="DY11" s="49">
        <f t="shared" si="125"/>
        <v>0</v>
      </c>
      <c r="DZ11" s="49">
        <f t="shared" si="78"/>
        <v>18044.683999999997</v>
      </c>
      <c r="EA11" s="32">
        <f t="shared" si="79"/>
        <v>18044.683999999997</v>
      </c>
      <c r="EB11" s="63">
        <f t="shared" si="80"/>
        <v>7096.166755499999</v>
      </c>
      <c r="EC11" s="63">
        <f t="shared" si="81"/>
        <v>143.561383</v>
      </c>
      <c r="ED11" s="49"/>
      <c r="EE11" s="49">
        <f t="shared" si="126"/>
        <v>0</v>
      </c>
      <c r="EF11" s="49">
        <f t="shared" si="82"/>
        <v>1470.0783999999999</v>
      </c>
      <c r="EG11" s="32">
        <f t="shared" si="83"/>
        <v>1470.0783999999999</v>
      </c>
      <c r="EH11" s="63">
        <f t="shared" si="84"/>
        <v>578.1160517999999</v>
      </c>
      <c r="EI11" s="63">
        <f t="shared" si="85"/>
        <v>11.6957708</v>
      </c>
      <c r="EJ11" s="49"/>
      <c r="EK11" s="49">
        <f t="shared" si="127"/>
        <v>0</v>
      </c>
      <c r="EL11" s="49">
        <f t="shared" si="86"/>
        <v>1753.2984</v>
      </c>
      <c r="EM11" s="32">
        <f t="shared" si="87"/>
        <v>1753.2984</v>
      </c>
      <c r="EN11" s="63">
        <f t="shared" si="88"/>
        <v>689.4938043</v>
      </c>
      <c r="EO11" s="63">
        <f t="shared" si="89"/>
        <v>13.949035799999999</v>
      </c>
      <c r="EP11" s="49"/>
      <c r="EQ11" s="49">
        <f t="shared" si="128"/>
        <v>0</v>
      </c>
      <c r="ER11" s="49">
        <f t="shared" si="90"/>
        <v>3575.9024</v>
      </c>
      <c r="ES11" s="32">
        <f t="shared" si="91"/>
        <v>3575.9024</v>
      </c>
      <c r="ET11" s="63">
        <f t="shared" si="92"/>
        <v>1406.2423998</v>
      </c>
      <c r="EU11" s="63">
        <f t="shared" si="93"/>
        <v>28.4494588</v>
      </c>
      <c r="EV11" s="49"/>
      <c r="EW11" s="49">
        <f t="shared" si="129"/>
        <v>0</v>
      </c>
      <c r="EX11" s="49">
        <f t="shared" si="94"/>
        <v>98563.9872</v>
      </c>
      <c r="EY11" s="32">
        <f t="shared" si="95"/>
        <v>98563.9872</v>
      </c>
      <c r="EZ11" s="63">
        <f t="shared" si="96"/>
        <v>38760.8056344</v>
      </c>
      <c r="FA11" s="63">
        <f t="shared" si="97"/>
        <v>784.1634864</v>
      </c>
      <c r="FB11" s="32"/>
      <c r="FC11" s="32">
        <f t="shared" si="130"/>
        <v>0</v>
      </c>
      <c r="FD11" s="32">
        <f t="shared" si="98"/>
        <v>3827.992</v>
      </c>
      <c r="FE11" s="32">
        <f t="shared" si="99"/>
        <v>3827.992</v>
      </c>
      <c r="FF11" s="63">
        <f t="shared" si="100"/>
        <v>1505.3779590000001</v>
      </c>
      <c r="FG11" s="63">
        <f t="shared" si="101"/>
        <v>30.455054</v>
      </c>
      <c r="FH11" s="49"/>
      <c r="FI11" s="49">
        <f t="shared" si="131"/>
        <v>0</v>
      </c>
      <c r="FJ11" s="49">
        <f t="shared" si="102"/>
        <v>8203.5744</v>
      </c>
      <c r="FK11" s="32">
        <f t="shared" si="103"/>
        <v>8203.5744</v>
      </c>
      <c r="FL11" s="63">
        <f t="shared" si="104"/>
        <v>3226.0987188</v>
      </c>
      <c r="FM11" s="63">
        <f t="shared" si="105"/>
        <v>65.2666728</v>
      </c>
      <c r="FN11" s="49"/>
      <c r="FO11" s="32"/>
      <c r="FP11" s="32"/>
      <c r="FQ11" s="32"/>
      <c r="FR11" s="32"/>
    </row>
    <row r="12" spans="1:174" s="51" customFormat="1" ht="12.75">
      <c r="A12" s="50">
        <v>44835</v>
      </c>
      <c r="C12" s="34"/>
      <c r="D12" s="34">
        <v>952000</v>
      </c>
      <c r="E12" s="34">
        <f t="shared" si="0"/>
        <v>952000</v>
      </c>
      <c r="F12" s="34">
        <v>374379</v>
      </c>
      <c r="G12" s="34">
        <v>7574</v>
      </c>
      <c r="H12" s="49"/>
      <c r="I12" s="49">
        <f>'2019B Academic'!I12</f>
        <v>0</v>
      </c>
      <c r="J12" s="49">
        <f>'2019B Academic'!J12</f>
        <v>306118.932</v>
      </c>
      <c r="K12" s="49">
        <f t="shared" si="1"/>
        <v>306118.932</v>
      </c>
      <c r="L12" s="49">
        <f>'2019B Academic'!L12</f>
        <v>120382.8777765</v>
      </c>
      <c r="M12" s="49">
        <f>'2019B Academic'!M12</f>
        <v>2435.4462089999997</v>
      </c>
      <c r="N12" s="49"/>
      <c r="O12" s="49"/>
      <c r="P12" s="39">
        <f t="shared" si="2"/>
        <v>645881.0680000001</v>
      </c>
      <c r="Q12" s="32">
        <f t="shared" si="3"/>
        <v>645881.0680000001</v>
      </c>
      <c r="R12" s="39">
        <f t="shared" si="4"/>
        <v>253996.12222350002</v>
      </c>
      <c r="S12" s="39">
        <f t="shared" si="5"/>
        <v>5138.553790999999</v>
      </c>
      <c r="T12" s="49"/>
      <c r="U12" s="63"/>
      <c r="V12" s="63">
        <f t="shared" si="6"/>
        <v>52375.708000000006</v>
      </c>
      <c r="W12" s="20">
        <f t="shared" si="7"/>
        <v>52375.708000000006</v>
      </c>
      <c r="X12" s="63">
        <f t="shared" si="8"/>
        <v>20597.0222535</v>
      </c>
      <c r="Y12" s="63">
        <f t="shared" si="9"/>
        <v>416.694971</v>
      </c>
      <c r="Z12" s="49"/>
      <c r="AA12" s="63"/>
      <c r="AB12" s="63">
        <f t="shared" si="10"/>
        <v>63939.461599999995</v>
      </c>
      <c r="AC12" s="20">
        <f t="shared" si="11"/>
        <v>63939.461599999995</v>
      </c>
      <c r="AD12" s="63">
        <f t="shared" si="12"/>
        <v>25144.529090699998</v>
      </c>
      <c r="AE12" s="63">
        <f t="shared" si="13"/>
        <v>508.69483419999995</v>
      </c>
      <c r="AF12" s="49"/>
      <c r="AG12" s="32"/>
      <c r="AH12" s="32">
        <f t="shared" si="14"/>
        <v>234.0968</v>
      </c>
      <c r="AI12" s="32">
        <f t="shared" si="15"/>
        <v>234.0968</v>
      </c>
      <c r="AJ12" s="63">
        <f t="shared" si="16"/>
        <v>92.0597961</v>
      </c>
      <c r="AK12" s="63">
        <f t="shared" si="17"/>
        <v>1.8624466000000002</v>
      </c>
      <c r="AL12" s="49"/>
      <c r="AM12" s="63"/>
      <c r="AN12" s="63">
        <f t="shared" si="18"/>
        <v>13819.3272</v>
      </c>
      <c r="AO12" s="20">
        <f t="shared" si="19"/>
        <v>13819.3272</v>
      </c>
      <c r="AP12" s="63">
        <f t="shared" si="20"/>
        <v>5434.5230019</v>
      </c>
      <c r="AQ12" s="63">
        <f t="shared" si="21"/>
        <v>109.9449414</v>
      </c>
      <c r="AR12" s="49"/>
      <c r="AS12" s="63"/>
      <c r="AT12" s="63">
        <f t="shared" si="22"/>
        <v>63586.46000000001</v>
      </c>
      <c r="AU12" s="20">
        <f t="shared" si="23"/>
        <v>63586.46000000001</v>
      </c>
      <c r="AV12" s="63">
        <f t="shared" si="24"/>
        <v>25005.709357500004</v>
      </c>
      <c r="AW12" s="63">
        <f t="shared" si="25"/>
        <v>505.88639500000005</v>
      </c>
      <c r="AX12" s="49"/>
      <c r="AY12" s="63"/>
      <c r="AZ12" s="63">
        <f t="shared" si="26"/>
        <v>10024.1792</v>
      </c>
      <c r="BA12" s="20">
        <f t="shared" si="27"/>
        <v>10024.1792</v>
      </c>
      <c r="BB12" s="63">
        <f t="shared" si="28"/>
        <v>3942.0611184</v>
      </c>
      <c r="BC12" s="63">
        <f t="shared" si="29"/>
        <v>79.7511904</v>
      </c>
      <c r="BD12" s="49"/>
      <c r="BE12" s="49"/>
      <c r="BF12" s="49">
        <f t="shared" si="30"/>
        <v>556.8248</v>
      </c>
      <c r="BG12" s="32">
        <f t="shared" si="31"/>
        <v>556.8248</v>
      </c>
      <c r="BH12" s="63">
        <f t="shared" si="32"/>
        <v>218.9742771</v>
      </c>
      <c r="BI12" s="63">
        <f t="shared" si="33"/>
        <v>4.4300326</v>
      </c>
      <c r="BJ12" s="49"/>
      <c r="BK12" s="32"/>
      <c r="BL12" s="32">
        <f t="shared" si="34"/>
        <v>6413.9096</v>
      </c>
      <c r="BM12" s="32">
        <f t="shared" si="35"/>
        <v>6413.9096</v>
      </c>
      <c r="BN12" s="63">
        <f t="shared" si="36"/>
        <v>2522.3036367</v>
      </c>
      <c r="BO12" s="63">
        <f t="shared" si="37"/>
        <v>51.0283102</v>
      </c>
      <c r="BP12" s="49"/>
      <c r="BQ12" s="49"/>
      <c r="BR12" s="49">
        <f t="shared" si="38"/>
        <v>8966.5072</v>
      </c>
      <c r="BS12" s="32">
        <f t="shared" si="39"/>
        <v>8966.5072</v>
      </c>
      <c r="BT12" s="63">
        <f t="shared" si="40"/>
        <v>3526.1260494</v>
      </c>
      <c r="BU12" s="63">
        <f t="shared" si="41"/>
        <v>71.3364764</v>
      </c>
      <c r="BV12" s="49"/>
      <c r="BW12" s="49"/>
      <c r="BX12" s="49">
        <f t="shared" si="42"/>
        <v>1254.3552</v>
      </c>
      <c r="BY12" s="32">
        <f t="shared" si="43"/>
        <v>1254.3552</v>
      </c>
      <c r="BZ12" s="63">
        <f t="shared" si="44"/>
        <v>493.28177039999997</v>
      </c>
      <c r="CA12" s="63">
        <f t="shared" si="45"/>
        <v>9.9795024</v>
      </c>
      <c r="CB12" s="49"/>
      <c r="CC12" s="49"/>
      <c r="CD12" s="49">
        <f t="shared" si="46"/>
        <v>6516.2496</v>
      </c>
      <c r="CE12" s="32">
        <f t="shared" si="47"/>
        <v>6516.2496</v>
      </c>
      <c r="CF12" s="63">
        <f t="shared" si="48"/>
        <v>2562.5493791999997</v>
      </c>
      <c r="CG12" s="63">
        <f t="shared" si="49"/>
        <v>51.8425152</v>
      </c>
      <c r="CH12" s="49"/>
      <c r="CI12" s="49"/>
      <c r="CJ12" s="49">
        <f t="shared" si="50"/>
        <v>370.32800000000003</v>
      </c>
      <c r="CK12" s="32">
        <f t="shared" si="51"/>
        <v>370.32800000000003</v>
      </c>
      <c r="CL12" s="63">
        <f t="shared" si="52"/>
        <v>145.633431</v>
      </c>
      <c r="CM12" s="63">
        <f t="shared" si="53"/>
        <v>2.946286</v>
      </c>
      <c r="CN12" s="49"/>
      <c r="CO12" s="49"/>
      <c r="CP12" s="49">
        <f t="shared" si="54"/>
        <v>1308.9048</v>
      </c>
      <c r="CQ12" s="32">
        <f t="shared" si="55"/>
        <v>1308.9048</v>
      </c>
      <c r="CR12" s="63">
        <f t="shared" si="56"/>
        <v>514.7336871</v>
      </c>
      <c r="CS12" s="63">
        <f t="shared" si="57"/>
        <v>10.413492600000001</v>
      </c>
      <c r="CT12" s="49"/>
      <c r="CU12" s="32"/>
      <c r="CV12" s="32">
        <f t="shared" si="58"/>
        <v>4757.8104</v>
      </c>
      <c r="CW12" s="32">
        <f t="shared" si="59"/>
        <v>4757.8104</v>
      </c>
      <c r="CX12" s="63">
        <f t="shared" si="60"/>
        <v>1871.0339283</v>
      </c>
      <c r="CY12" s="63">
        <f t="shared" si="61"/>
        <v>37.8525798</v>
      </c>
      <c r="CZ12" s="49"/>
      <c r="DA12" s="49"/>
      <c r="DB12" s="49">
        <f t="shared" si="62"/>
        <v>32491.379200000003</v>
      </c>
      <c r="DC12" s="32">
        <f t="shared" si="63"/>
        <v>32491.379200000003</v>
      </c>
      <c r="DD12" s="63">
        <f t="shared" si="64"/>
        <v>12777.4055184</v>
      </c>
      <c r="DE12" s="63">
        <f t="shared" si="65"/>
        <v>258.49759040000004</v>
      </c>
      <c r="DF12" s="49"/>
      <c r="DG12" s="49"/>
      <c r="DH12" s="49">
        <f t="shared" si="66"/>
        <v>134471.0472</v>
      </c>
      <c r="DI12" s="32">
        <f t="shared" si="67"/>
        <v>134471.0472</v>
      </c>
      <c r="DJ12" s="63">
        <f t="shared" si="68"/>
        <v>52881.445566899994</v>
      </c>
      <c r="DK12" s="63">
        <f t="shared" si="69"/>
        <v>1069.8358314</v>
      </c>
      <c r="DL12" s="49"/>
      <c r="DM12" s="49"/>
      <c r="DN12" s="49">
        <f t="shared" si="70"/>
        <v>24720.393600000003</v>
      </c>
      <c r="DO12" s="32">
        <f t="shared" si="71"/>
        <v>24720.393600000003</v>
      </c>
      <c r="DP12" s="63">
        <f t="shared" si="72"/>
        <v>9721.4246172</v>
      </c>
      <c r="DQ12" s="63">
        <f t="shared" si="73"/>
        <v>196.6725432</v>
      </c>
      <c r="DR12" s="49"/>
      <c r="DS12" s="49"/>
      <c r="DT12" s="49">
        <f t="shared" si="74"/>
        <v>84634.6088</v>
      </c>
      <c r="DU12" s="32">
        <f t="shared" si="75"/>
        <v>84634.6088</v>
      </c>
      <c r="DV12" s="63">
        <f t="shared" si="76"/>
        <v>33283.004420100006</v>
      </c>
      <c r="DW12" s="63">
        <f t="shared" si="77"/>
        <v>673.3429906</v>
      </c>
      <c r="DX12" s="49"/>
      <c r="DY12" s="49"/>
      <c r="DZ12" s="49">
        <f t="shared" si="78"/>
        <v>18044.683999999997</v>
      </c>
      <c r="EA12" s="32">
        <f t="shared" si="79"/>
        <v>18044.683999999997</v>
      </c>
      <c r="EB12" s="63">
        <f t="shared" si="80"/>
        <v>7096.166755499999</v>
      </c>
      <c r="EC12" s="63">
        <f t="shared" si="81"/>
        <v>143.561383</v>
      </c>
      <c r="ED12" s="49"/>
      <c r="EE12" s="49"/>
      <c r="EF12" s="49">
        <f t="shared" si="82"/>
        <v>1470.0783999999999</v>
      </c>
      <c r="EG12" s="32">
        <f t="shared" si="83"/>
        <v>1470.0783999999999</v>
      </c>
      <c r="EH12" s="63">
        <f t="shared" si="84"/>
        <v>578.1160517999999</v>
      </c>
      <c r="EI12" s="63">
        <f t="shared" si="85"/>
        <v>11.6957708</v>
      </c>
      <c r="EJ12" s="49"/>
      <c r="EK12" s="49"/>
      <c r="EL12" s="49">
        <f t="shared" si="86"/>
        <v>1753.2984</v>
      </c>
      <c r="EM12" s="32">
        <f t="shared" si="87"/>
        <v>1753.2984</v>
      </c>
      <c r="EN12" s="63">
        <f t="shared" si="88"/>
        <v>689.4938043</v>
      </c>
      <c r="EO12" s="63">
        <f t="shared" si="89"/>
        <v>13.949035799999999</v>
      </c>
      <c r="EP12" s="49"/>
      <c r="EQ12" s="49"/>
      <c r="ER12" s="49">
        <f t="shared" si="90"/>
        <v>3575.9024</v>
      </c>
      <c r="ES12" s="32">
        <f t="shared" si="91"/>
        <v>3575.9024</v>
      </c>
      <c r="ET12" s="63">
        <f t="shared" si="92"/>
        <v>1406.2423998</v>
      </c>
      <c r="EU12" s="63">
        <f t="shared" si="93"/>
        <v>28.4494588</v>
      </c>
      <c r="EV12" s="49"/>
      <c r="EW12" s="49"/>
      <c r="EX12" s="49">
        <f t="shared" si="94"/>
        <v>98563.9872</v>
      </c>
      <c r="EY12" s="32">
        <f t="shared" si="95"/>
        <v>98563.9872</v>
      </c>
      <c r="EZ12" s="63">
        <f t="shared" si="96"/>
        <v>38760.8056344</v>
      </c>
      <c r="FA12" s="63">
        <f t="shared" si="97"/>
        <v>784.1634864</v>
      </c>
      <c r="FB12" s="32"/>
      <c r="FC12" s="32"/>
      <c r="FD12" s="32">
        <f t="shared" si="98"/>
        <v>3827.992</v>
      </c>
      <c r="FE12" s="32">
        <f t="shared" si="99"/>
        <v>3827.992</v>
      </c>
      <c r="FF12" s="63">
        <f t="shared" si="100"/>
        <v>1505.3779590000001</v>
      </c>
      <c r="FG12" s="63">
        <f t="shared" si="101"/>
        <v>30.455054</v>
      </c>
      <c r="FH12" s="49"/>
      <c r="FI12" s="49"/>
      <c r="FJ12" s="49">
        <f t="shared" si="102"/>
        <v>8203.5744</v>
      </c>
      <c r="FK12" s="32">
        <f t="shared" si="103"/>
        <v>8203.5744</v>
      </c>
      <c r="FL12" s="63">
        <f t="shared" si="104"/>
        <v>3226.0987188</v>
      </c>
      <c r="FM12" s="63">
        <f t="shared" si="105"/>
        <v>65.2666728</v>
      </c>
      <c r="FN12" s="49"/>
      <c r="FO12" s="32"/>
      <c r="FP12" s="32"/>
      <c r="FQ12" s="32"/>
      <c r="FR12" s="32"/>
    </row>
    <row r="13" spans="1:174" s="51" customFormat="1" ht="12.75">
      <c r="A13" s="50">
        <v>45017</v>
      </c>
      <c r="C13" s="34">
        <v>5015000</v>
      </c>
      <c r="D13" s="34">
        <v>952000</v>
      </c>
      <c r="E13" s="34">
        <f t="shared" si="0"/>
        <v>5967000</v>
      </c>
      <c r="F13" s="34">
        <v>374379</v>
      </c>
      <c r="G13" s="34">
        <v>7574</v>
      </c>
      <c r="H13" s="49"/>
      <c r="I13" s="49">
        <f>'2019B Academic'!I13</f>
        <v>1612590.8025000002</v>
      </c>
      <c r="J13" s="49">
        <f>'2019B Academic'!J13</f>
        <v>306118.932</v>
      </c>
      <c r="K13" s="49">
        <f t="shared" si="1"/>
        <v>1918709.7345000003</v>
      </c>
      <c r="L13" s="49">
        <f>'2019B Academic'!L13</f>
        <v>120382.8777765</v>
      </c>
      <c r="M13" s="49">
        <f>'2019B Academic'!M13</f>
        <v>2435.4462089999997</v>
      </c>
      <c r="N13" s="49"/>
      <c r="O13" s="49">
        <f t="shared" si="106"/>
        <v>3402409.1975</v>
      </c>
      <c r="P13" s="39">
        <f t="shared" si="2"/>
        <v>645881.0680000001</v>
      </c>
      <c r="Q13" s="32">
        <f t="shared" si="3"/>
        <v>4048290.2654999997</v>
      </c>
      <c r="R13" s="39">
        <f t="shared" si="4"/>
        <v>253996.12222350002</v>
      </c>
      <c r="S13" s="39">
        <f t="shared" si="5"/>
        <v>5138.553790999999</v>
      </c>
      <c r="T13" s="49"/>
      <c r="U13" s="63">
        <f t="shared" si="107"/>
        <v>275907.7475</v>
      </c>
      <c r="V13" s="63">
        <f t="shared" si="6"/>
        <v>52375.708000000006</v>
      </c>
      <c r="W13" s="20">
        <f t="shared" si="7"/>
        <v>328283.4555</v>
      </c>
      <c r="X13" s="63">
        <f t="shared" si="8"/>
        <v>20597.0222535</v>
      </c>
      <c r="Y13" s="63">
        <f t="shared" si="9"/>
        <v>416.694971</v>
      </c>
      <c r="Z13" s="49"/>
      <c r="AA13" s="63">
        <f t="shared" si="108"/>
        <v>336823.9495</v>
      </c>
      <c r="AB13" s="63">
        <f t="shared" si="10"/>
        <v>63939.461599999995</v>
      </c>
      <c r="AC13" s="20">
        <f t="shared" si="11"/>
        <v>400763.41109999997</v>
      </c>
      <c r="AD13" s="63">
        <f t="shared" si="12"/>
        <v>25144.529090699998</v>
      </c>
      <c r="AE13" s="63">
        <f t="shared" si="13"/>
        <v>508.69483419999995</v>
      </c>
      <c r="AF13" s="49"/>
      <c r="AG13" s="32">
        <f t="shared" si="109"/>
        <v>1233.1885</v>
      </c>
      <c r="AH13" s="32">
        <f t="shared" si="14"/>
        <v>234.0968</v>
      </c>
      <c r="AI13" s="32">
        <f t="shared" si="15"/>
        <v>1467.2853</v>
      </c>
      <c r="AJ13" s="63">
        <f t="shared" si="16"/>
        <v>92.0597961</v>
      </c>
      <c r="AK13" s="63">
        <f t="shared" si="17"/>
        <v>1.8624466000000002</v>
      </c>
      <c r="AL13" s="49"/>
      <c r="AM13" s="63">
        <f t="shared" si="110"/>
        <v>72798.2415</v>
      </c>
      <c r="AN13" s="63">
        <f t="shared" si="18"/>
        <v>13819.3272</v>
      </c>
      <c r="AO13" s="20">
        <f t="shared" si="19"/>
        <v>86617.5687</v>
      </c>
      <c r="AP13" s="63">
        <f t="shared" si="20"/>
        <v>5434.5230019</v>
      </c>
      <c r="AQ13" s="63">
        <f t="shared" si="21"/>
        <v>109.9449414</v>
      </c>
      <c r="AR13" s="49"/>
      <c r="AS13" s="63">
        <f t="shared" si="111"/>
        <v>334964.3875</v>
      </c>
      <c r="AT13" s="63">
        <f t="shared" si="22"/>
        <v>63586.46000000001</v>
      </c>
      <c r="AU13" s="20">
        <f t="shared" si="23"/>
        <v>398550.84750000003</v>
      </c>
      <c r="AV13" s="63">
        <f t="shared" si="24"/>
        <v>25005.709357500004</v>
      </c>
      <c r="AW13" s="63">
        <f t="shared" si="25"/>
        <v>505.88639500000005</v>
      </c>
      <c r="AX13" s="49"/>
      <c r="AY13" s="63">
        <f t="shared" si="112"/>
        <v>52805.944</v>
      </c>
      <c r="AZ13" s="63">
        <f t="shared" si="26"/>
        <v>10024.1792</v>
      </c>
      <c r="BA13" s="20">
        <f t="shared" si="27"/>
        <v>62830.1232</v>
      </c>
      <c r="BB13" s="63">
        <f t="shared" si="28"/>
        <v>3942.0611184</v>
      </c>
      <c r="BC13" s="63">
        <f t="shared" si="29"/>
        <v>79.7511904</v>
      </c>
      <c r="BD13" s="49"/>
      <c r="BE13" s="49">
        <f t="shared" si="113"/>
        <v>2933.2735</v>
      </c>
      <c r="BF13" s="49">
        <f t="shared" si="30"/>
        <v>556.8248</v>
      </c>
      <c r="BG13" s="32">
        <f t="shared" si="31"/>
        <v>3490.0982999999997</v>
      </c>
      <c r="BH13" s="63">
        <f t="shared" si="32"/>
        <v>218.9742771</v>
      </c>
      <c r="BI13" s="63">
        <f t="shared" si="33"/>
        <v>4.4300326</v>
      </c>
      <c r="BJ13" s="49"/>
      <c r="BK13" s="32">
        <f t="shared" si="114"/>
        <v>33787.5595</v>
      </c>
      <c r="BL13" s="32">
        <f t="shared" si="34"/>
        <v>6413.9096</v>
      </c>
      <c r="BM13" s="32">
        <f t="shared" si="35"/>
        <v>40201.4691</v>
      </c>
      <c r="BN13" s="63">
        <f t="shared" si="36"/>
        <v>2522.3036367</v>
      </c>
      <c r="BO13" s="63">
        <f t="shared" si="37"/>
        <v>51.0283102</v>
      </c>
      <c r="BP13" s="49"/>
      <c r="BQ13" s="49">
        <f t="shared" si="115"/>
        <v>47234.278999999995</v>
      </c>
      <c r="BR13" s="49">
        <f t="shared" si="38"/>
        <v>8966.5072</v>
      </c>
      <c r="BS13" s="32">
        <f t="shared" si="39"/>
        <v>56200.786199999995</v>
      </c>
      <c r="BT13" s="63">
        <f t="shared" si="40"/>
        <v>3526.1260494</v>
      </c>
      <c r="BU13" s="63">
        <f t="shared" si="41"/>
        <v>71.3364764</v>
      </c>
      <c r="BV13" s="49"/>
      <c r="BW13" s="49">
        <f t="shared" si="116"/>
        <v>6607.764</v>
      </c>
      <c r="BX13" s="49">
        <f t="shared" si="42"/>
        <v>1254.3552</v>
      </c>
      <c r="BY13" s="32">
        <f t="shared" si="43"/>
        <v>7862.1192</v>
      </c>
      <c r="BZ13" s="63">
        <f t="shared" si="44"/>
        <v>493.28177039999997</v>
      </c>
      <c r="CA13" s="63">
        <f t="shared" si="45"/>
        <v>9.9795024</v>
      </c>
      <c r="CB13" s="49"/>
      <c r="CC13" s="49">
        <f t="shared" si="117"/>
        <v>34326.672</v>
      </c>
      <c r="CD13" s="49">
        <f t="shared" si="46"/>
        <v>6516.2496</v>
      </c>
      <c r="CE13" s="32">
        <f t="shared" si="47"/>
        <v>40842.9216</v>
      </c>
      <c r="CF13" s="63">
        <f t="shared" si="48"/>
        <v>2562.5493791999997</v>
      </c>
      <c r="CG13" s="63">
        <f t="shared" si="49"/>
        <v>51.8425152</v>
      </c>
      <c r="CH13" s="49"/>
      <c r="CI13" s="49">
        <f t="shared" si="118"/>
        <v>1950.835</v>
      </c>
      <c r="CJ13" s="49">
        <f t="shared" si="50"/>
        <v>370.32800000000003</v>
      </c>
      <c r="CK13" s="32">
        <f t="shared" si="51"/>
        <v>2321.163</v>
      </c>
      <c r="CL13" s="63">
        <f t="shared" si="52"/>
        <v>145.633431</v>
      </c>
      <c r="CM13" s="63">
        <f t="shared" si="53"/>
        <v>2.946286</v>
      </c>
      <c r="CN13" s="49"/>
      <c r="CO13" s="49">
        <f t="shared" si="119"/>
        <v>6895.123500000001</v>
      </c>
      <c r="CP13" s="49">
        <f t="shared" si="54"/>
        <v>1308.9048</v>
      </c>
      <c r="CQ13" s="32">
        <f t="shared" si="55"/>
        <v>8204.0283</v>
      </c>
      <c r="CR13" s="63">
        <f t="shared" si="56"/>
        <v>514.7336871</v>
      </c>
      <c r="CS13" s="63">
        <f t="shared" si="57"/>
        <v>10.413492600000001</v>
      </c>
      <c r="CT13" s="49"/>
      <c r="CU13" s="32">
        <f t="shared" si="120"/>
        <v>25063.4655</v>
      </c>
      <c r="CV13" s="32">
        <f t="shared" si="58"/>
        <v>4757.8104</v>
      </c>
      <c r="CW13" s="32">
        <f t="shared" si="59"/>
        <v>29821.2759</v>
      </c>
      <c r="CX13" s="63">
        <f t="shared" si="60"/>
        <v>1871.0339283</v>
      </c>
      <c r="CY13" s="63">
        <f t="shared" si="61"/>
        <v>37.8525798</v>
      </c>
      <c r="CZ13" s="49"/>
      <c r="DA13" s="49">
        <f t="shared" si="121"/>
        <v>171159.94400000002</v>
      </c>
      <c r="DB13" s="49">
        <f t="shared" si="62"/>
        <v>32491.379200000003</v>
      </c>
      <c r="DC13" s="32">
        <f t="shared" si="63"/>
        <v>203651.3232</v>
      </c>
      <c r="DD13" s="63">
        <f t="shared" si="64"/>
        <v>12777.4055184</v>
      </c>
      <c r="DE13" s="63">
        <f t="shared" si="65"/>
        <v>258.49759040000004</v>
      </c>
      <c r="DF13" s="49"/>
      <c r="DG13" s="49">
        <f t="shared" si="122"/>
        <v>708374.2664999999</v>
      </c>
      <c r="DH13" s="49">
        <f t="shared" si="66"/>
        <v>134471.0472</v>
      </c>
      <c r="DI13" s="32">
        <f t="shared" si="67"/>
        <v>842845.3136999999</v>
      </c>
      <c r="DJ13" s="63">
        <f t="shared" si="68"/>
        <v>52881.445566899994</v>
      </c>
      <c r="DK13" s="63">
        <f t="shared" si="69"/>
        <v>1069.8358314</v>
      </c>
      <c r="DL13" s="49"/>
      <c r="DM13" s="49">
        <f t="shared" si="123"/>
        <v>130223.50200000001</v>
      </c>
      <c r="DN13" s="49">
        <f t="shared" si="70"/>
        <v>24720.393600000003</v>
      </c>
      <c r="DO13" s="32">
        <f t="shared" si="71"/>
        <v>154943.89560000002</v>
      </c>
      <c r="DP13" s="63">
        <f t="shared" si="72"/>
        <v>9721.4246172</v>
      </c>
      <c r="DQ13" s="63">
        <f t="shared" si="73"/>
        <v>196.6725432</v>
      </c>
      <c r="DR13" s="49"/>
      <c r="DS13" s="49">
        <f t="shared" si="124"/>
        <v>445843.0285</v>
      </c>
      <c r="DT13" s="49">
        <f t="shared" si="74"/>
        <v>84634.6088</v>
      </c>
      <c r="DU13" s="32">
        <f t="shared" si="75"/>
        <v>530477.6373000001</v>
      </c>
      <c r="DV13" s="63">
        <f t="shared" si="76"/>
        <v>33283.004420100006</v>
      </c>
      <c r="DW13" s="63">
        <f t="shared" si="77"/>
        <v>673.3429906</v>
      </c>
      <c r="DX13" s="49"/>
      <c r="DY13" s="49">
        <f t="shared" si="125"/>
        <v>95056.81749999999</v>
      </c>
      <c r="DZ13" s="49">
        <f t="shared" si="78"/>
        <v>18044.683999999997</v>
      </c>
      <c r="EA13" s="32">
        <f t="shared" si="79"/>
        <v>113101.50149999998</v>
      </c>
      <c r="EB13" s="63">
        <f t="shared" si="80"/>
        <v>7096.166755499999</v>
      </c>
      <c r="EC13" s="63">
        <f t="shared" si="81"/>
        <v>143.561383</v>
      </c>
      <c r="ED13" s="49"/>
      <c r="EE13" s="49">
        <f t="shared" si="126"/>
        <v>7744.163</v>
      </c>
      <c r="EF13" s="49">
        <f t="shared" si="82"/>
        <v>1470.0783999999999</v>
      </c>
      <c r="EG13" s="32">
        <f t="shared" si="83"/>
        <v>9214.241399999999</v>
      </c>
      <c r="EH13" s="63">
        <f t="shared" si="84"/>
        <v>578.1160517999999</v>
      </c>
      <c r="EI13" s="63">
        <f t="shared" si="85"/>
        <v>11.6957708</v>
      </c>
      <c r="EJ13" s="49"/>
      <c r="EK13" s="49">
        <f t="shared" si="127"/>
        <v>9236.1255</v>
      </c>
      <c r="EL13" s="49">
        <f t="shared" si="86"/>
        <v>1753.2984</v>
      </c>
      <c r="EM13" s="32">
        <f t="shared" si="87"/>
        <v>10989.4239</v>
      </c>
      <c r="EN13" s="63">
        <f t="shared" si="88"/>
        <v>689.4938043</v>
      </c>
      <c r="EO13" s="63">
        <f t="shared" si="89"/>
        <v>13.949035799999999</v>
      </c>
      <c r="EP13" s="49"/>
      <c r="EQ13" s="49">
        <f t="shared" si="128"/>
        <v>18837.343</v>
      </c>
      <c r="ER13" s="49">
        <f t="shared" si="90"/>
        <v>3575.9024</v>
      </c>
      <c r="ES13" s="32">
        <f t="shared" si="91"/>
        <v>22413.2454</v>
      </c>
      <c r="ET13" s="63">
        <f t="shared" si="92"/>
        <v>1406.2423998</v>
      </c>
      <c r="EU13" s="63">
        <f t="shared" si="93"/>
        <v>28.4494588</v>
      </c>
      <c r="EV13" s="49"/>
      <c r="EW13" s="49">
        <f t="shared" si="129"/>
        <v>519221.004</v>
      </c>
      <c r="EX13" s="49">
        <f t="shared" si="94"/>
        <v>98563.9872</v>
      </c>
      <c r="EY13" s="32">
        <f t="shared" si="95"/>
        <v>617784.9912</v>
      </c>
      <c r="EZ13" s="63">
        <f t="shared" si="96"/>
        <v>38760.8056344</v>
      </c>
      <c r="FA13" s="63">
        <f t="shared" si="97"/>
        <v>784.1634864</v>
      </c>
      <c r="FB13" s="32"/>
      <c r="FC13" s="32">
        <f t="shared" si="130"/>
        <v>20165.315000000002</v>
      </c>
      <c r="FD13" s="32">
        <f t="shared" si="98"/>
        <v>3827.992</v>
      </c>
      <c r="FE13" s="32">
        <f t="shared" si="99"/>
        <v>23993.307</v>
      </c>
      <c r="FF13" s="63">
        <f t="shared" si="100"/>
        <v>1505.3779590000001</v>
      </c>
      <c r="FG13" s="63">
        <f t="shared" si="101"/>
        <v>30.455054</v>
      </c>
      <c r="FH13" s="49"/>
      <c r="FI13" s="49">
        <f t="shared" si="131"/>
        <v>43215.258</v>
      </c>
      <c r="FJ13" s="49">
        <f t="shared" si="102"/>
        <v>8203.5744</v>
      </c>
      <c r="FK13" s="32">
        <f t="shared" si="103"/>
        <v>51418.8324</v>
      </c>
      <c r="FL13" s="63">
        <f t="shared" si="104"/>
        <v>3226.0987188</v>
      </c>
      <c r="FM13" s="63">
        <f t="shared" si="105"/>
        <v>65.2666728</v>
      </c>
      <c r="FN13" s="49"/>
      <c r="FO13" s="32"/>
      <c r="FP13" s="32"/>
      <c r="FQ13" s="32"/>
      <c r="FR13" s="32"/>
    </row>
    <row r="14" spans="1:174" s="51" customFormat="1" ht="12.75">
      <c r="A14" s="50">
        <v>45200</v>
      </c>
      <c r="C14" s="34"/>
      <c r="D14" s="34">
        <v>826625</v>
      </c>
      <c r="E14" s="34">
        <f t="shared" si="0"/>
        <v>826625</v>
      </c>
      <c r="F14" s="34">
        <v>374379</v>
      </c>
      <c r="G14" s="34">
        <v>7574</v>
      </c>
      <c r="H14" s="49"/>
      <c r="I14" s="49">
        <f>'2019B Academic'!I14</f>
        <v>0</v>
      </c>
      <c r="J14" s="49">
        <f>'2019B Academic'!J14</f>
        <v>265804.16193750006</v>
      </c>
      <c r="K14" s="49">
        <f t="shared" si="1"/>
        <v>265804.16193750006</v>
      </c>
      <c r="L14" s="49">
        <f>'2019B Academic'!L14</f>
        <v>120382.8777765</v>
      </c>
      <c r="M14" s="49">
        <f>'2019B Academic'!M14</f>
        <v>2435.4462089999997</v>
      </c>
      <c r="N14" s="49"/>
      <c r="O14" s="49"/>
      <c r="P14" s="39">
        <f t="shared" si="2"/>
        <v>560820.8380625</v>
      </c>
      <c r="Q14" s="32">
        <f t="shared" si="3"/>
        <v>560820.8380625</v>
      </c>
      <c r="R14" s="39">
        <f t="shared" si="4"/>
        <v>253996.12222350002</v>
      </c>
      <c r="S14" s="39">
        <f t="shared" si="5"/>
        <v>5138.553790999999</v>
      </c>
      <c r="T14" s="49"/>
      <c r="U14" s="63"/>
      <c r="V14" s="63">
        <f t="shared" si="6"/>
        <v>45478.0143125</v>
      </c>
      <c r="W14" s="20">
        <f t="shared" si="7"/>
        <v>45478.0143125</v>
      </c>
      <c r="X14" s="63">
        <f t="shared" si="8"/>
        <v>20597.0222535</v>
      </c>
      <c r="Y14" s="63">
        <f t="shared" si="9"/>
        <v>416.694971</v>
      </c>
      <c r="Z14" s="49"/>
      <c r="AA14" s="63"/>
      <c r="AB14" s="63">
        <f t="shared" si="10"/>
        <v>55518.8628625</v>
      </c>
      <c r="AC14" s="20">
        <f t="shared" si="11"/>
        <v>55518.8628625</v>
      </c>
      <c r="AD14" s="63">
        <f t="shared" si="12"/>
        <v>25144.529090699998</v>
      </c>
      <c r="AE14" s="63">
        <f t="shared" si="13"/>
        <v>508.69483419999995</v>
      </c>
      <c r="AF14" s="49"/>
      <c r="AG14" s="32"/>
      <c r="AH14" s="32">
        <f t="shared" si="14"/>
        <v>203.2670875</v>
      </c>
      <c r="AI14" s="32">
        <f t="shared" si="15"/>
        <v>203.2670875</v>
      </c>
      <c r="AJ14" s="63">
        <f t="shared" si="16"/>
        <v>92.0597961</v>
      </c>
      <c r="AK14" s="63">
        <f t="shared" si="17"/>
        <v>1.8624466000000002</v>
      </c>
      <c r="AL14" s="49"/>
      <c r="AM14" s="63"/>
      <c r="AN14" s="63">
        <f t="shared" si="18"/>
        <v>11999.3711625</v>
      </c>
      <c r="AO14" s="20">
        <f t="shared" si="19"/>
        <v>11999.3711625</v>
      </c>
      <c r="AP14" s="63">
        <f t="shared" si="20"/>
        <v>5434.5230019</v>
      </c>
      <c r="AQ14" s="63">
        <f t="shared" si="21"/>
        <v>109.9449414</v>
      </c>
      <c r="AR14" s="49"/>
      <c r="AS14" s="63"/>
      <c r="AT14" s="63">
        <f t="shared" si="22"/>
        <v>55212.350312500006</v>
      </c>
      <c r="AU14" s="20">
        <f t="shared" si="23"/>
        <v>55212.350312500006</v>
      </c>
      <c r="AV14" s="63">
        <f t="shared" si="24"/>
        <v>25005.709357500004</v>
      </c>
      <c r="AW14" s="63">
        <f t="shared" si="25"/>
        <v>505.88639500000005</v>
      </c>
      <c r="AX14" s="49"/>
      <c r="AY14" s="63"/>
      <c r="AZ14" s="63">
        <f t="shared" si="26"/>
        <v>8704.0306</v>
      </c>
      <c r="BA14" s="20">
        <f t="shared" si="27"/>
        <v>8704.0306</v>
      </c>
      <c r="BB14" s="63">
        <f t="shared" si="28"/>
        <v>3942.0611184</v>
      </c>
      <c r="BC14" s="63">
        <f t="shared" si="29"/>
        <v>79.7511904</v>
      </c>
      <c r="BD14" s="49"/>
      <c r="BE14" s="49"/>
      <c r="BF14" s="49">
        <f t="shared" si="30"/>
        <v>483.4929625</v>
      </c>
      <c r="BG14" s="32">
        <f t="shared" si="31"/>
        <v>483.4929625</v>
      </c>
      <c r="BH14" s="63">
        <f t="shared" si="32"/>
        <v>218.9742771</v>
      </c>
      <c r="BI14" s="63">
        <f t="shared" si="33"/>
        <v>4.4300326</v>
      </c>
      <c r="BJ14" s="49"/>
      <c r="BK14" s="32"/>
      <c r="BL14" s="32">
        <f t="shared" si="34"/>
        <v>5569.2206125</v>
      </c>
      <c r="BM14" s="32">
        <f t="shared" si="35"/>
        <v>5569.2206125</v>
      </c>
      <c r="BN14" s="63">
        <f t="shared" si="36"/>
        <v>2522.3036367</v>
      </c>
      <c r="BO14" s="63">
        <f t="shared" si="37"/>
        <v>51.0283102</v>
      </c>
      <c r="BP14" s="49"/>
      <c r="BQ14" s="49"/>
      <c r="BR14" s="49">
        <f t="shared" si="38"/>
        <v>7785.650224999999</v>
      </c>
      <c r="BS14" s="32">
        <f t="shared" si="39"/>
        <v>7785.650224999999</v>
      </c>
      <c r="BT14" s="63">
        <f t="shared" si="40"/>
        <v>3526.1260494</v>
      </c>
      <c r="BU14" s="63">
        <f t="shared" si="41"/>
        <v>71.3364764</v>
      </c>
      <c r="BV14" s="49"/>
      <c r="BW14" s="49"/>
      <c r="BX14" s="49">
        <f t="shared" si="42"/>
        <v>1089.1611</v>
      </c>
      <c r="BY14" s="32">
        <f t="shared" si="43"/>
        <v>1089.1611</v>
      </c>
      <c r="BZ14" s="63">
        <f t="shared" si="44"/>
        <v>493.28177039999997</v>
      </c>
      <c r="CA14" s="63">
        <f t="shared" si="45"/>
        <v>9.9795024</v>
      </c>
      <c r="CB14" s="49"/>
      <c r="CC14" s="49"/>
      <c r="CD14" s="49">
        <f t="shared" si="46"/>
        <v>5658.0828</v>
      </c>
      <c r="CE14" s="32">
        <f t="shared" si="47"/>
        <v>5658.0828</v>
      </c>
      <c r="CF14" s="63">
        <f t="shared" si="48"/>
        <v>2562.5493791999997</v>
      </c>
      <c r="CG14" s="63">
        <f t="shared" si="49"/>
        <v>51.8425152</v>
      </c>
      <c r="CH14" s="49"/>
      <c r="CI14" s="49"/>
      <c r="CJ14" s="49">
        <f t="shared" si="50"/>
        <v>321.55712500000004</v>
      </c>
      <c r="CK14" s="32">
        <f t="shared" si="51"/>
        <v>321.55712500000004</v>
      </c>
      <c r="CL14" s="63">
        <f t="shared" si="52"/>
        <v>145.633431</v>
      </c>
      <c r="CM14" s="63">
        <f t="shared" si="53"/>
        <v>2.946286</v>
      </c>
      <c r="CN14" s="49"/>
      <c r="CO14" s="49"/>
      <c r="CP14" s="49">
        <f t="shared" si="54"/>
        <v>1136.5267125</v>
      </c>
      <c r="CQ14" s="32">
        <f t="shared" si="55"/>
        <v>1136.5267125</v>
      </c>
      <c r="CR14" s="63">
        <f t="shared" si="56"/>
        <v>514.7336871</v>
      </c>
      <c r="CS14" s="63">
        <f t="shared" si="57"/>
        <v>10.413492600000001</v>
      </c>
      <c r="CT14" s="49"/>
      <c r="CU14" s="32"/>
      <c r="CV14" s="32">
        <f t="shared" si="58"/>
        <v>4131.2237625</v>
      </c>
      <c r="CW14" s="32">
        <f t="shared" si="59"/>
        <v>4131.2237625</v>
      </c>
      <c r="CX14" s="63">
        <f t="shared" si="60"/>
        <v>1871.0339283</v>
      </c>
      <c r="CY14" s="63">
        <f t="shared" si="61"/>
        <v>37.8525798</v>
      </c>
      <c r="CZ14" s="49"/>
      <c r="DA14" s="49"/>
      <c r="DB14" s="49">
        <f t="shared" si="62"/>
        <v>28212.380600000004</v>
      </c>
      <c r="DC14" s="32">
        <f t="shared" si="63"/>
        <v>28212.380600000004</v>
      </c>
      <c r="DD14" s="63">
        <f t="shared" si="64"/>
        <v>12777.4055184</v>
      </c>
      <c r="DE14" s="63">
        <f t="shared" si="65"/>
        <v>258.49759040000004</v>
      </c>
      <c r="DF14" s="49"/>
      <c r="DG14" s="49"/>
      <c r="DH14" s="49">
        <f t="shared" si="66"/>
        <v>116761.69053749999</v>
      </c>
      <c r="DI14" s="32">
        <f t="shared" si="67"/>
        <v>116761.69053749999</v>
      </c>
      <c r="DJ14" s="63">
        <f t="shared" si="68"/>
        <v>52881.445566899994</v>
      </c>
      <c r="DK14" s="63">
        <f t="shared" si="69"/>
        <v>1069.8358314</v>
      </c>
      <c r="DL14" s="49"/>
      <c r="DM14" s="49"/>
      <c r="DN14" s="49">
        <f t="shared" si="70"/>
        <v>21464.806050000003</v>
      </c>
      <c r="DO14" s="32">
        <f t="shared" si="71"/>
        <v>21464.806050000003</v>
      </c>
      <c r="DP14" s="63">
        <f t="shared" si="72"/>
        <v>9721.4246172</v>
      </c>
      <c r="DQ14" s="63">
        <f t="shared" si="73"/>
        <v>196.6725432</v>
      </c>
      <c r="DR14" s="49"/>
      <c r="DS14" s="49"/>
      <c r="DT14" s="49">
        <f t="shared" si="74"/>
        <v>73488.5330875</v>
      </c>
      <c r="DU14" s="32">
        <f t="shared" si="75"/>
        <v>73488.5330875</v>
      </c>
      <c r="DV14" s="63">
        <f t="shared" si="76"/>
        <v>33283.004420100006</v>
      </c>
      <c r="DW14" s="63">
        <f t="shared" si="77"/>
        <v>673.3429906</v>
      </c>
      <c r="DX14" s="49"/>
      <c r="DY14" s="49"/>
      <c r="DZ14" s="49">
        <f t="shared" si="78"/>
        <v>15668.263562499998</v>
      </c>
      <c r="EA14" s="32">
        <f t="shared" si="79"/>
        <v>15668.263562499998</v>
      </c>
      <c r="EB14" s="63">
        <f t="shared" si="80"/>
        <v>7096.166755499999</v>
      </c>
      <c r="EC14" s="63">
        <f t="shared" si="81"/>
        <v>143.561383</v>
      </c>
      <c r="ED14" s="49"/>
      <c r="EE14" s="49"/>
      <c r="EF14" s="49">
        <f t="shared" si="82"/>
        <v>1276.474325</v>
      </c>
      <c r="EG14" s="32">
        <f t="shared" si="83"/>
        <v>1276.474325</v>
      </c>
      <c r="EH14" s="63">
        <f t="shared" si="84"/>
        <v>578.1160517999999</v>
      </c>
      <c r="EI14" s="63">
        <f t="shared" si="85"/>
        <v>11.6957708</v>
      </c>
      <c r="EJ14" s="49"/>
      <c r="EK14" s="49"/>
      <c r="EL14" s="49">
        <f t="shared" si="86"/>
        <v>1522.3952625</v>
      </c>
      <c r="EM14" s="32">
        <f t="shared" si="87"/>
        <v>1522.3952625</v>
      </c>
      <c r="EN14" s="63">
        <f t="shared" si="88"/>
        <v>689.4938043</v>
      </c>
      <c r="EO14" s="63">
        <f t="shared" si="89"/>
        <v>13.949035799999999</v>
      </c>
      <c r="EP14" s="49"/>
      <c r="EQ14" s="49"/>
      <c r="ER14" s="49">
        <f t="shared" si="90"/>
        <v>3104.968825</v>
      </c>
      <c r="ES14" s="32">
        <f t="shared" si="91"/>
        <v>3104.968825</v>
      </c>
      <c r="ET14" s="63">
        <f t="shared" si="92"/>
        <v>1406.2423998</v>
      </c>
      <c r="EU14" s="63">
        <f t="shared" si="93"/>
        <v>28.4494588</v>
      </c>
      <c r="EV14" s="49"/>
      <c r="EW14" s="49"/>
      <c r="EX14" s="49">
        <f t="shared" si="94"/>
        <v>85583.4621</v>
      </c>
      <c r="EY14" s="32">
        <f t="shared" si="95"/>
        <v>85583.4621</v>
      </c>
      <c r="EZ14" s="63">
        <f t="shared" si="96"/>
        <v>38760.8056344</v>
      </c>
      <c r="FA14" s="63">
        <f t="shared" si="97"/>
        <v>784.1634864</v>
      </c>
      <c r="FB14" s="32"/>
      <c r="FC14" s="32"/>
      <c r="FD14" s="32">
        <f t="shared" si="98"/>
        <v>3323.8591250000004</v>
      </c>
      <c r="FE14" s="32">
        <f t="shared" si="99"/>
        <v>3323.8591250000004</v>
      </c>
      <c r="FF14" s="63">
        <f t="shared" si="100"/>
        <v>1505.3779590000001</v>
      </c>
      <c r="FG14" s="63">
        <f t="shared" si="101"/>
        <v>30.455054</v>
      </c>
      <c r="FH14" s="49"/>
      <c r="FI14" s="49"/>
      <c r="FJ14" s="49">
        <f t="shared" si="102"/>
        <v>7123.192950000001</v>
      </c>
      <c r="FK14" s="32">
        <f t="shared" si="103"/>
        <v>7123.192950000001</v>
      </c>
      <c r="FL14" s="63">
        <f t="shared" si="104"/>
        <v>3226.0987188</v>
      </c>
      <c r="FM14" s="63">
        <f t="shared" si="105"/>
        <v>65.2666728</v>
      </c>
      <c r="FN14" s="49"/>
      <c r="FO14" s="32"/>
      <c r="FP14" s="32"/>
      <c r="FQ14" s="32"/>
      <c r="FR14" s="32"/>
    </row>
    <row r="15" spans="1:174" s="51" customFormat="1" ht="12.75">
      <c r="A15" s="50">
        <v>45383</v>
      </c>
      <c r="C15" s="34">
        <v>5155000</v>
      </c>
      <c r="D15" s="34">
        <v>826625</v>
      </c>
      <c r="E15" s="34">
        <f t="shared" si="0"/>
        <v>5981625</v>
      </c>
      <c r="F15" s="34">
        <v>374379</v>
      </c>
      <c r="G15" s="34">
        <v>7574</v>
      </c>
      <c r="H15" s="49"/>
      <c r="I15" s="49">
        <f>'2019B Academic'!I15</f>
        <v>1657608.2925000002</v>
      </c>
      <c r="J15" s="49">
        <f>'2019B Academic'!J15</f>
        <v>265804.16193750006</v>
      </c>
      <c r="K15" s="49">
        <f t="shared" si="1"/>
        <v>1923412.4544375003</v>
      </c>
      <c r="L15" s="49">
        <f>'2019B Academic'!L15</f>
        <v>120382.8777765</v>
      </c>
      <c r="M15" s="49">
        <f>'2019B Academic'!M15</f>
        <v>2435.4462089999997</v>
      </c>
      <c r="N15" s="49"/>
      <c r="O15" s="49">
        <f t="shared" si="106"/>
        <v>3497391.7074999996</v>
      </c>
      <c r="P15" s="39">
        <f t="shared" si="2"/>
        <v>560820.8380625</v>
      </c>
      <c r="Q15" s="32">
        <f t="shared" si="3"/>
        <v>4058212.5455624997</v>
      </c>
      <c r="R15" s="39">
        <f t="shared" si="4"/>
        <v>253996.12222350002</v>
      </c>
      <c r="S15" s="39">
        <f t="shared" si="5"/>
        <v>5138.553790999999</v>
      </c>
      <c r="T15" s="49"/>
      <c r="U15" s="63">
        <f t="shared" si="107"/>
        <v>283610.0575</v>
      </c>
      <c r="V15" s="63">
        <f t="shared" si="6"/>
        <v>45478.0143125</v>
      </c>
      <c r="W15" s="20">
        <f t="shared" si="7"/>
        <v>329088.0718125</v>
      </c>
      <c r="X15" s="63">
        <f t="shared" si="8"/>
        <v>20597.0222535</v>
      </c>
      <c r="Y15" s="63">
        <f t="shared" si="9"/>
        <v>416.694971</v>
      </c>
      <c r="Z15" s="49"/>
      <c r="AA15" s="63">
        <f t="shared" si="108"/>
        <v>346226.81149999995</v>
      </c>
      <c r="AB15" s="63">
        <f t="shared" si="10"/>
        <v>55518.8628625</v>
      </c>
      <c r="AC15" s="20">
        <f t="shared" si="11"/>
        <v>401745.67436249997</v>
      </c>
      <c r="AD15" s="63">
        <f t="shared" si="12"/>
        <v>25144.529090699998</v>
      </c>
      <c r="AE15" s="63">
        <f t="shared" si="13"/>
        <v>508.69483419999995</v>
      </c>
      <c r="AF15" s="49"/>
      <c r="AG15" s="32">
        <f t="shared" si="109"/>
        <v>1267.6145000000001</v>
      </c>
      <c r="AH15" s="32">
        <f t="shared" si="14"/>
        <v>203.2670875</v>
      </c>
      <c r="AI15" s="32">
        <f t="shared" si="15"/>
        <v>1470.8815875</v>
      </c>
      <c r="AJ15" s="63">
        <f t="shared" si="16"/>
        <v>92.0597961</v>
      </c>
      <c r="AK15" s="63">
        <f t="shared" si="17"/>
        <v>1.8624466000000002</v>
      </c>
      <c r="AL15" s="49"/>
      <c r="AM15" s="63">
        <f t="shared" si="110"/>
        <v>74830.4955</v>
      </c>
      <c r="AN15" s="63">
        <f t="shared" si="18"/>
        <v>11999.3711625</v>
      </c>
      <c r="AO15" s="20">
        <f t="shared" si="19"/>
        <v>86829.8666625</v>
      </c>
      <c r="AP15" s="63">
        <f t="shared" si="20"/>
        <v>5434.5230019</v>
      </c>
      <c r="AQ15" s="63">
        <f t="shared" si="21"/>
        <v>109.9449414</v>
      </c>
      <c r="AR15" s="49"/>
      <c r="AS15" s="63">
        <f t="shared" si="111"/>
        <v>344315.3375</v>
      </c>
      <c r="AT15" s="63">
        <f t="shared" si="22"/>
        <v>55212.350312500006</v>
      </c>
      <c r="AU15" s="20">
        <f t="shared" si="23"/>
        <v>399527.68781250005</v>
      </c>
      <c r="AV15" s="63">
        <f t="shared" si="24"/>
        <v>25005.709357500004</v>
      </c>
      <c r="AW15" s="63">
        <f t="shared" si="25"/>
        <v>505.88639500000005</v>
      </c>
      <c r="AX15" s="49"/>
      <c r="AY15" s="63">
        <f t="shared" si="112"/>
        <v>54280.088</v>
      </c>
      <c r="AZ15" s="63">
        <f t="shared" si="26"/>
        <v>8704.0306</v>
      </c>
      <c r="BA15" s="20">
        <f t="shared" si="27"/>
        <v>62984.1186</v>
      </c>
      <c r="BB15" s="63">
        <f t="shared" si="28"/>
        <v>3942.0611184</v>
      </c>
      <c r="BC15" s="63">
        <f t="shared" si="29"/>
        <v>79.7511904</v>
      </c>
      <c r="BD15" s="49"/>
      <c r="BE15" s="49">
        <f t="shared" si="113"/>
        <v>3015.1594999999998</v>
      </c>
      <c r="BF15" s="49">
        <f t="shared" si="30"/>
        <v>483.4929625</v>
      </c>
      <c r="BG15" s="32">
        <f t="shared" si="31"/>
        <v>3498.6524624999997</v>
      </c>
      <c r="BH15" s="63">
        <f t="shared" si="32"/>
        <v>218.9742771</v>
      </c>
      <c r="BI15" s="63">
        <f t="shared" si="33"/>
        <v>4.4300326</v>
      </c>
      <c r="BJ15" s="49"/>
      <c r="BK15" s="32">
        <f t="shared" si="114"/>
        <v>34730.7815</v>
      </c>
      <c r="BL15" s="32">
        <f t="shared" si="34"/>
        <v>5569.2206125</v>
      </c>
      <c r="BM15" s="32">
        <f t="shared" si="35"/>
        <v>40300.0021125</v>
      </c>
      <c r="BN15" s="63">
        <f t="shared" si="36"/>
        <v>2522.3036367</v>
      </c>
      <c r="BO15" s="63">
        <f t="shared" si="37"/>
        <v>51.0283102</v>
      </c>
      <c r="BP15" s="49"/>
      <c r="BQ15" s="49">
        <f t="shared" si="115"/>
        <v>48552.882999999994</v>
      </c>
      <c r="BR15" s="49">
        <f t="shared" si="38"/>
        <v>7785.650224999999</v>
      </c>
      <c r="BS15" s="32">
        <f t="shared" si="39"/>
        <v>56338.53322499999</v>
      </c>
      <c r="BT15" s="63">
        <f t="shared" si="40"/>
        <v>3526.1260494</v>
      </c>
      <c r="BU15" s="63">
        <f t="shared" si="41"/>
        <v>71.3364764</v>
      </c>
      <c r="BV15" s="49"/>
      <c r="BW15" s="49">
        <f t="shared" si="116"/>
        <v>6792.228</v>
      </c>
      <c r="BX15" s="49">
        <f t="shared" si="42"/>
        <v>1089.1611</v>
      </c>
      <c r="BY15" s="32">
        <f t="shared" si="43"/>
        <v>7881.3891</v>
      </c>
      <c r="BZ15" s="63">
        <f t="shared" si="44"/>
        <v>493.28177039999997</v>
      </c>
      <c r="CA15" s="63">
        <f t="shared" si="45"/>
        <v>9.9795024</v>
      </c>
      <c r="CB15" s="49"/>
      <c r="CC15" s="49">
        <f t="shared" si="117"/>
        <v>35284.943999999996</v>
      </c>
      <c r="CD15" s="49">
        <f t="shared" si="46"/>
        <v>5658.0828</v>
      </c>
      <c r="CE15" s="32">
        <f t="shared" si="47"/>
        <v>40943.02679999999</v>
      </c>
      <c r="CF15" s="63">
        <f t="shared" si="48"/>
        <v>2562.5493791999997</v>
      </c>
      <c r="CG15" s="63">
        <f t="shared" si="49"/>
        <v>51.8425152</v>
      </c>
      <c r="CH15" s="49"/>
      <c r="CI15" s="49">
        <f t="shared" si="118"/>
        <v>2005.295</v>
      </c>
      <c r="CJ15" s="49">
        <f t="shared" si="50"/>
        <v>321.55712500000004</v>
      </c>
      <c r="CK15" s="32">
        <f t="shared" si="51"/>
        <v>2326.8521250000003</v>
      </c>
      <c r="CL15" s="63">
        <f t="shared" si="52"/>
        <v>145.633431</v>
      </c>
      <c r="CM15" s="63">
        <f t="shared" si="53"/>
        <v>2.946286</v>
      </c>
      <c r="CN15" s="49"/>
      <c r="CO15" s="49">
        <f t="shared" si="119"/>
        <v>7087.6095000000005</v>
      </c>
      <c r="CP15" s="49">
        <f t="shared" si="54"/>
        <v>1136.5267125</v>
      </c>
      <c r="CQ15" s="32">
        <f t="shared" si="55"/>
        <v>8224.136212500001</v>
      </c>
      <c r="CR15" s="63">
        <f t="shared" si="56"/>
        <v>514.7336871</v>
      </c>
      <c r="CS15" s="63">
        <f t="shared" si="57"/>
        <v>10.413492600000001</v>
      </c>
      <c r="CT15" s="49"/>
      <c r="CU15" s="32">
        <f t="shared" si="120"/>
        <v>25763.1435</v>
      </c>
      <c r="CV15" s="32">
        <f t="shared" si="58"/>
        <v>4131.2237625</v>
      </c>
      <c r="CW15" s="32">
        <f t="shared" si="59"/>
        <v>29894.367262499996</v>
      </c>
      <c r="CX15" s="63">
        <f t="shared" si="60"/>
        <v>1871.0339283</v>
      </c>
      <c r="CY15" s="63">
        <f t="shared" si="61"/>
        <v>37.8525798</v>
      </c>
      <c r="CZ15" s="49"/>
      <c r="DA15" s="49">
        <f t="shared" si="121"/>
        <v>175938.08800000002</v>
      </c>
      <c r="DB15" s="49">
        <f t="shared" si="62"/>
        <v>28212.380600000004</v>
      </c>
      <c r="DC15" s="32">
        <f t="shared" si="63"/>
        <v>204150.46860000002</v>
      </c>
      <c r="DD15" s="63">
        <f t="shared" si="64"/>
        <v>12777.4055184</v>
      </c>
      <c r="DE15" s="63">
        <f t="shared" si="65"/>
        <v>258.49759040000004</v>
      </c>
      <c r="DF15" s="49"/>
      <c r="DG15" s="49">
        <f t="shared" si="122"/>
        <v>728149.4205</v>
      </c>
      <c r="DH15" s="49">
        <f t="shared" si="66"/>
        <v>116761.69053749999</v>
      </c>
      <c r="DI15" s="32">
        <f t="shared" si="67"/>
        <v>844911.1110375</v>
      </c>
      <c r="DJ15" s="63">
        <f t="shared" si="68"/>
        <v>52881.445566899994</v>
      </c>
      <c r="DK15" s="63">
        <f t="shared" si="69"/>
        <v>1069.8358314</v>
      </c>
      <c r="DL15" s="49"/>
      <c r="DM15" s="49">
        <f t="shared" si="123"/>
        <v>133858.85400000002</v>
      </c>
      <c r="DN15" s="49">
        <f t="shared" si="70"/>
        <v>21464.806050000003</v>
      </c>
      <c r="DO15" s="32">
        <f t="shared" si="71"/>
        <v>155323.66005000003</v>
      </c>
      <c r="DP15" s="63">
        <f t="shared" si="72"/>
        <v>9721.4246172</v>
      </c>
      <c r="DQ15" s="63">
        <f t="shared" si="73"/>
        <v>196.6725432</v>
      </c>
      <c r="DR15" s="49"/>
      <c r="DS15" s="49">
        <f t="shared" si="124"/>
        <v>458289.2945</v>
      </c>
      <c r="DT15" s="49">
        <f t="shared" si="74"/>
        <v>73488.5330875</v>
      </c>
      <c r="DU15" s="32">
        <f t="shared" si="75"/>
        <v>531777.8275875</v>
      </c>
      <c r="DV15" s="63">
        <f t="shared" si="76"/>
        <v>33283.004420100006</v>
      </c>
      <c r="DW15" s="63">
        <f t="shared" si="77"/>
        <v>673.3429906</v>
      </c>
      <c r="DX15" s="49"/>
      <c r="DY15" s="49">
        <f t="shared" si="125"/>
        <v>97710.4475</v>
      </c>
      <c r="DZ15" s="49">
        <f t="shared" si="78"/>
        <v>15668.263562499998</v>
      </c>
      <c r="EA15" s="32">
        <f t="shared" si="79"/>
        <v>113378.71106249999</v>
      </c>
      <c r="EB15" s="63">
        <f t="shared" si="80"/>
        <v>7096.166755499999</v>
      </c>
      <c r="EC15" s="63">
        <f t="shared" si="81"/>
        <v>143.561383</v>
      </c>
      <c r="ED15" s="49"/>
      <c r="EE15" s="49">
        <f t="shared" si="126"/>
        <v>7960.351</v>
      </c>
      <c r="EF15" s="49">
        <f t="shared" si="82"/>
        <v>1276.474325</v>
      </c>
      <c r="EG15" s="32">
        <f t="shared" si="83"/>
        <v>9236.825325</v>
      </c>
      <c r="EH15" s="63">
        <f t="shared" si="84"/>
        <v>578.1160517999999</v>
      </c>
      <c r="EI15" s="63">
        <f t="shared" si="85"/>
        <v>11.6957708</v>
      </c>
      <c r="EJ15" s="49"/>
      <c r="EK15" s="49">
        <f t="shared" si="127"/>
        <v>9493.9635</v>
      </c>
      <c r="EL15" s="49">
        <f t="shared" si="86"/>
        <v>1522.3952625</v>
      </c>
      <c r="EM15" s="32">
        <f t="shared" si="87"/>
        <v>11016.3587625</v>
      </c>
      <c r="EN15" s="63">
        <f t="shared" si="88"/>
        <v>689.4938043</v>
      </c>
      <c r="EO15" s="63">
        <f t="shared" si="89"/>
        <v>13.949035799999999</v>
      </c>
      <c r="EP15" s="49"/>
      <c r="EQ15" s="49">
        <f t="shared" si="128"/>
        <v>19363.211</v>
      </c>
      <c r="ER15" s="49">
        <f t="shared" si="90"/>
        <v>3104.968825</v>
      </c>
      <c r="ES15" s="32">
        <f t="shared" si="91"/>
        <v>22468.179825</v>
      </c>
      <c r="ET15" s="63">
        <f t="shared" si="92"/>
        <v>1406.2423998</v>
      </c>
      <c r="EU15" s="63">
        <f t="shared" si="93"/>
        <v>28.4494588</v>
      </c>
      <c r="EV15" s="49"/>
      <c r="EW15" s="49">
        <f t="shared" si="129"/>
        <v>533715.708</v>
      </c>
      <c r="EX15" s="49">
        <f t="shared" si="94"/>
        <v>85583.4621</v>
      </c>
      <c r="EY15" s="32">
        <f t="shared" si="95"/>
        <v>619299.1701</v>
      </c>
      <c r="EZ15" s="63">
        <f t="shared" si="96"/>
        <v>38760.8056344</v>
      </c>
      <c r="FA15" s="63">
        <f t="shared" si="97"/>
        <v>784.1634864</v>
      </c>
      <c r="FB15" s="32"/>
      <c r="FC15" s="32">
        <f t="shared" si="130"/>
        <v>20728.255</v>
      </c>
      <c r="FD15" s="32">
        <f t="shared" si="98"/>
        <v>3323.8591250000004</v>
      </c>
      <c r="FE15" s="32">
        <f t="shared" si="99"/>
        <v>24052.114125</v>
      </c>
      <c r="FF15" s="63">
        <f t="shared" si="100"/>
        <v>1505.3779590000001</v>
      </c>
      <c r="FG15" s="63">
        <f t="shared" si="101"/>
        <v>30.455054</v>
      </c>
      <c r="FH15" s="49"/>
      <c r="FI15" s="49">
        <f t="shared" si="131"/>
        <v>44421.666</v>
      </c>
      <c r="FJ15" s="49">
        <f t="shared" si="102"/>
        <v>7123.192950000001</v>
      </c>
      <c r="FK15" s="32">
        <f t="shared" si="103"/>
        <v>51544.858949999994</v>
      </c>
      <c r="FL15" s="63">
        <f t="shared" si="104"/>
        <v>3226.0987188</v>
      </c>
      <c r="FM15" s="63">
        <f t="shared" si="105"/>
        <v>65.2666728</v>
      </c>
      <c r="FN15" s="49"/>
      <c r="FO15" s="32"/>
      <c r="FP15" s="32"/>
      <c r="FQ15" s="32"/>
      <c r="FR15" s="32"/>
    </row>
    <row r="16" spans="1:174" s="51" customFormat="1" ht="12.75">
      <c r="A16" s="50">
        <v>45566</v>
      </c>
      <c r="C16" s="34"/>
      <c r="D16" s="34">
        <v>697750</v>
      </c>
      <c r="E16" s="34">
        <f t="shared" si="0"/>
        <v>697750</v>
      </c>
      <c r="F16" s="34">
        <v>374379</v>
      </c>
      <c r="G16" s="34">
        <v>7574</v>
      </c>
      <c r="H16" s="49"/>
      <c r="I16" s="49">
        <f>'2019B Academic'!I16</f>
        <v>0</v>
      </c>
      <c r="J16" s="49">
        <f>'2019B Academic'!J16</f>
        <v>224363.954625</v>
      </c>
      <c r="K16" s="49">
        <f t="shared" si="1"/>
        <v>224363.954625</v>
      </c>
      <c r="L16" s="49">
        <f>'2019B Academic'!L16</f>
        <v>120382.8777765</v>
      </c>
      <c r="M16" s="49">
        <f>'2019B Academic'!M16</f>
        <v>2435.4462089999997</v>
      </c>
      <c r="N16" s="49"/>
      <c r="O16" s="49"/>
      <c r="P16" s="39">
        <f t="shared" si="2"/>
        <v>473386.045375</v>
      </c>
      <c r="Q16" s="32">
        <f t="shared" si="3"/>
        <v>473386.045375</v>
      </c>
      <c r="R16" s="39">
        <f t="shared" si="4"/>
        <v>253996.12222350002</v>
      </c>
      <c r="S16" s="39">
        <f t="shared" si="5"/>
        <v>5138.553790999999</v>
      </c>
      <c r="T16" s="49"/>
      <c r="U16" s="63"/>
      <c r="V16" s="63">
        <f t="shared" si="6"/>
        <v>38387.762875</v>
      </c>
      <c r="W16" s="20">
        <f t="shared" si="7"/>
        <v>38387.762875</v>
      </c>
      <c r="X16" s="63">
        <f t="shared" si="8"/>
        <v>20597.0222535</v>
      </c>
      <c r="Y16" s="63">
        <f t="shared" si="9"/>
        <v>416.694971</v>
      </c>
      <c r="Z16" s="49"/>
      <c r="AA16" s="63"/>
      <c r="AB16" s="63">
        <f t="shared" si="10"/>
        <v>46863.192574999994</v>
      </c>
      <c r="AC16" s="20">
        <f t="shared" si="11"/>
        <v>46863.192574999994</v>
      </c>
      <c r="AD16" s="63">
        <f t="shared" si="12"/>
        <v>25144.529090699998</v>
      </c>
      <c r="AE16" s="63">
        <f t="shared" si="13"/>
        <v>508.69483419999995</v>
      </c>
      <c r="AF16" s="49"/>
      <c r="AG16" s="32"/>
      <c r="AH16" s="32">
        <f t="shared" si="14"/>
        <v>171.576725</v>
      </c>
      <c r="AI16" s="32">
        <f t="shared" si="15"/>
        <v>171.576725</v>
      </c>
      <c r="AJ16" s="63">
        <f t="shared" si="16"/>
        <v>92.0597961</v>
      </c>
      <c r="AK16" s="63">
        <f t="shared" si="17"/>
        <v>1.8624466000000002</v>
      </c>
      <c r="AL16" s="49"/>
      <c r="AM16" s="63"/>
      <c r="AN16" s="63">
        <f t="shared" si="18"/>
        <v>10128.608775</v>
      </c>
      <c r="AO16" s="20">
        <f t="shared" si="19"/>
        <v>10128.608775</v>
      </c>
      <c r="AP16" s="63">
        <f t="shared" si="20"/>
        <v>5434.5230019</v>
      </c>
      <c r="AQ16" s="63">
        <f t="shared" si="21"/>
        <v>109.9449414</v>
      </c>
      <c r="AR16" s="49"/>
      <c r="AS16" s="63"/>
      <c r="AT16" s="63">
        <f t="shared" si="22"/>
        <v>46604.466875000006</v>
      </c>
      <c r="AU16" s="20">
        <f t="shared" si="23"/>
        <v>46604.466875000006</v>
      </c>
      <c r="AV16" s="63">
        <f t="shared" si="24"/>
        <v>25005.709357500004</v>
      </c>
      <c r="AW16" s="63">
        <f t="shared" si="25"/>
        <v>505.88639500000005</v>
      </c>
      <c r="AX16" s="49"/>
      <c r="AY16" s="63"/>
      <c r="AZ16" s="63">
        <f t="shared" si="26"/>
        <v>7347.0284</v>
      </c>
      <c r="BA16" s="20">
        <f t="shared" si="27"/>
        <v>7347.0284</v>
      </c>
      <c r="BB16" s="63">
        <f t="shared" si="28"/>
        <v>3942.0611184</v>
      </c>
      <c r="BC16" s="63">
        <f t="shared" si="29"/>
        <v>79.7511904</v>
      </c>
      <c r="BD16" s="49"/>
      <c r="BE16" s="49"/>
      <c r="BF16" s="49">
        <f t="shared" si="30"/>
        <v>408.113975</v>
      </c>
      <c r="BG16" s="32">
        <f t="shared" si="31"/>
        <v>408.113975</v>
      </c>
      <c r="BH16" s="63">
        <f t="shared" si="32"/>
        <v>218.9742771</v>
      </c>
      <c r="BI16" s="63">
        <f t="shared" si="33"/>
        <v>4.4300326</v>
      </c>
      <c r="BJ16" s="49"/>
      <c r="BK16" s="32"/>
      <c r="BL16" s="32">
        <f t="shared" si="34"/>
        <v>4700.951075</v>
      </c>
      <c r="BM16" s="32">
        <f t="shared" si="35"/>
        <v>4700.951075</v>
      </c>
      <c r="BN16" s="63">
        <f t="shared" si="36"/>
        <v>2522.3036367</v>
      </c>
      <c r="BO16" s="63">
        <f t="shared" si="37"/>
        <v>51.0283102</v>
      </c>
      <c r="BP16" s="49"/>
      <c r="BQ16" s="49"/>
      <c r="BR16" s="49">
        <f t="shared" si="38"/>
        <v>6571.828149999999</v>
      </c>
      <c r="BS16" s="32">
        <f t="shared" si="39"/>
        <v>6571.828149999999</v>
      </c>
      <c r="BT16" s="63">
        <f t="shared" si="40"/>
        <v>3526.1260494</v>
      </c>
      <c r="BU16" s="63">
        <f t="shared" si="41"/>
        <v>71.3364764</v>
      </c>
      <c r="BV16" s="49"/>
      <c r="BW16" s="49"/>
      <c r="BX16" s="49">
        <f t="shared" si="42"/>
        <v>919.3553999999999</v>
      </c>
      <c r="BY16" s="32">
        <f t="shared" si="43"/>
        <v>919.3553999999999</v>
      </c>
      <c r="BZ16" s="63">
        <f t="shared" si="44"/>
        <v>493.28177039999997</v>
      </c>
      <c r="CA16" s="63">
        <f t="shared" si="45"/>
        <v>9.9795024</v>
      </c>
      <c r="CB16" s="49"/>
      <c r="CC16" s="49"/>
      <c r="CD16" s="49">
        <f t="shared" si="46"/>
        <v>4775.9592</v>
      </c>
      <c r="CE16" s="32">
        <f t="shared" si="47"/>
        <v>4775.9592</v>
      </c>
      <c r="CF16" s="63">
        <f t="shared" si="48"/>
        <v>2562.5493791999997</v>
      </c>
      <c r="CG16" s="63">
        <f t="shared" si="49"/>
        <v>51.8425152</v>
      </c>
      <c r="CH16" s="49"/>
      <c r="CI16" s="49"/>
      <c r="CJ16" s="49">
        <f t="shared" si="50"/>
        <v>271.42475</v>
      </c>
      <c r="CK16" s="32">
        <f t="shared" si="51"/>
        <v>271.42475</v>
      </c>
      <c r="CL16" s="63">
        <f t="shared" si="52"/>
        <v>145.633431</v>
      </c>
      <c r="CM16" s="63">
        <f t="shared" si="53"/>
        <v>2.946286</v>
      </c>
      <c r="CN16" s="49"/>
      <c r="CO16" s="49"/>
      <c r="CP16" s="49">
        <f t="shared" si="54"/>
        <v>959.3364750000001</v>
      </c>
      <c r="CQ16" s="32">
        <f t="shared" si="55"/>
        <v>959.3364750000001</v>
      </c>
      <c r="CR16" s="63">
        <f t="shared" si="56"/>
        <v>514.7336871</v>
      </c>
      <c r="CS16" s="63">
        <f t="shared" si="57"/>
        <v>10.413492600000001</v>
      </c>
      <c r="CT16" s="49"/>
      <c r="CU16" s="32"/>
      <c r="CV16" s="32">
        <f t="shared" si="58"/>
        <v>3487.145175</v>
      </c>
      <c r="CW16" s="32">
        <f t="shared" si="59"/>
        <v>3487.145175</v>
      </c>
      <c r="CX16" s="63">
        <f t="shared" si="60"/>
        <v>1871.0339283</v>
      </c>
      <c r="CY16" s="63">
        <f t="shared" si="61"/>
        <v>37.8525798</v>
      </c>
      <c r="CZ16" s="49"/>
      <c r="DA16" s="49"/>
      <c r="DB16" s="49">
        <f t="shared" si="62"/>
        <v>23813.9284</v>
      </c>
      <c r="DC16" s="32">
        <f t="shared" si="63"/>
        <v>23813.9284</v>
      </c>
      <c r="DD16" s="63">
        <f t="shared" si="64"/>
        <v>12777.4055184</v>
      </c>
      <c r="DE16" s="63">
        <f t="shared" si="65"/>
        <v>258.49759040000004</v>
      </c>
      <c r="DF16" s="49"/>
      <c r="DG16" s="49"/>
      <c r="DH16" s="49">
        <f t="shared" si="66"/>
        <v>98557.95502499999</v>
      </c>
      <c r="DI16" s="32">
        <f t="shared" si="67"/>
        <v>98557.95502499999</v>
      </c>
      <c r="DJ16" s="63">
        <f t="shared" si="68"/>
        <v>52881.445566899994</v>
      </c>
      <c r="DK16" s="63">
        <f t="shared" si="69"/>
        <v>1069.8358314</v>
      </c>
      <c r="DL16" s="49"/>
      <c r="DM16" s="49"/>
      <c r="DN16" s="49">
        <f t="shared" si="70"/>
        <v>18118.3347</v>
      </c>
      <c r="DO16" s="32">
        <f t="shared" si="71"/>
        <v>18118.3347</v>
      </c>
      <c r="DP16" s="63">
        <f t="shared" si="72"/>
        <v>9721.4246172</v>
      </c>
      <c r="DQ16" s="63">
        <f t="shared" si="73"/>
        <v>196.6725432</v>
      </c>
      <c r="DR16" s="49"/>
      <c r="DS16" s="49"/>
      <c r="DT16" s="49">
        <f t="shared" si="74"/>
        <v>62031.300725</v>
      </c>
      <c r="DU16" s="32">
        <f t="shared" si="75"/>
        <v>62031.300725</v>
      </c>
      <c r="DV16" s="63">
        <f t="shared" si="76"/>
        <v>33283.004420100006</v>
      </c>
      <c r="DW16" s="63">
        <f t="shared" si="77"/>
        <v>673.3429906</v>
      </c>
      <c r="DX16" s="49"/>
      <c r="DY16" s="49"/>
      <c r="DZ16" s="49">
        <f t="shared" si="78"/>
        <v>13225.502375</v>
      </c>
      <c r="EA16" s="32">
        <f t="shared" si="79"/>
        <v>13225.502375</v>
      </c>
      <c r="EB16" s="63">
        <f t="shared" si="80"/>
        <v>7096.166755499999</v>
      </c>
      <c r="EC16" s="63">
        <f t="shared" si="81"/>
        <v>143.561383</v>
      </c>
      <c r="ED16" s="49"/>
      <c r="EE16" s="49"/>
      <c r="EF16" s="49">
        <f t="shared" si="82"/>
        <v>1077.46555</v>
      </c>
      <c r="EG16" s="32">
        <f t="shared" si="83"/>
        <v>1077.46555</v>
      </c>
      <c r="EH16" s="63">
        <f t="shared" si="84"/>
        <v>578.1160517999999</v>
      </c>
      <c r="EI16" s="63">
        <f t="shared" si="85"/>
        <v>11.6957708</v>
      </c>
      <c r="EJ16" s="49"/>
      <c r="EK16" s="49"/>
      <c r="EL16" s="49">
        <f t="shared" si="86"/>
        <v>1285.046175</v>
      </c>
      <c r="EM16" s="32">
        <f t="shared" si="87"/>
        <v>1285.046175</v>
      </c>
      <c r="EN16" s="63">
        <f t="shared" si="88"/>
        <v>689.4938043</v>
      </c>
      <c r="EO16" s="63">
        <f t="shared" si="89"/>
        <v>13.949035799999999</v>
      </c>
      <c r="EP16" s="49"/>
      <c r="EQ16" s="49"/>
      <c r="ER16" s="49">
        <f t="shared" si="90"/>
        <v>2620.88855</v>
      </c>
      <c r="ES16" s="32">
        <f t="shared" si="91"/>
        <v>2620.88855</v>
      </c>
      <c r="ET16" s="63">
        <f t="shared" si="92"/>
        <v>1406.2423998</v>
      </c>
      <c r="EU16" s="63">
        <f t="shared" si="93"/>
        <v>28.4494588</v>
      </c>
      <c r="EV16" s="49"/>
      <c r="EW16" s="49"/>
      <c r="EX16" s="49">
        <f t="shared" si="94"/>
        <v>72240.56940000001</v>
      </c>
      <c r="EY16" s="32">
        <f t="shared" si="95"/>
        <v>72240.56940000001</v>
      </c>
      <c r="EZ16" s="63">
        <f t="shared" si="96"/>
        <v>38760.8056344</v>
      </c>
      <c r="FA16" s="63">
        <f t="shared" si="97"/>
        <v>784.1634864</v>
      </c>
      <c r="FB16" s="32"/>
      <c r="FC16" s="32"/>
      <c r="FD16" s="32">
        <f t="shared" si="98"/>
        <v>2805.65275</v>
      </c>
      <c r="FE16" s="32">
        <f t="shared" si="99"/>
        <v>2805.65275</v>
      </c>
      <c r="FF16" s="63">
        <f t="shared" si="100"/>
        <v>1505.3779590000001</v>
      </c>
      <c r="FG16" s="63">
        <f t="shared" si="101"/>
        <v>30.455054</v>
      </c>
      <c r="FH16" s="49"/>
      <c r="FI16" s="49"/>
      <c r="FJ16" s="49">
        <f t="shared" si="102"/>
        <v>6012.6513</v>
      </c>
      <c r="FK16" s="32">
        <f t="shared" si="103"/>
        <v>6012.6513</v>
      </c>
      <c r="FL16" s="63">
        <f t="shared" si="104"/>
        <v>3226.0987188</v>
      </c>
      <c r="FM16" s="63">
        <f t="shared" si="105"/>
        <v>65.2666728</v>
      </c>
      <c r="FN16" s="49"/>
      <c r="FO16" s="32"/>
      <c r="FP16" s="32"/>
      <c r="FQ16" s="32"/>
      <c r="FR16" s="32"/>
    </row>
    <row r="17" spans="1:174" s="51" customFormat="1" ht="12.75">
      <c r="A17" s="50">
        <v>45748</v>
      </c>
      <c r="C17" s="34">
        <v>5295000</v>
      </c>
      <c r="D17" s="34">
        <v>697750</v>
      </c>
      <c r="E17" s="34">
        <f t="shared" si="0"/>
        <v>5992750</v>
      </c>
      <c r="F17" s="34">
        <v>374379</v>
      </c>
      <c r="G17" s="34">
        <v>7574</v>
      </c>
      <c r="H17" s="49"/>
      <c r="I17" s="49">
        <f>'2019B Academic'!I17</f>
        <v>1702625.7824999997</v>
      </c>
      <c r="J17" s="49">
        <f>'2019B Academic'!J17</f>
        <v>224363.954625</v>
      </c>
      <c r="K17" s="49">
        <f t="shared" si="1"/>
        <v>1926989.7371249998</v>
      </c>
      <c r="L17" s="49">
        <f>'2019B Academic'!L17</f>
        <v>120382.8777765</v>
      </c>
      <c r="M17" s="49">
        <f>'2019B Academic'!M17</f>
        <v>2435.4462089999997</v>
      </c>
      <c r="N17" s="49"/>
      <c r="O17" s="49">
        <f t="shared" si="106"/>
        <v>3592374.2175000003</v>
      </c>
      <c r="P17" s="39">
        <f t="shared" si="2"/>
        <v>473386.045375</v>
      </c>
      <c r="Q17" s="32">
        <f t="shared" si="3"/>
        <v>4065760.262875</v>
      </c>
      <c r="R17" s="39">
        <f t="shared" si="4"/>
        <v>253996.12222350002</v>
      </c>
      <c r="S17" s="39">
        <f t="shared" si="5"/>
        <v>5138.553790999999</v>
      </c>
      <c r="T17" s="49"/>
      <c r="U17" s="63">
        <f t="shared" si="107"/>
        <v>291312.3675</v>
      </c>
      <c r="V17" s="63">
        <f t="shared" si="6"/>
        <v>38387.762875</v>
      </c>
      <c r="W17" s="20">
        <f t="shared" si="7"/>
        <v>329700.130375</v>
      </c>
      <c r="X17" s="63">
        <f t="shared" si="8"/>
        <v>20597.0222535</v>
      </c>
      <c r="Y17" s="63">
        <f t="shared" si="9"/>
        <v>416.694971</v>
      </c>
      <c r="Z17" s="49"/>
      <c r="AA17" s="63">
        <f t="shared" si="108"/>
        <v>355629.6735</v>
      </c>
      <c r="AB17" s="63">
        <f t="shared" si="10"/>
        <v>46863.192574999994</v>
      </c>
      <c r="AC17" s="20">
        <f t="shared" si="11"/>
        <v>402492.86607499997</v>
      </c>
      <c r="AD17" s="63">
        <f t="shared" si="12"/>
        <v>25144.529090699998</v>
      </c>
      <c r="AE17" s="63">
        <f t="shared" si="13"/>
        <v>508.69483419999995</v>
      </c>
      <c r="AF17" s="49"/>
      <c r="AG17" s="32">
        <f t="shared" si="109"/>
        <v>1302.0405</v>
      </c>
      <c r="AH17" s="32">
        <f t="shared" si="14"/>
        <v>171.576725</v>
      </c>
      <c r="AI17" s="32">
        <f t="shared" si="15"/>
        <v>1473.617225</v>
      </c>
      <c r="AJ17" s="63">
        <f t="shared" si="16"/>
        <v>92.0597961</v>
      </c>
      <c r="AK17" s="63">
        <f t="shared" si="17"/>
        <v>1.8624466000000002</v>
      </c>
      <c r="AL17" s="49"/>
      <c r="AM17" s="63">
        <f t="shared" si="110"/>
        <v>76862.7495</v>
      </c>
      <c r="AN17" s="63">
        <f t="shared" si="18"/>
        <v>10128.608775</v>
      </c>
      <c r="AO17" s="20">
        <f t="shared" si="19"/>
        <v>86991.358275</v>
      </c>
      <c r="AP17" s="63">
        <f t="shared" si="20"/>
        <v>5434.5230019</v>
      </c>
      <c r="AQ17" s="63">
        <f t="shared" si="21"/>
        <v>109.9449414</v>
      </c>
      <c r="AR17" s="49"/>
      <c r="AS17" s="63">
        <f t="shared" si="111"/>
        <v>353666.28750000003</v>
      </c>
      <c r="AT17" s="63">
        <f t="shared" si="22"/>
        <v>46604.466875000006</v>
      </c>
      <c r="AU17" s="20">
        <f t="shared" si="23"/>
        <v>400270.754375</v>
      </c>
      <c r="AV17" s="63">
        <f t="shared" si="24"/>
        <v>25005.709357500004</v>
      </c>
      <c r="AW17" s="63">
        <f t="shared" si="25"/>
        <v>505.88639500000005</v>
      </c>
      <c r="AX17" s="49"/>
      <c r="AY17" s="63">
        <f t="shared" si="112"/>
        <v>55754.232</v>
      </c>
      <c r="AZ17" s="63">
        <f t="shared" si="26"/>
        <v>7347.0284</v>
      </c>
      <c r="BA17" s="20">
        <f t="shared" si="27"/>
        <v>63101.26040000001</v>
      </c>
      <c r="BB17" s="63">
        <f t="shared" si="28"/>
        <v>3942.0611184</v>
      </c>
      <c r="BC17" s="63">
        <f t="shared" si="29"/>
        <v>79.7511904</v>
      </c>
      <c r="BD17" s="49"/>
      <c r="BE17" s="49">
        <f t="shared" si="113"/>
        <v>3097.0454999999997</v>
      </c>
      <c r="BF17" s="49">
        <f t="shared" si="30"/>
        <v>408.113975</v>
      </c>
      <c r="BG17" s="32">
        <f t="shared" si="31"/>
        <v>3505.1594749999995</v>
      </c>
      <c r="BH17" s="63">
        <f t="shared" si="32"/>
        <v>218.9742771</v>
      </c>
      <c r="BI17" s="63">
        <f t="shared" si="33"/>
        <v>4.4300326</v>
      </c>
      <c r="BJ17" s="49"/>
      <c r="BK17" s="32">
        <f t="shared" si="114"/>
        <v>35674.0035</v>
      </c>
      <c r="BL17" s="32">
        <f t="shared" si="34"/>
        <v>4700.951075</v>
      </c>
      <c r="BM17" s="32">
        <f t="shared" si="35"/>
        <v>40374.954574999996</v>
      </c>
      <c r="BN17" s="63">
        <f t="shared" si="36"/>
        <v>2522.3036367</v>
      </c>
      <c r="BO17" s="63">
        <f t="shared" si="37"/>
        <v>51.0283102</v>
      </c>
      <c r="BP17" s="49"/>
      <c r="BQ17" s="49">
        <f t="shared" si="115"/>
        <v>49871.486999999994</v>
      </c>
      <c r="BR17" s="49">
        <f t="shared" si="38"/>
        <v>6571.828149999999</v>
      </c>
      <c r="BS17" s="32">
        <f t="shared" si="39"/>
        <v>56443.315149999995</v>
      </c>
      <c r="BT17" s="63">
        <f t="shared" si="40"/>
        <v>3526.1260494</v>
      </c>
      <c r="BU17" s="63">
        <f t="shared" si="41"/>
        <v>71.3364764</v>
      </c>
      <c r="BV17" s="49"/>
      <c r="BW17" s="49">
        <f t="shared" si="116"/>
        <v>6976.692</v>
      </c>
      <c r="BX17" s="49">
        <f t="shared" si="42"/>
        <v>919.3553999999999</v>
      </c>
      <c r="BY17" s="32">
        <f t="shared" si="43"/>
        <v>7896.0473999999995</v>
      </c>
      <c r="BZ17" s="63">
        <f t="shared" si="44"/>
        <v>493.28177039999997</v>
      </c>
      <c r="CA17" s="63">
        <f t="shared" si="45"/>
        <v>9.9795024</v>
      </c>
      <c r="CB17" s="49"/>
      <c r="CC17" s="49">
        <f t="shared" si="117"/>
        <v>36243.216</v>
      </c>
      <c r="CD17" s="49">
        <f t="shared" si="46"/>
        <v>4775.9592</v>
      </c>
      <c r="CE17" s="32">
        <f t="shared" si="47"/>
        <v>41019.1752</v>
      </c>
      <c r="CF17" s="63">
        <f t="shared" si="48"/>
        <v>2562.5493791999997</v>
      </c>
      <c r="CG17" s="63">
        <f t="shared" si="49"/>
        <v>51.8425152</v>
      </c>
      <c r="CH17" s="49"/>
      <c r="CI17" s="49">
        <f t="shared" si="118"/>
        <v>2059.755</v>
      </c>
      <c r="CJ17" s="49">
        <f t="shared" si="50"/>
        <v>271.42475</v>
      </c>
      <c r="CK17" s="32">
        <f t="shared" si="51"/>
        <v>2331.1797500000002</v>
      </c>
      <c r="CL17" s="63">
        <f t="shared" si="52"/>
        <v>145.633431</v>
      </c>
      <c r="CM17" s="63">
        <f t="shared" si="53"/>
        <v>2.946286</v>
      </c>
      <c r="CN17" s="49"/>
      <c r="CO17" s="49">
        <f t="shared" si="119"/>
        <v>7280.0955</v>
      </c>
      <c r="CP17" s="49">
        <f t="shared" si="54"/>
        <v>959.3364750000001</v>
      </c>
      <c r="CQ17" s="32">
        <f t="shared" si="55"/>
        <v>8239.431975</v>
      </c>
      <c r="CR17" s="63">
        <f t="shared" si="56"/>
        <v>514.7336871</v>
      </c>
      <c r="CS17" s="63">
        <f t="shared" si="57"/>
        <v>10.413492600000001</v>
      </c>
      <c r="CT17" s="49"/>
      <c r="CU17" s="32">
        <f t="shared" si="120"/>
        <v>26462.8215</v>
      </c>
      <c r="CV17" s="32">
        <f t="shared" si="58"/>
        <v>3487.145175</v>
      </c>
      <c r="CW17" s="32">
        <f t="shared" si="59"/>
        <v>29949.966675</v>
      </c>
      <c r="CX17" s="63">
        <f t="shared" si="60"/>
        <v>1871.0339283</v>
      </c>
      <c r="CY17" s="63">
        <f t="shared" si="61"/>
        <v>37.8525798</v>
      </c>
      <c r="CZ17" s="49"/>
      <c r="DA17" s="49">
        <f t="shared" si="121"/>
        <v>180716.23200000002</v>
      </c>
      <c r="DB17" s="49">
        <f t="shared" si="62"/>
        <v>23813.9284</v>
      </c>
      <c r="DC17" s="32">
        <f t="shared" si="63"/>
        <v>204530.16040000002</v>
      </c>
      <c r="DD17" s="63">
        <f t="shared" si="64"/>
        <v>12777.4055184</v>
      </c>
      <c r="DE17" s="63">
        <f t="shared" si="65"/>
        <v>258.49759040000004</v>
      </c>
      <c r="DF17" s="49"/>
      <c r="DG17" s="49">
        <f t="shared" si="122"/>
        <v>747924.5745</v>
      </c>
      <c r="DH17" s="49">
        <f t="shared" si="66"/>
        <v>98557.95502499999</v>
      </c>
      <c r="DI17" s="32">
        <f t="shared" si="67"/>
        <v>846482.529525</v>
      </c>
      <c r="DJ17" s="63">
        <f t="shared" si="68"/>
        <v>52881.445566899994</v>
      </c>
      <c r="DK17" s="63">
        <f t="shared" si="69"/>
        <v>1069.8358314</v>
      </c>
      <c r="DL17" s="49"/>
      <c r="DM17" s="49">
        <f t="shared" si="123"/>
        <v>137494.206</v>
      </c>
      <c r="DN17" s="49">
        <f t="shared" si="70"/>
        <v>18118.3347</v>
      </c>
      <c r="DO17" s="32">
        <f t="shared" si="71"/>
        <v>155612.5407</v>
      </c>
      <c r="DP17" s="63">
        <f t="shared" si="72"/>
        <v>9721.4246172</v>
      </c>
      <c r="DQ17" s="63">
        <f t="shared" si="73"/>
        <v>196.6725432</v>
      </c>
      <c r="DR17" s="49"/>
      <c r="DS17" s="49">
        <f t="shared" si="124"/>
        <v>470735.5605</v>
      </c>
      <c r="DT17" s="49">
        <f t="shared" si="74"/>
        <v>62031.300725</v>
      </c>
      <c r="DU17" s="32">
        <f t="shared" si="75"/>
        <v>532766.861225</v>
      </c>
      <c r="DV17" s="63">
        <f t="shared" si="76"/>
        <v>33283.004420100006</v>
      </c>
      <c r="DW17" s="63">
        <f t="shared" si="77"/>
        <v>673.3429906</v>
      </c>
      <c r="DX17" s="49"/>
      <c r="DY17" s="49">
        <f t="shared" si="125"/>
        <v>100364.0775</v>
      </c>
      <c r="DZ17" s="49">
        <f t="shared" si="78"/>
        <v>13225.502375</v>
      </c>
      <c r="EA17" s="32">
        <f t="shared" si="79"/>
        <v>113589.579875</v>
      </c>
      <c r="EB17" s="63">
        <f t="shared" si="80"/>
        <v>7096.166755499999</v>
      </c>
      <c r="EC17" s="63">
        <f t="shared" si="81"/>
        <v>143.561383</v>
      </c>
      <c r="ED17" s="49"/>
      <c r="EE17" s="49">
        <f t="shared" si="126"/>
        <v>8176.539</v>
      </c>
      <c r="EF17" s="49">
        <f t="shared" si="82"/>
        <v>1077.46555</v>
      </c>
      <c r="EG17" s="32">
        <f t="shared" si="83"/>
        <v>9254.00455</v>
      </c>
      <c r="EH17" s="63">
        <f t="shared" si="84"/>
        <v>578.1160517999999</v>
      </c>
      <c r="EI17" s="63">
        <f t="shared" si="85"/>
        <v>11.6957708</v>
      </c>
      <c r="EJ17" s="49"/>
      <c r="EK17" s="49">
        <f t="shared" si="127"/>
        <v>9751.8015</v>
      </c>
      <c r="EL17" s="49">
        <f t="shared" si="86"/>
        <v>1285.046175</v>
      </c>
      <c r="EM17" s="32">
        <f t="shared" si="87"/>
        <v>11036.847674999999</v>
      </c>
      <c r="EN17" s="63">
        <f t="shared" si="88"/>
        <v>689.4938043</v>
      </c>
      <c r="EO17" s="63">
        <f t="shared" si="89"/>
        <v>13.949035799999999</v>
      </c>
      <c r="EP17" s="49"/>
      <c r="EQ17" s="49">
        <f t="shared" si="128"/>
        <v>19889.078999999998</v>
      </c>
      <c r="ER17" s="49">
        <f t="shared" si="90"/>
        <v>2620.88855</v>
      </c>
      <c r="ES17" s="32">
        <f t="shared" si="91"/>
        <v>22509.967549999998</v>
      </c>
      <c r="ET17" s="63">
        <f t="shared" si="92"/>
        <v>1406.2423998</v>
      </c>
      <c r="EU17" s="63">
        <f t="shared" si="93"/>
        <v>28.4494588</v>
      </c>
      <c r="EV17" s="49"/>
      <c r="EW17" s="49">
        <f t="shared" si="129"/>
        <v>548210.412</v>
      </c>
      <c r="EX17" s="49">
        <f t="shared" si="94"/>
        <v>72240.56940000001</v>
      </c>
      <c r="EY17" s="32">
        <f t="shared" si="95"/>
        <v>620450.9814</v>
      </c>
      <c r="EZ17" s="63">
        <f t="shared" si="96"/>
        <v>38760.8056344</v>
      </c>
      <c r="FA17" s="63">
        <f t="shared" si="97"/>
        <v>784.1634864</v>
      </c>
      <c r="FB17" s="32"/>
      <c r="FC17" s="32">
        <f t="shared" si="130"/>
        <v>21291.195</v>
      </c>
      <c r="FD17" s="32">
        <f t="shared" si="98"/>
        <v>2805.65275</v>
      </c>
      <c r="FE17" s="32">
        <f t="shared" si="99"/>
        <v>24096.84775</v>
      </c>
      <c r="FF17" s="63">
        <f t="shared" si="100"/>
        <v>1505.3779590000001</v>
      </c>
      <c r="FG17" s="63">
        <f t="shared" si="101"/>
        <v>30.455054</v>
      </c>
      <c r="FH17" s="49"/>
      <c r="FI17" s="49">
        <f t="shared" si="131"/>
        <v>45628.074</v>
      </c>
      <c r="FJ17" s="49">
        <f t="shared" si="102"/>
        <v>6012.6513</v>
      </c>
      <c r="FK17" s="32">
        <f t="shared" si="103"/>
        <v>51640.7253</v>
      </c>
      <c r="FL17" s="63">
        <f t="shared" si="104"/>
        <v>3226.0987188</v>
      </c>
      <c r="FM17" s="63">
        <f t="shared" si="105"/>
        <v>65.2666728</v>
      </c>
      <c r="FN17" s="49"/>
      <c r="FO17" s="32"/>
      <c r="FP17" s="32"/>
      <c r="FQ17" s="32"/>
      <c r="FR17" s="32"/>
    </row>
    <row r="18" spans="1:174" s="51" customFormat="1" ht="12.75">
      <c r="A18" s="50">
        <v>45931</v>
      </c>
      <c r="C18" s="34"/>
      <c r="D18" s="34">
        <v>565375</v>
      </c>
      <c r="E18" s="34">
        <f t="shared" si="0"/>
        <v>565375</v>
      </c>
      <c r="F18" s="34">
        <v>374379</v>
      </c>
      <c r="G18" s="34">
        <v>7574</v>
      </c>
      <c r="H18" s="49"/>
      <c r="I18" s="49">
        <f>'2019B Academic'!I18</f>
        <v>0</v>
      </c>
      <c r="J18" s="49">
        <f>'2019B Academic'!J18</f>
        <v>181798.31006250004</v>
      </c>
      <c r="K18" s="49">
        <f t="shared" si="1"/>
        <v>181798.31006250004</v>
      </c>
      <c r="L18" s="49">
        <f>'2019B Academic'!L18</f>
        <v>120382.8777765</v>
      </c>
      <c r="M18" s="49">
        <f>'2019B Academic'!M18</f>
        <v>2435.4462089999997</v>
      </c>
      <c r="N18" s="49"/>
      <c r="O18" s="49"/>
      <c r="P18" s="39">
        <f t="shared" si="2"/>
        <v>383576.68993750005</v>
      </c>
      <c r="Q18" s="32">
        <f t="shared" si="3"/>
        <v>383576.68993750005</v>
      </c>
      <c r="R18" s="39">
        <f t="shared" si="4"/>
        <v>253996.12222350002</v>
      </c>
      <c r="S18" s="39">
        <f t="shared" si="5"/>
        <v>5138.553790999999</v>
      </c>
      <c r="T18" s="49"/>
      <c r="U18" s="63"/>
      <c r="V18" s="63">
        <f t="shared" si="6"/>
        <v>31104.9536875</v>
      </c>
      <c r="W18" s="20">
        <f t="shared" si="7"/>
        <v>31104.9536875</v>
      </c>
      <c r="X18" s="63">
        <f t="shared" si="8"/>
        <v>20597.0222535</v>
      </c>
      <c r="Y18" s="63">
        <f t="shared" si="9"/>
        <v>416.694971</v>
      </c>
      <c r="Z18" s="49"/>
      <c r="AA18" s="63"/>
      <c r="AB18" s="63">
        <f t="shared" si="10"/>
        <v>37972.450737499996</v>
      </c>
      <c r="AC18" s="20">
        <f t="shared" si="11"/>
        <v>37972.450737499996</v>
      </c>
      <c r="AD18" s="63">
        <f t="shared" si="12"/>
        <v>25144.529090699998</v>
      </c>
      <c r="AE18" s="63">
        <f t="shared" si="13"/>
        <v>508.69483419999995</v>
      </c>
      <c r="AF18" s="49"/>
      <c r="AG18" s="32"/>
      <c r="AH18" s="32">
        <f t="shared" si="14"/>
        <v>139.0257125</v>
      </c>
      <c r="AI18" s="32">
        <f t="shared" si="15"/>
        <v>139.0257125</v>
      </c>
      <c r="AJ18" s="63">
        <f t="shared" si="16"/>
        <v>92.0597961</v>
      </c>
      <c r="AK18" s="63">
        <f t="shared" si="17"/>
        <v>1.8624466000000002</v>
      </c>
      <c r="AL18" s="49"/>
      <c r="AM18" s="63"/>
      <c r="AN18" s="63">
        <f t="shared" si="18"/>
        <v>8207.0400375</v>
      </c>
      <c r="AO18" s="20">
        <f t="shared" si="19"/>
        <v>8207.0400375</v>
      </c>
      <c r="AP18" s="63">
        <f t="shared" si="20"/>
        <v>5434.5230019</v>
      </c>
      <c r="AQ18" s="63">
        <f t="shared" si="21"/>
        <v>109.9449414</v>
      </c>
      <c r="AR18" s="49"/>
      <c r="AS18" s="63"/>
      <c r="AT18" s="63">
        <f t="shared" si="22"/>
        <v>37762.809687500005</v>
      </c>
      <c r="AU18" s="20">
        <f t="shared" si="23"/>
        <v>37762.809687500005</v>
      </c>
      <c r="AV18" s="63">
        <f t="shared" si="24"/>
        <v>25005.709357500004</v>
      </c>
      <c r="AW18" s="63">
        <f t="shared" si="25"/>
        <v>505.88639500000005</v>
      </c>
      <c r="AX18" s="49"/>
      <c r="AY18" s="63"/>
      <c r="AZ18" s="63">
        <f t="shared" si="26"/>
        <v>5953.1726</v>
      </c>
      <c r="BA18" s="20">
        <f t="shared" si="27"/>
        <v>5953.1726</v>
      </c>
      <c r="BB18" s="63">
        <f t="shared" si="28"/>
        <v>3942.0611184</v>
      </c>
      <c r="BC18" s="63">
        <f t="shared" si="29"/>
        <v>79.7511904</v>
      </c>
      <c r="BD18" s="49"/>
      <c r="BE18" s="49"/>
      <c r="BF18" s="49">
        <f t="shared" si="30"/>
        <v>330.6878375</v>
      </c>
      <c r="BG18" s="32">
        <f t="shared" si="31"/>
        <v>330.6878375</v>
      </c>
      <c r="BH18" s="63">
        <f t="shared" si="32"/>
        <v>218.9742771</v>
      </c>
      <c r="BI18" s="63">
        <f t="shared" si="33"/>
        <v>4.4300326</v>
      </c>
      <c r="BJ18" s="49"/>
      <c r="BK18" s="32"/>
      <c r="BL18" s="32">
        <f t="shared" si="34"/>
        <v>3809.1009875</v>
      </c>
      <c r="BM18" s="32">
        <f t="shared" si="35"/>
        <v>3809.1009875</v>
      </c>
      <c r="BN18" s="63">
        <f t="shared" si="36"/>
        <v>2522.3036367</v>
      </c>
      <c r="BO18" s="63">
        <f t="shared" si="37"/>
        <v>51.0283102</v>
      </c>
      <c r="BP18" s="49"/>
      <c r="BQ18" s="49"/>
      <c r="BR18" s="49">
        <f t="shared" si="38"/>
        <v>5325.040975</v>
      </c>
      <c r="BS18" s="32">
        <f t="shared" si="39"/>
        <v>5325.040975</v>
      </c>
      <c r="BT18" s="63">
        <f t="shared" si="40"/>
        <v>3526.1260494</v>
      </c>
      <c r="BU18" s="63">
        <f t="shared" si="41"/>
        <v>71.3364764</v>
      </c>
      <c r="BV18" s="49"/>
      <c r="BW18" s="49"/>
      <c r="BX18" s="49">
        <f t="shared" si="42"/>
        <v>744.9381</v>
      </c>
      <c r="BY18" s="32">
        <f t="shared" si="43"/>
        <v>744.9381</v>
      </c>
      <c r="BZ18" s="63">
        <f t="shared" si="44"/>
        <v>493.28177039999997</v>
      </c>
      <c r="CA18" s="63">
        <f t="shared" si="45"/>
        <v>9.9795024</v>
      </c>
      <c r="CB18" s="49"/>
      <c r="CC18" s="49"/>
      <c r="CD18" s="49">
        <f t="shared" si="46"/>
        <v>3869.8788</v>
      </c>
      <c r="CE18" s="32">
        <f t="shared" si="47"/>
        <v>3869.8788</v>
      </c>
      <c r="CF18" s="63">
        <f t="shared" si="48"/>
        <v>2562.5493791999997</v>
      </c>
      <c r="CG18" s="63">
        <f t="shared" si="49"/>
        <v>51.8425152</v>
      </c>
      <c r="CH18" s="49"/>
      <c r="CI18" s="49"/>
      <c r="CJ18" s="49">
        <f t="shared" si="50"/>
        <v>219.93087500000001</v>
      </c>
      <c r="CK18" s="32">
        <f t="shared" si="51"/>
        <v>219.93087500000001</v>
      </c>
      <c r="CL18" s="63">
        <f t="shared" si="52"/>
        <v>145.633431</v>
      </c>
      <c r="CM18" s="63">
        <f t="shared" si="53"/>
        <v>2.946286</v>
      </c>
      <c r="CN18" s="49"/>
      <c r="CO18" s="49"/>
      <c r="CP18" s="49">
        <f t="shared" si="54"/>
        <v>777.3340875</v>
      </c>
      <c r="CQ18" s="32">
        <f t="shared" si="55"/>
        <v>777.3340875</v>
      </c>
      <c r="CR18" s="63">
        <f t="shared" si="56"/>
        <v>514.7336871</v>
      </c>
      <c r="CS18" s="63">
        <f t="shared" si="57"/>
        <v>10.413492600000001</v>
      </c>
      <c r="CT18" s="49"/>
      <c r="CU18" s="32"/>
      <c r="CV18" s="32">
        <f t="shared" si="58"/>
        <v>2825.5746375</v>
      </c>
      <c r="CW18" s="32">
        <f t="shared" si="59"/>
        <v>2825.5746375</v>
      </c>
      <c r="CX18" s="63">
        <f t="shared" si="60"/>
        <v>1871.0339283</v>
      </c>
      <c r="CY18" s="63">
        <f t="shared" si="61"/>
        <v>37.8525798</v>
      </c>
      <c r="CZ18" s="49"/>
      <c r="DA18" s="49"/>
      <c r="DB18" s="49">
        <f t="shared" si="62"/>
        <v>19296.0226</v>
      </c>
      <c r="DC18" s="32">
        <f t="shared" si="63"/>
        <v>19296.0226</v>
      </c>
      <c r="DD18" s="63">
        <f t="shared" si="64"/>
        <v>12777.4055184</v>
      </c>
      <c r="DE18" s="63">
        <f t="shared" si="65"/>
        <v>258.49759040000004</v>
      </c>
      <c r="DF18" s="49"/>
      <c r="DG18" s="49"/>
      <c r="DH18" s="49">
        <f t="shared" si="66"/>
        <v>79859.84066249999</v>
      </c>
      <c r="DI18" s="32">
        <f t="shared" si="67"/>
        <v>79859.84066249999</v>
      </c>
      <c r="DJ18" s="63">
        <f t="shared" si="68"/>
        <v>52881.445566899994</v>
      </c>
      <c r="DK18" s="63">
        <f t="shared" si="69"/>
        <v>1069.8358314</v>
      </c>
      <c r="DL18" s="49"/>
      <c r="DM18" s="49"/>
      <c r="DN18" s="49">
        <f t="shared" si="70"/>
        <v>14680.979550000002</v>
      </c>
      <c r="DO18" s="32">
        <f t="shared" si="71"/>
        <v>14680.979550000002</v>
      </c>
      <c r="DP18" s="63">
        <f t="shared" si="72"/>
        <v>9721.4246172</v>
      </c>
      <c r="DQ18" s="63">
        <f t="shared" si="73"/>
        <v>196.6725432</v>
      </c>
      <c r="DR18" s="49"/>
      <c r="DS18" s="49"/>
      <c r="DT18" s="49">
        <f t="shared" si="74"/>
        <v>50262.911712500005</v>
      </c>
      <c r="DU18" s="32">
        <f t="shared" si="75"/>
        <v>50262.911712500005</v>
      </c>
      <c r="DV18" s="63">
        <f t="shared" si="76"/>
        <v>33283.004420100006</v>
      </c>
      <c r="DW18" s="63">
        <f t="shared" si="77"/>
        <v>673.3429906</v>
      </c>
      <c r="DX18" s="49"/>
      <c r="DY18" s="49"/>
      <c r="DZ18" s="49">
        <f t="shared" si="78"/>
        <v>10716.4004375</v>
      </c>
      <c r="EA18" s="32">
        <f t="shared" si="79"/>
        <v>10716.4004375</v>
      </c>
      <c r="EB18" s="63">
        <f t="shared" si="80"/>
        <v>7096.166755499999</v>
      </c>
      <c r="EC18" s="63">
        <f t="shared" si="81"/>
        <v>143.561383</v>
      </c>
      <c r="ED18" s="49"/>
      <c r="EE18" s="49"/>
      <c r="EF18" s="49">
        <f t="shared" si="82"/>
        <v>873.052075</v>
      </c>
      <c r="EG18" s="32">
        <f t="shared" si="83"/>
        <v>873.052075</v>
      </c>
      <c r="EH18" s="63">
        <f t="shared" si="84"/>
        <v>578.1160517999999</v>
      </c>
      <c r="EI18" s="63">
        <f t="shared" si="85"/>
        <v>11.6957708</v>
      </c>
      <c r="EJ18" s="49"/>
      <c r="EK18" s="49"/>
      <c r="EL18" s="49">
        <f t="shared" si="86"/>
        <v>1041.2511375</v>
      </c>
      <c r="EM18" s="32">
        <f t="shared" si="87"/>
        <v>1041.2511375</v>
      </c>
      <c r="EN18" s="63">
        <f t="shared" si="88"/>
        <v>689.4938043</v>
      </c>
      <c r="EO18" s="63">
        <f t="shared" si="89"/>
        <v>13.949035799999999</v>
      </c>
      <c r="EP18" s="49"/>
      <c r="EQ18" s="49"/>
      <c r="ER18" s="49">
        <f t="shared" si="90"/>
        <v>2123.661575</v>
      </c>
      <c r="ES18" s="32">
        <f t="shared" si="91"/>
        <v>2123.661575</v>
      </c>
      <c r="ET18" s="63">
        <f t="shared" si="92"/>
        <v>1406.2423998</v>
      </c>
      <c r="EU18" s="63">
        <f t="shared" si="93"/>
        <v>28.4494588</v>
      </c>
      <c r="EV18" s="49"/>
      <c r="EW18" s="49"/>
      <c r="EX18" s="49">
        <f t="shared" si="94"/>
        <v>58535.3091</v>
      </c>
      <c r="EY18" s="32">
        <f t="shared" si="95"/>
        <v>58535.3091</v>
      </c>
      <c r="EZ18" s="63">
        <f t="shared" si="96"/>
        <v>38760.8056344</v>
      </c>
      <c r="FA18" s="63">
        <f t="shared" si="97"/>
        <v>784.1634864</v>
      </c>
      <c r="FB18" s="32"/>
      <c r="FC18" s="32"/>
      <c r="FD18" s="32">
        <f t="shared" si="98"/>
        <v>2273.372875</v>
      </c>
      <c r="FE18" s="32">
        <f t="shared" si="99"/>
        <v>2273.372875</v>
      </c>
      <c r="FF18" s="63">
        <f t="shared" si="100"/>
        <v>1505.3779590000001</v>
      </c>
      <c r="FG18" s="63">
        <f t="shared" si="101"/>
        <v>30.455054</v>
      </c>
      <c r="FH18" s="49"/>
      <c r="FI18" s="49"/>
      <c r="FJ18" s="49">
        <f t="shared" si="102"/>
        <v>4871.94945</v>
      </c>
      <c r="FK18" s="32">
        <f t="shared" si="103"/>
        <v>4871.94945</v>
      </c>
      <c r="FL18" s="63">
        <f t="shared" si="104"/>
        <v>3226.0987188</v>
      </c>
      <c r="FM18" s="63">
        <f t="shared" si="105"/>
        <v>65.2666728</v>
      </c>
      <c r="FN18" s="49"/>
      <c r="FO18" s="32"/>
      <c r="FP18" s="32"/>
      <c r="FQ18" s="32"/>
      <c r="FR18" s="32"/>
    </row>
    <row r="19" spans="1:174" s="51" customFormat="1" ht="12.75">
      <c r="A19" s="50">
        <v>46113</v>
      </c>
      <c r="C19" s="34">
        <v>5435000</v>
      </c>
      <c r="D19" s="34">
        <v>565375</v>
      </c>
      <c r="E19" s="34">
        <f t="shared" si="0"/>
        <v>6000375</v>
      </c>
      <c r="F19" s="34">
        <v>374379</v>
      </c>
      <c r="G19" s="34">
        <v>7574</v>
      </c>
      <c r="H19" s="49"/>
      <c r="I19" s="49">
        <f>'2019B Academic'!I19</f>
        <v>1747643.2725</v>
      </c>
      <c r="J19" s="49">
        <f>'2019B Academic'!J19</f>
        <v>181798.31006250004</v>
      </c>
      <c r="K19" s="49">
        <f t="shared" si="1"/>
        <v>1929441.5825625</v>
      </c>
      <c r="L19" s="49">
        <f>'2019B Academic'!L19</f>
        <v>120382.8777765</v>
      </c>
      <c r="M19" s="49">
        <f>'2019B Academic'!M19</f>
        <v>2435.4462089999997</v>
      </c>
      <c r="N19" s="49"/>
      <c r="O19" s="49">
        <f t="shared" si="106"/>
        <v>3687356.727499999</v>
      </c>
      <c r="P19" s="39">
        <f t="shared" si="2"/>
        <v>383576.68993750005</v>
      </c>
      <c r="Q19" s="32">
        <f t="shared" si="3"/>
        <v>4070933.4174374994</v>
      </c>
      <c r="R19" s="39">
        <f t="shared" si="4"/>
        <v>253996.12222350002</v>
      </c>
      <c r="S19" s="39">
        <f t="shared" si="5"/>
        <v>5138.553790999999</v>
      </c>
      <c r="T19" s="49"/>
      <c r="U19" s="63">
        <f t="shared" si="107"/>
        <v>299014.6775</v>
      </c>
      <c r="V19" s="63">
        <f t="shared" si="6"/>
        <v>31104.9536875</v>
      </c>
      <c r="W19" s="20">
        <f t="shared" si="7"/>
        <v>330119.63118749997</v>
      </c>
      <c r="X19" s="63">
        <f t="shared" si="8"/>
        <v>20597.0222535</v>
      </c>
      <c r="Y19" s="63">
        <f t="shared" si="9"/>
        <v>416.694971</v>
      </c>
      <c r="Z19" s="49"/>
      <c r="AA19" s="63">
        <f t="shared" si="108"/>
        <v>365032.5355</v>
      </c>
      <c r="AB19" s="63">
        <f t="shared" si="10"/>
        <v>37972.450737499996</v>
      </c>
      <c r="AC19" s="20">
        <f t="shared" si="11"/>
        <v>403004.9862375</v>
      </c>
      <c r="AD19" s="63">
        <f t="shared" si="12"/>
        <v>25144.529090699998</v>
      </c>
      <c r="AE19" s="63">
        <f t="shared" si="13"/>
        <v>508.69483419999995</v>
      </c>
      <c r="AF19" s="49"/>
      <c r="AG19" s="32">
        <f t="shared" si="109"/>
        <v>1336.4665</v>
      </c>
      <c r="AH19" s="32">
        <f t="shared" si="14"/>
        <v>139.0257125</v>
      </c>
      <c r="AI19" s="32">
        <f t="shared" si="15"/>
        <v>1475.4922125</v>
      </c>
      <c r="AJ19" s="63">
        <f t="shared" si="16"/>
        <v>92.0597961</v>
      </c>
      <c r="AK19" s="63">
        <f t="shared" si="17"/>
        <v>1.8624466000000002</v>
      </c>
      <c r="AL19" s="49"/>
      <c r="AM19" s="63">
        <f t="shared" si="110"/>
        <v>78895.0035</v>
      </c>
      <c r="AN19" s="63">
        <f t="shared" si="18"/>
        <v>8207.0400375</v>
      </c>
      <c r="AO19" s="20">
        <f t="shared" si="19"/>
        <v>87102.04353750001</v>
      </c>
      <c r="AP19" s="63">
        <f t="shared" si="20"/>
        <v>5434.5230019</v>
      </c>
      <c r="AQ19" s="63">
        <f t="shared" si="21"/>
        <v>109.9449414</v>
      </c>
      <c r="AR19" s="49"/>
      <c r="AS19" s="63">
        <f t="shared" si="111"/>
        <v>363017.23750000005</v>
      </c>
      <c r="AT19" s="63">
        <f t="shared" si="22"/>
        <v>37762.809687500005</v>
      </c>
      <c r="AU19" s="20">
        <f t="shared" si="23"/>
        <v>400780.04718750005</v>
      </c>
      <c r="AV19" s="63">
        <f t="shared" si="24"/>
        <v>25005.709357500004</v>
      </c>
      <c r="AW19" s="63">
        <f t="shared" si="25"/>
        <v>505.88639500000005</v>
      </c>
      <c r="AX19" s="49"/>
      <c r="AY19" s="63">
        <f t="shared" si="112"/>
        <v>57228.376000000004</v>
      </c>
      <c r="AZ19" s="63">
        <f t="shared" si="26"/>
        <v>5953.1726</v>
      </c>
      <c r="BA19" s="20">
        <f t="shared" si="27"/>
        <v>63181.5486</v>
      </c>
      <c r="BB19" s="63">
        <f t="shared" si="28"/>
        <v>3942.0611184</v>
      </c>
      <c r="BC19" s="63">
        <f t="shared" si="29"/>
        <v>79.7511904</v>
      </c>
      <c r="BD19" s="49"/>
      <c r="BE19" s="49">
        <f t="shared" si="113"/>
        <v>3178.9314999999997</v>
      </c>
      <c r="BF19" s="49">
        <f t="shared" si="30"/>
        <v>330.6878375</v>
      </c>
      <c r="BG19" s="32">
        <f t="shared" si="31"/>
        <v>3509.6193375</v>
      </c>
      <c r="BH19" s="63">
        <f t="shared" si="32"/>
        <v>218.9742771</v>
      </c>
      <c r="BI19" s="63">
        <f t="shared" si="33"/>
        <v>4.4300326</v>
      </c>
      <c r="BJ19" s="49"/>
      <c r="BK19" s="32">
        <f t="shared" si="114"/>
        <v>36617.2255</v>
      </c>
      <c r="BL19" s="32">
        <f t="shared" si="34"/>
        <v>3809.1009875</v>
      </c>
      <c r="BM19" s="32">
        <f t="shared" si="35"/>
        <v>40426.3264875</v>
      </c>
      <c r="BN19" s="63">
        <f t="shared" si="36"/>
        <v>2522.3036367</v>
      </c>
      <c r="BO19" s="63">
        <f t="shared" si="37"/>
        <v>51.0283102</v>
      </c>
      <c r="BP19" s="49"/>
      <c r="BQ19" s="49">
        <f t="shared" si="115"/>
        <v>51190.09099999999</v>
      </c>
      <c r="BR19" s="49">
        <f t="shared" si="38"/>
        <v>5325.040975</v>
      </c>
      <c r="BS19" s="32">
        <f t="shared" si="39"/>
        <v>56515.131975</v>
      </c>
      <c r="BT19" s="63">
        <f t="shared" si="40"/>
        <v>3526.1260494</v>
      </c>
      <c r="BU19" s="63">
        <f t="shared" si="41"/>
        <v>71.3364764</v>
      </c>
      <c r="BV19" s="49"/>
      <c r="BW19" s="49">
        <f t="shared" si="116"/>
        <v>7161.156</v>
      </c>
      <c r="BX19" s="49">
        <f t="shared" si="42"/>
        <v>744.9381</v>
      </c>
      <c r="BY19" s="32">
        <f t="shared" si="43"/>
        <v>7906.0941</v>
      </c>
      <c r="BZ19" s="63">
        <f t="shared" si="44"/>
        <v>493.28177039999997</v>
      </c>
      <c r="CA19" s="63">
        <f t="shared" si="45"/>
        <v>9.9795024</v>
      </c>
      <c r="CB19" s="49"/>
      <c r="CC19" s="49">
        <f t="shared" si="117"/>
        <v>37201.488</v>
      </c>
      <c r="CD19" s="49">
        <f t="shared" si="46"/>
        <v>3869.8788</v>
      </c>
      <c r="CE19" s="32">
        <f t="shared" si="47"/>
        <v>41071.366799999996</v>
      </c>
      <c r="CF19" s="63">
        <f t="shared" si="48"/>
        <v>2562.5493791999997</v>
      </c>
      <c r="CG19" s="63">
        <f t="shared" si="49"/>
        <v>51.8425152</v>
      </c>
      <c r="CH19" s="49"/>
      <c r="CI19" s="49">
        <f t="shared" si="118"/>
        <v>2114.215</v>
      </c>
      <c r="CJ19" s="49">
        <f t="shared" si="50"/>
        <v>219.93087500000001</v>
      </c>
      <c r="CK19" s="32">
        <f t="shared" si="51"/>
        <v>2334.145875</v>
      </c>
      <c r="CL19" s="63">
        <f t="shared" si="52"/>
        <v>145.633431</v>
      </c>
      <c r="CM19" s="63">
        <f t="shared" si="53"/>
        <v>2.946286</v>
      </c>
      <c r="CN19" s="49"/>
      <c r="CO19" s="49">
        <f t="shared" si="119"/>
        <v>7472.5815</v>
      </c>
      <c r="CP19" s="49">
        <f t="shared" si="54"/>
        <v>777.3340875</v>
      </c>
      <c r="CQ19" s="32">
        <f t="shared" si="55"/>
        <v>8249.9155875</v>
      </c>
      <c r="CR19" s="63">
        <f t="shared" si="56"/>
        <v>514.7336871</v>
      </c>
      <c r="CS19" s="63">
        <f t="shared" si="57"/>
        <v>10.413492600000001</v>
      </c>
      <c r="CT19" s="49"/>
      <c r="CU19" s="32">
        <f t="shared" si="120"/>
        <v>27162.499499999998</v>
      </c>
      <c r="CV19" s="32">
        <f t="shared" si="58"/>
        <v>2825.5746375</v>
      </c>
      <c r="CW19" s="32">
        <f t="shared" si="59"/>
        <v>29988.0741375</v>
      </c>
      <c r="CX19" s="63">
        <f t="shared" si="60"/>
        <v>1871.0339283</v>
      </c>
      <c r="CY19" s="63">
        <f t="shared" si="61"/>
        <v>37.8525798</v>
      </c>
      <c r="CZ19" s="49"/>
      <c r="DA19" s="49">
        <f t="shared" si="121"/>
        <v>185494.37600000002</v>
      </c>
      <c r="DB19" s="49">
        <f t="shared" si="62"/>
        <v>19296.0226</v>
      </c>
      <c r="DC19" s="32">
        <f t="shared" si="63"/>
        <v>204790.39860000001</v>
      </c>
      <c r="DD19" s="63">
        <f t="shared" si="64"/>
        <v>12777.4055184</v>
      </c>
      <c r="DE19" s="63">
        <f t="shared" si="65"/>
        <v>258.49759040000004</v>
      </c>
      <c r="DF19" s="49"/>
      <c r="DG19" s="49">
        <f t="shared" si="122"/>
        <v>767699.7285</v>
      </c>
      <c r="DH19" s="49">
        <f t="shared" si="66"/>
        <v>79859.84066249999</v>
      </c>
      <c r="DI19" s="32">
        <f t="shared" si="67"/>
        <v>847559.5691625</v>
      </c>
      <c r="DJ19" s="63">
        <f t="shared" si="68"/>
        <v>52881.445566899994</v>
      </c>
      <c r="DK19" s="63">
        <f t="shared" si="69"/>
        <v>1069.8358314</v>
      </c>
      <c r="DL19" s="49"/>
      <c r="DM19" s="49">
        <f t="shared" si="123"/>
        <v>141129.55800000002</v>
      </c>
      <c r="DN19" s="49">
        <f t="shared" si="70"/>
        <v>14680.979550000002</v>
      </c>
      <c r="DO19" s="32">
        <f t="shared" si="71"/>
        <v>155810.53755</v>
      </c>
      <c r="DP19" s="63">
        <f t="shared" si="72"/>
        <v>9721.4246172</v>
      </c>
      <c r="DQ19" s="63">
        <f t="shared" si="73"/>
        <v>196.6725432</v>
      </c>
      <c r="DR19" s="49"/>
      <c r="DS19" s="49">
        <f t="shared" si="124"/>
        <v>483181.8265</v>
      </c>
      <c r="DT19" s="49">
        <f t="shared" si="74"/>
        <v>50262.911712500005</v>
      </c>
      <c r="DU19" s="32">
        <f t="shared" si="75"/>
        <v>533444.7382125</v>
      </c>
      <c r="DV19" s="63">
        <f t="shared" si="76"/>
        <v>33283.004420100006</v>
      </c>
      <c r="DW19" s="63">
        <f t="shared" si="77"/>
        <v>673.3429906</v>
      </c>
      <c r="DX19" s="49"/>
      <c r="DY19" s="49">
        <f t="shared" si="125"/>
        <v>103017.70749999999</v>
      </c>
      <c r="DZ19" s="49">
        <f t="shared" si="78"/>
        <v>10716.4004375</v>
      </c>
      <c r="EA19" s="32">
        <f t="shared" si="79"/>
        <v>113734.1079375</v>
      </c>
      <c r="EB19" s="63">
        <f t="shared" si="80"/>
        <v>7096.166755499999</v>
      </c>
      <c r="EC19" s="63">
        <f t="shared" si="81"/>
        <v>143.561383</v>
      </c>
      <c r="ED19" s="49"/>
      <c r="EE19" s="49">
        <f t="shared" si="126"/>
        <v>8392.726999999999</v>
      </c>
      <c r="EF19" s="49">
        <f t="shared" si="82"/>
        <v>873.052075</v>
      </c>
      <c r="EG19" s="32">
        <f t="shared" si="83"/>
        <v>9265.779074999999</v>
      </c>
      <c r="EH19" s="63">
        <f t="shared" si="84"/>
        <v>578.1160517999999</v>
      </c>
      <c r="EI19" s="63">
        <f t="shared" si="85"/>
        <v>11.6957708</v>
      </c>
      <c r="EJ19" s="49"/>
      <c r="EK19" s="49">
        <f t="shared" si="127"/>
        <v>10009.6395</v>
      </c>
      <c r="EL19" s="49">
        <f t="shared" si="86"/>
        <v>1041.2511375</v>
      </c>
      <c r="EM19" s="32">
        <f t="shared" si="87"/>
        <v>11050.890637499999</v>
      </c>
      <c r="EN19" s="63">
        <f t="shared" si="88"/>
        <v>689.4938043</v>
      </c>
      <c r="EO19" s="63">
        <f t="shared" si="89"/>
        <v>13.949035799999999</v>
      </c>
      <c r="EP19" s="49"/>
      <c r="EQ19" s="49">
        <f t="shared" si="128"/>
        <v>20414.947</v>
      </c>
      <c r="ER19" s="49">
        <f t="shared" si="90"/>
        <v>2123.661575</v>
      </c>
      <c r="ES19" s="32">
        <f t="shared" si="91"/>
        <v>22538.608575</v>
      </c>
      <c r="ET19" s="63">
        <f t="shared" si="92"/>
        <v>1406.2423998</v>
      </c>
      <c r="EU19" s="63">
        <f t="shared" si="93"/>
        <v>28.4494588</v>
      </c>
      <c r="EV19" s="49"/>
      <c r="EW19" s="49">
        <f t="shared" si="129"/>
        <v>562705.116</v>
      </c>
      <c r="EX19" s="49">
        <f t="shared" si="94"/>
        <v>58535.3091</v>
      </c>
      <c r="EY19" s="32">
        <f t="shared" si="95"/>
        <v>621240.4251</v>
      </c>
      <c r="EZ19" s="63">
        <f t="shared" si="96"/>
        <v>38760.8056344</v>
      </c>
      <c r="FA19" s="63">
        <f t="shared" si="97"/>
        <v>784.1634864</v>
      </c>
      <c r="FB19" s="32"/>
      <c r="FC19" s="32">
        <f t="shared" si="130"/>
        <v>21854.135000000002</v>
      </c>
      <c r="FD19" s="32">
        <f t="shared" si="98"/>
        <v>2273.372875</v>
      </c>
      <c r="FE19" s="32">
        <f t="shared" si="99"/>
        <v>24127.507875000003</v>
      </c>
      <c r="FF19" s="63">
        <f t="shared" si="100"/>
        <v>1505.3779590000001</v>
      </c>
      <c r="FG19" s="63">
        <f t="shared" si="101"/>
        <v>30.455054</v>
      </c>
      <c r="FH19" s="49"/>
      <c r="FI19" s="49">
        <f t="shared" si="131"/>
        <v>46834.482</v>
      </c>
      <c r="FJ19" s="49">
        <f t="shared" si="102"/>
        <v>4871.94945</v>
      </c>
      <c r="FK19" s="32">
        <f t="shared" si="103"/>
        <v>51706.431450000004</v>
      </c>
      <c r="FL19" s="63">
        <f t="shared" si="104"/>
        <v>3226.0987188</v>
      </c>
      <c r="FM19" s="63">
        <f t="shared" si="105"/>
        <v>65.2666728</v>
      </c>
      <c r="FN19" s="49"/>
      <c r="FO19" s="32"/>
      <c r="FP19" s="32"/>
      <c r="FQ19" s="32"/>
      <c r="FR19" s="32"/>
    </row>
    <row r="20" spans="1:174" s="51" customFormat="1" ht="12.75">
      <c r="A20" s="50">
        <v>46296</v>
      </c>
      <c r="C20" s="34"/>
      <c r="D20" s="34">
        <v>429500</v>
      </c>
      <c r="E20" s="34">
        <f t="shared" si="0"/>
        <v>429500</v>
      </c>
      <c r="F20" s="34">
        <v>374379</v>
      </c>
      <c r="G20" s="34">
        <v>7574</v>
      </c>
      <c r="H20" s="49"/>
      <c r="I20" s="49">
        <f>'2019B Academic'!I20</f>
        <v>0</v>
      </c>
      <c r="J20" s="49">
        <f>'2019B Academic'!J20</f>
        <v>138107.22825000004</v>
      </c>
      <c r="K20" s="49">
        <f t="shared" si="1"/>
        <v>138107.22825000004</v>
      </c>
      <c r="L20" s="49">
        <f>'2019B Academic'!L20</f>
        <v>120382.8777765</v>
      </c>
      <c r="M20" s="49">
        <f>'2019B Academic'!M20</f>
        <v>2435.4462089999997</v>
      </c>
      <c r="N20" s="49"/>
      <c r="O20" s="49"/>
      <c r="P20" s="39">
        <f t="shared" si="2"/>
        <v>291392.77174999996</v>
      </c>
      <c r="Q20" s="32">
        <f t="shared" si="3"/>
        <v>291392.77174999996</v>
      </c>
      <c r="R20" s="39">
        <f t="shared" si="4"/>
        <v>253996.12222350002</v>
      </c>
      <c r="S20" s="39">
        <f t="shared" si="5"/>
        <v>5138.553790999999</v>
      </c>
      <c r="T20" s="49"/>
      <c r="U20" s="63"/>
      <c r="V20" s="63">
        <f t="shared" si="6"/>
        <v>23629.586750000002</v>
      </c>
      <c r="W20" s="20">
        <f t="shared" si="7"/>
        <v>23629.586750000002</v>
      </c>
      <c r="X20" s="63">
        <f t="shared" si="8"/>
        <v>20597.0222535</v>
      </c>
      <c r="Y20" s="63">
        <f t="shared" si="9"/>
        <v>416.694971</v>
      </c>
      <c r="Z20" s="49"/>
      <c r="AA20" s="63"/>
      <c r="AB20" s="63">
        <f t="shared" si="10"/>
        <v>28846.637349999997</v>
      </c>
      <c r="AC20" s="20">
        <f t="shared" si="11"/>
        <v>28846.637349999997</v>
      </c>
      <c r="AD20" s="63">
        <f t="shared" si="12"/>
        <v>25144.529090699998</v>
      </c>
      <c r="AE20" s="63">
        <f t="shared" si="13"/>
        <v>508.69483419999995</v>
      </c>
      <c r="AF20" s="49"/>
      <c r="AG20" s="32"/>
      <c r="AH20" s="32">
        <f t="shared" si="14"/>
        <v>105.61405</v>
      </c>
      <c r="AI20" s="32">
        <f t="shared" si="15"/>
        <v>105.61405</v>
      </c>
      <c r="AJ20" s="63">
        <f t="shared" si="16"/>
        <v>92.0597961</v>
      </c>
      <c r="AK20" s="63">
        <f t="shared" si="17"/>
        <v>1.8624466000000002</v>
      </c>
      <c r="AL20" s="49"/>
      <c r="AM20" s="63"/>
      <c r="AN20" s="63">
        <f t="shared" si="18"/>
        <v>6234.66495</v>
      </c>
      <c r="AO20" s="20">
        <f t="shared" si="19"/>
        <v>6234.66495</v>
      </c>
      <c r="AP20" s="63">
        <f t="shared" si="20"/>
        <v>5434.5230019</v>
      </c>
      <c r="AQ20" s="63">
        <f t="shared" si="21"/>
        <v>109.9449414</v>
      </c>
      <c r="AR20" s="49"/>
      <c r="AS20" s="63"/>
      <c r="AT20" s="63">
        <f t="shared" si="22"/>
        <v>28687.378750000003</v>
      </c>
      <c r="AU20" s="20">
        <f t="shared" si="23"/>
        <v>28687.378750000003</v>
      </c>
      <c r="AV20" s="63">
        <f t="shared" si="24"/>
        <v>25005.709357500004</v>
      </c>
      <c r="AW20" s="63">
        <f t="shared" si="25"/>
        <v>505.88639500000005</v>
      </c>
      <c r="AX20" s="49"/>
      <c r="AY20" s="63"/>
      <c r="AZ20" s="63">
        <f t="shared" si="26"/>
        <v>4522.4632</v>
      </c>
      <c r="BA20" s="20">
        <f t="shared" si="27"/>
        <v>4522.4632</v>
      </c>
      <c r="BB20" s="63">
        <f t="shared" si="28"/>
        <v>3942.0611184</v>
      </c>
      <c r="BC20" s="63">
        <f t="shared" si="29"/>
        <v>79.7511904</v>
      </c>
      <c r="BD20" s="49"/>
      <c r="BE20" s="49"/>
      <c r="BF20" s="49">
        <f t="shared" si="30"/>
        <v>251.21454999999997</v>
      </c>
      <c r="BG20" s="32">
        <f t="shared" si="31"/>
        <v>251.21454999999997</v>
      </c>
      <c r="BH20" s="63">
        <f t="shared" si="32"/>
        <v>218.9742771</v>
      </c>
      <c r="BI20" s="63">
        <f t="shared" si="33"/>
        <v>4.4300326</v>
      </c>
      <c r="BJ20" s="49"/>
      <c r="BK20" s="32"/>
      <c r="BL20" s="32">
        <f t="shared" si="34"/>
        <v>2893.67035</v>
      </c>
      <c r="BM20" s="32">
        <f t="shared" si="35"/>
        <v>2893.67035</v>
      </c>
      <c r="BN20" s="63">
        <f t="shared" si="36"/>
        <v>2522.3036367</v>
      </c>
      <c r="BO20" s="63">
        <f t="shared" si="37"/>
        <v>51.0283102</v>
      </c>
      <c r="BP20" s="49"/>
      <c r="BQ20" s="49"/>
      <c r="BR20" s="49">
        <f t="shared" si="38"/>
        <v>4045.2886999999996</v>
      </c>
      <c r="BS20" s="32">
        <f t="shared" si="39"/>
        <v>4045.2886999999996</v>
      </c>
      <c r="BT20" s="63">
        <f t="shared" si="40"/>
        <v>3526.1260494</v>
      </c>
      <c r="BU20" s="63">
        <f t="shared" si="41"/>
        <v>71.3364764</v>
      </c>
      <c r="BV20" s="49"/>
      <c r="BW20" s="49"/>
      <c r="BX20" s="49">
        <f t="shared" si="42"/>
        <v>565.9091999999999</v>
      </c>
      <c r="BY20" s="32">
        <f t="shared" si="43"/>
        <v>565.9091999999999</v>
      </c>
      <c r="BZ20" s="63">
        <f t="shared" si="44"/>
        <v>493.28177039999997</v>
      </c>
      <c r="CA20" s="63">
        <f t="shared" si="45"/>
        <v>9.9795024</v>
      </c>
      <c r="CB20" s="49"/>
      <c r="CC20" s="49"/>
      <c r="CD20" s="49">
        <f t="shared" si="46"/>
        <v>2939.8415999999997</v>
      </c>
      <c r="CE20" s="32">
        <f t="shared" si="47"/>
        <v>2939.8415999999997</v>
      </c>
      <c r="CF20" s="63">
        <f t="shared" si="48"/>
        <v>2562.5493791999997</v>
      </c>
      <c r="CG20" s="63">
        <f t="shared" si="49"/>
        <v>51.8425152</v>
      </c>
      <c r="CH20" s="49"/>
      <c r="CI20" s="49"/>
      <c r="CJ20" s="49">
        <f t="shared" si="50"/>
        <v>167.0755</v>
      </c>
      <c r="CK20" s="32">
        <f t="shared" si="51"/>
        <v>167.0755</v>
      </c>
      <c r="CL20" s="63">
        <f t="shared" si="52"/>
        <v>145.633431</v>
      </c>
      <c r="CM20" s="63">
        <f t="shared" si="53"/>
        <v>2.946286</v>
      </c>
      <c r="CN20" s="49"/>
      <c r="CO20" s="49"/>
      <c r="CP20" s="49">
        <f t="shared" si="54"/>
        <v>590.51955</v>
      </c>
      <c r="CQ20" s="32">
        <f t="shared" si="55"/>
        <v>590.51955</v>
      </c>
      <c r="CR20" s="63">
        <f t="shared" si="56"/>
        <v>514.7336871</v>
      </c>
      <c r="CS20" s="63">
        <f t="shared" si="57"/>
        <v>10.413492600000001</v>
      </c>
      <c r="CT20" s="49"/>
      <c r="CU20" s="32"/>
      <c r="CV20" s="32">
        <f t="shared" si="58"/>
        <v>2146.51215</v>
      </c>
      <c r="CW20" s="32">
        <f t="shared" si="59"/>
        <v>2146.51215</v>
      </c>
      <c r="CX20" s="63">
        <f t="shared" si="60"/>
        <v>1871.0339283</v>
      </c>
      <c r="CY20" s="63">
        <f t="shared" si="61"/>
        <v>37.8525798</v>
      </c>
      <c r="CZ20" s="49"/>
      <c r="DA20" s="49"/>
      <c r="DB20" s="49">
        <f t="shared" si="62"/>
        <v>14658.6632</v>
      </c>
      <c r="DC20" s="32">
        <f t="shared" si="63"/>
        <v>14658.6632</v>
      </c>
      <c r="DD20" s="63">
        <f t="shared" si="64"/>
        <v>12777.4055184</v>
      </c>
      <c r="DE20" s="63">
        <f t="shared" si="65"/>
        <v>258.49759040000004</v>
      </c>
      <c r="DF20" s="49"/>
      <c r="DG20" s="49"/>
      <c r="DH20" s="49">
        <f t="shared" si="66"/>
        <v>60667.347449999994</v>
      </c>
      <c r="DI20" s="32">
        <f t="shared" si="67"/>
        <v>60667.347449999994</v>
      </c>
      <c r="DJ20" s="63">
        <f t="shared" si="68"/>
        <v>52881.445566899994</v>
      </c>
      <c r="DK20" s="63">
        <f t="shared" si="69"/>
        <v>1069.8358314</v>
      </c>
      <c r="DL20" s="49"/>
      <c r="DM20" s="49"/>
      <c r="DN20" s="49">
        <f t="shared" si="70"/>
        <v>11152.740600000001</v>
      </c>
      <c r="DO20" s="32">
        <f t="shared" si="71"/>
        <v>11152.740600000001</v>
      </c>
      <c r="DP20" s="63">
        <f t="shared" si="72"/>
        <v>9721.4246172</v>
      </c>
      <c r="DQ20" s="63">
        <f t="shared" si="73"/>
        <v>196.6725432</v>
      </c>
      <c r="DR20" s="49"/>
      <c r="DS20" s="49"/>
      <c r="DT20" s="49">
        <f t="shared" si="74"/>
        <v>38183.366050000004</v>
      </c>
      <c r="DU20" s="32">
        <f t="shared" si="75"/>
        <v>38183.366050000004</v>
      </c>
      <c r="DV20" s="63">
        <f t="shared" si="76"/>
        <v>33283.004420100006</v>
      </c>
      <c r="DW20" s="63">
        <f t="shared" si="77"/>
        <v>673.3429906</v>
      </c>
      <c r="DX20" s="49"/>
      <c r="DY20" s="49"/>
      <c r="DZ20" s="49">
        <f t="shared" si="78"/>
        <v>8140.95775</v>
      </c>
      <c r="EA20" s="32">
        <f t="shared" si="79"/>
        <v>8140.95775</v>
      </c>
      <c r="EB20" s="63">
        <f t="shared" si="80"/>
        <v>7096.166755499999</v>
      </c>
      <c r="EC20" s="63">
        <f t="shared" si="81"/>
        <v>143.561383</v>
      </c>
      <c r="ED20" s="49"/>
      <c r="EE20" s="49"/>
      <c r="EF20" s="49">
        <f t="shared" si="82"/>
        <v>663.2339</v>
      </c>
      <c r="EG20" s="32">
        <f t="shared" si="83"/>
        <v>663.2339</v>
      </c>
      <c r="EH20" s="63">
        <f t="shared" si="84"/>
        <v>578.1160517999999</v>
      </c>
      <c r="EI20" s="63">
        <f t="shared" si="85"/>
        <v>11.6957708</v>
      </c>
      <c r="EJ20" s="49"/>
      <c r="EK20" s="49"/>
      <c r="EL20" s="49">
        <f t="shared" si="86"/>
        <v>791.01015</v>
      </c>
      <c r="EM20" s="32">
        <f t="shared" si="87"/>
        <v>791.01015</v>
      </c>
      <c r="EN20" s="63">
        <f t="shared" si="88"/>
        <v>689.4938043</v>
      </c>
      <c r="EO20" s="63">
        <f t="shared" si="89"/>
        <v>13.949035799999999</v>
      </c>
      <c r="EP20" s="49"/>
      <c r="EQ20" s="49"/>
      <c r="ER20" s="49">
        <f t="shared" si="90"/>
        <v>1613.2879</v>
      </c>
      <c r="ES20" s="32">
        <f t="shared" si="91"/>
        <v>1613.2879</v>
      </c>
      <c r="ET20" s="63">
        <f t="shared" si="92"/>
        <v>1406.2423998</v>
      </c>
      <c r="EU20" s="63">
        <f t="shared" si="93"/>
        <v>28.4494588</v>
      </c>
      <c r="EV20" s="49"/>
      <c r="EW20" s="49"/>
      <c r="EX20" s="49">
        <f t="shared" si="94"/>
        <v>44467.6812</v>
      </c>
      <c r="EY20" s="32">
        <f t="shared" si="95"/>
        <v>44467.6812</v>
      </c>
      <c r="EZ20" s="63">
        <f t="shared" si="96"/>
        <v>38760.8056344</v>
      </c>
      <c r="FA20" s="63">
        <f t="shared" si="97"/>
        <v>784.1634864</v>
      </c>
      <c r="FB20" s="32"/>
      <c r="FC20" s="32"/>
      <c r="FD20" s="32">
        <f t="shared" si="98"/>
        <v>1727.0195</v>
      </c>
      <c r="FE20" s="32">
        <f t="shared" si="99"/>
        <v>1727.0195</v>
      </c>
      <c r="FF20" s="63">
        <f t="shared" si="100"/>
        <v>1505.3779590000001</v>
      </c>
      <c r="FG20" s="63">
        <f t="shared" si="101"/>
        <v>30.455054</v>
      </c>
      <c r="FH20" s="49"/>
      <c r="FI20" s="49"/>
      <c r="FJ20" s="49">
        <f t="shared" si="102"/>
        <v>3701.0874</v>
      </c>
      <c r="FK20" s="32">
        <f t="shared" si="103"/>
        <v>3701.0874</v>
      </c>
      <c r="FL20" s="63">
        <f t="shared" si="104"/>
        <v>3226.0987188</v>
      </c>
      <c r="FM20" s="63">
        <f t="shared" si="105"/>
        <v>65.2666728</v>
      </c>
      <c r="FN20" s="49"/>
      <c r="FO20" s="32"/>
      <c r="FP20" s="32"/>
      <c r="FQ20" s="32"/>
      <c r="FR20" s="32"/>
    </row>
    <row r="21" spans="1:174" s="51" customFormat="1" ht="12.75">
      <c r="A21" s="50">
        <v>46478</v>
      </c>
      <c r="C21" s="34">
        <v>5580000</v>
      </c>
      <c r="D21" s="34">
        <v>429500</v>
      </c>
      <c r="E21" s="34">
        <f t="shared" si="0"/>
        <v>6009500</v>
      </c>
      <c r="F21" s="34">
        <v>374379</v>
      </c>
      <c r="G21" s="34">
        <v>7574</v>
      </c>
      <c r="H21" s="49"/>
      <c r="I21" s="49">
        <f>'2019B Academic'!I21</f>
        <v>1794268.5300000003</v>
      </c>
      <c r="J21" s="49">
        <f>'2019B Academic'!J21</f>
        <v>138107.22825000004</v>
      </c>
      <c r="K21" s="49">
        <f t="shared" si="1"/>
        <v>1932375.7582500004</v>
      </c>
      <c r="L21" s="49">
        <f>'2019B Academic'!L21</f>
        <v>120382.8777765</v>
      </c>
      <c r="M21" s="49">
        <f>'2019B Academic'!M21</f>
        <v>2435.4462089999997</v>
      </c>
      <c r="N21" s="49"/>
      <c r="O21" s="49">
        <f t="shared" si="106"/>
        <v>3785731.4699999997</v>
      </c>
      <c r="P21" s="39">
        <f t="shared" si="2"/>
        <v>291392.77174999996</v>
      </c>
      <c r="Q21" s="32">
        <f t="shared" si="3"/>
        <v>4077124.2417499996</v>
      </c>
      <c r="R21" s="39">
        <f t="shared" si="4"/>
        <v>253996.12222350002</v>
      </c>
      <c r="S21" s="39">
        <f t="shared" si="5"/>
        <v>5138.553790999999</v>
      </c>
      <c r="T21" s="49"/>
      <c r="U21" s="63">
        <f t="shared" si="107"/>
        <v>306992.07</v>
      </c>
      <c r="V21" s="63">
        <f t="shared" si="6"/>
        <v>23629.586750000002</v>
      </c>
      <c r="W21" s="20">
        <f t="shared" si="7"/>
        <v>330621.65675</v>
      </c>
      <c r="X21" s="63">
        <f t="shared" si="8"/>
        <v>20597.0222535</v>
      </c>
      <c r="Y21" s="63">
        <f t="shared" si="9"/>
        <v>416.694971</v>
      </c>
      <c r="Z21" s="49"/>
      <c r="AA21" s="63">
        <f t="shared" si="108"/>
        <v>374771.214</v>
      </c>
      <c r="AB21" s="63">
        <f t="shared" si="10"/>
        <v>28846.637349999997</v>
      </c>
      <c r="AC21" s="20">
        <f t="shared" si="11"/>
        <v>403617.85134999995</v>
      </c>
      <c r="AD21" s="63">
        <f t="shared" si="12"/>
        <v>25144.529090699998</v>
      </c>
      <c r="AE21" s="63">
        <f t="shared" si="13"/>
        <v>508.69483419999995</v>
      </c>
      <c r="AF21" s="49"/>
      <c r="AG21" s="32">
        <f t="shared" si="109"/>
        <v>1372.122</v>
      </c>
      <c r="AH21" s="32">
        <f t="shared" si="14"/>
        <v>105.61405</v>
      </c>
      <c r="AI21" s="32">
        <f t="shared" si="15"/>
        <v>1477.73605</v>
      </c>
      <c r="AJ21" s="63">
        <f t="shared" si="16"/>
        <v>92.0597961</v>
      </c>
      <c r="AK21" s="63">
        <f t="shared" si="17"/>
        <v>1.8624466000000002</v>
      </c>
      <c r="AL21" s="49"/>
      <c r="AM21" s="63">
        <f t="shared" si="110"/>
        <v>80999.838</v>
      </c>
      <c r="AN21" s="63">
        <f t="shared" si="18"/>
        <v>6234.66495</v>
      </c>
      <c r="AO21" s="20">
        <f t="shared" si="19"/>
        <v>87234.50295000001</v>
      </c>
      <c r="AP21" s="63">
        <f t="shared" si="20"/>
        <v>5434.5230019</v>
      </c>
      <c r="AQ21" s="63">
        <f t="shared" si="21"/>
        <v>109.9449414</v>
      </c>
      <c r="AR21" s="49"/>
      <c r="AS21" s="63">
        <f t="shared" si="111"/>
        <v>372702.15</v>
      </c>
      <c r="AT21" s="63">
        <f t="shared" si="22"/>
        <v>28687.378750000003</v>
      </c>
      <c r="AU21" s="20">
        <f t="shared" si="23"/>
        <v>401389.52875000006</v>
      </c>
      <c r="AV21" s="63">
        <f t="shared" si="24"/>
        <v>25005.709357500004</v>
      </c>
      <c r="AW21" s="63">
        <f t="shared" si="25"/>
        <v>505.88639500000005</v>
      </c>
      <c r="AX21" s="49"/>
      <c r="AY21" s="63">
        <f t="shared" si="112"/>
        <v>58755.168</v>
      </c>
      <c r="AZ21" s="63">
        <f t="shared" si="26"/>
        <v>4522.4632</v>
      </c>
      <c r="BA21" s="20">
        <f t="shared" si="27"/>
        <v>63277.631199999996</v>
      </c>
      <c r="BB21" s="63">
        <f t="shared" si="28"/>
        <v>3942.0611184</v>
      </c>
      <c r="BC21" s="63">
        <f t="shared" si="29"/>
        <v>79.7511904</v>
      </c>
      <c r="BD21" s="49"/>
      <c r="BE21" s="49">
        <f t="shared" si="113"/>
        <v>3263.7419999999997</v>
      </c>
      <c r="BF21" s="49">
        <f t="shared" si="30"/>
        <v>251.21454999999997</v>
      </c>
      <c r="BG21" s="32">
        <f t="shared" si="31"/>
        <v>3514.95655</v>
      </c>
      <c r="BH21" s="63">
        <f t="shared" si="32"/>
        <v>218.9742771</v>
      </c>
      <c r="BI21" s="63">
        <f t="shared" si="33"/>
        <v>4.4300326</v>
      </c>
      <c r="BJ21" s="49"/>
      <c r="BK21" s="32">
        <f t="shared" si="114"/>
        <v>37594.134</v>
      </c>
      <c r="BL21" s="32">
        <f t="shared" si="34"/>
        <v>2893.67035</v>
      </c>
      <c r="BM21" s="32">
        <f t="shared" si="35"/>
        <v>40487.80435</v>
      </c>
      <c r="BN21" s="63">
        <f t="shared" si="36"/>
        <v>2522.3036367</v>
      </c>
      <c r="BO21" s="63">
        <f t="shared" si="37"/>
        <v>51.0283102</v>
      </c>
      <c r="BP21" s="49"/>
      <c r="BQ21" s="49">
        <f t="shared" si="115"/>
        <v>52555.78799999999</v>
      </c>
      <c r="BR21" s="49">
        <f t="shared" si="38"/>
        <v>4045.2886999999996</v>
      </c>
      <c r="BS21" s="32">
        <f t="shared" si="39"/>
        <v>56601.07669999999</v>
      </c>
      <c r="BT21" s="63">
        <f t="shared" si="40"/>
        <v>3526.1260494</v>
      </c>
      <c r="BU21" s="63">
        <f t="shared" si="41"/>
        <v>71.3364764</v>
      </c>
      <c r="BV21" s="49"/>
      <c r="BW21" s="49">
        <f t="shared" si="116"/>
        <v>7352.208</v>
      </c>
      <c r="BX21" s="49">
        <f t="shared" si="42"/>
        <v>565.9091999999999</v>
      </c>
      <c r="BY21" s="32">
        <f t="shared" si="43"/>
        <v>7918.1172</v>
      </c>
      <c r="BZ21" s="63">
        <f t="shared" si="44"/>
        <v>493.28177039999997</v>
      </c>
      <c r="CA21" s="63">
        <f t="shared" si="45"/>
        <v>9.9795024</v>
      </c>
      <c r="CB21" s="49"/>
      <c r="CC21" s="49">
        <f t="shared" si="117"/>
        <v>38193.984</v>
      </c>
      <c r="CD21" s="49">
        <f t="shared" si="46"/>
        <v>2939.8415999999997</v>
      </c>
      <c r="CE21" s="32">
        <f t="shared" si="47"/>
        <v>41133.8256</v>
      </c>
      <c r="CF21" s="63">
        <f t="shared" si="48"/>
        <v>2562.5493791999997</v>
      </c>
      <c r="CG21" s="63">
        <f t="shared" si="49"/>
        <v>51.8425152</v>
      </c>
      <c r="CH21" s="49"/>
      <c r="CI21" s="49">
        <f t="shared" si="118"/>
        <v>2170.6200000000003</v>
      </c>
      <c r="CJ21" s="49">
        <f t="shared" si="50"/>
        <v>167.0755</v>
      </c>
      <c r="CK21" s="32">
        <f t="shared" si="51"/>
        <v>2337.6955000000003</v>
      </c>
      <c r="CL21" s="63">
        <f t="shared" si="52"/>
        <v>145.633431</v>
      </c>
      <c r="CM21" s="63">
        <f t="shared" si="53"/>
        <v>2.946286</v>
      </c>
      <c r="CN21" s="49"/>
      <c r="CO21" s="49">
        <f t="shared" si="119"/>
        <v>7671.942</v>
      </c>
      <c r="CP21" s="49">
        <f t="shared" si="54"/>
        <v>590.51955</v>
      </c>
      <c r="CQ21" s="32">
        <f t="shared" si="55"/>
        <v>8262.46155</v>
      </c>
      <c r="CR21" s="63">
        <f t="shared" si="56"/>
        <v>514.7336871</v>
      </c>
      <c r="CS21" s="63">
        <f t="shared" si="57"/>
        <v>10.413492600000001</v>
      </c>
      <c r="CT21" s="49"/>
      <c r="CU21" s="32">
        <f t="shared" si="120"/>
        <v>27887.166</v>
      </c>
      <c r="CV21" s="32">
        <f t="shared" si="58"/>
        <v>2146.51215</v>
      </c>
      <c r="CW21" s="32">
        <f t="shared" si="59"/>
        <v>30033.67815</v>
      </c>
      <c r="CX21" s="63">
        <f t="shared" si="60"/>
        <v>1871.0339283</v>
      </c>
      <c r="CY21" s="63">
        <f t="shared" si="61"/>
        <v>37.8525798</v>
      </c>
      <c r="CZ21" s="49"/>
      <c r="DA21" s="49">
        <f t="shared" si="121"/>
        <v>190443.168</v>
      </c>
      <c r="DB21" s="49">
        <f t="shared" si="62"/>
        <v>14658.6632</v>
      </c>
      <c r="DC21" s="32">
        <f t="shared" si="63"/>
        <v>205101.83120000002</v>
      </c>
      <c r="DD21" s="63">
        <f t="shared" si="64"/>
        <v>12777.4055184</v>
      </c>
      <c r="DE21" s="63">
        <f t="shared" si="65"/>
        <v>258.49759040000004</v>
      </c>
      <c r="DF21" s="49"/>
      <c r="DG21" s="49">
        <f t="shared" si="122"/>
        <v>788181.1379999999</v>
      </c>
      <c r="DH21" s="49">
        <f t="shared" si="66"/>
        <v>60667.347449999994</v>
      </c>
      <c r="DI21" s="32">
        <f t="shared" si="67"/>
        <v>848848.4854499999</v>
      </c>
      <c r="DJ21" s="63">
        <f t="shared" si="68"/>
        <v>52881.445566899994</v>
      </c>
      <c r="DK21" s="63">
        <f t="shared" si="69"/>
        <v>1069.8358314</v>
      </c>
      <c r="DL21" s="49"/>
      <c r="DM21" s="49">
        <f t="shared" si="123"/>
        <v>144894.744</v>
      </c>
      <c r="DN21" s="49">
        <f t="shared" si="70"/>
        <v>11152.740600000001</v>
      </c>
      <c r="DO21" s="32">
        <f t="shared" si="71"/>
        <v>156047.4846</v>
      </c>
      <c r="DP21" s="63">
        <f t="shared" si="72"/>
        <v>9721.4246172</v>
      </c>
      <c r="DQ21" s="63">
        <f t="shared" si="73"/>
        <v>196.6725432</v>
      </c>
      <c r="DR21" s="49"/>
      <c r="DS21" s="49">
        <f t="shared" si="124"/>
        <v>496072.602</v>
      </c>
      <c r="DT21" s="49">
        <f t="shared" si="74"/>
        <v>38183.366050000004</v>
      </c>
      <c r="DU21" s="32">
        <f t="shared" si="75"/>
        <v>534255.96805</v>
      </c>
      <c r="DV21" s="63">
        <f t="shared" si="76"/>
        <v>33283.004420100006</v>
      </c>
      <c r="DW21" s="63">
        <f t="shared" si="77"/>
        <v>673.3429906</v>
      </c>
      <c r="DX21" s="49"/>
      <c r="DY21" s="49">
        <f t="shared" si="125"/>
        <v>105766.11</v>
      </c>
      <c r="DZ21" s="49">
        <f t="shared" si="78"/>
        <v>8140.95775</v>
      </c>
      <c r="EA21" s="32">
        <f t="shared" si="79"/>
        <v>113907.06775</v>
      </c>
      <c r="EB21" s="63">
        <f t="shared" si="80"/>
        <v>7096.166755499999</v>
      </c>
      <c r="EC21" s="63">
        <f t="shared" si="81"/>
        <v>143.561383</v>
      </c>
      <c r="ED21" s="49"/>
      <c r="EE21" s="49">
        <f t="shared" si="126"/>
        <v>8616.636</v>
      </c>
      <c r="EF21" s="49">
        <f t="shared" si="82"/>
        <v>663.2339</v>
      </c>
      <c r="EG21" s="32">
        <f t="shared" si="83"/>
        <v>9279.8699</v>
      </c>
      <c r="EH21" s="63">
        <f t="shared" si="84"/>
        <v>578.1160517999999</v>
      </c>
      <c r="EI21" s="63">
        <f t="shared" si="85"/>
        <v>11.6957708</v>
      </c>
      <c r="EJ21" s="49"/>
      <c r="EK21" s="49">
        <f t="shared" si="127"/>
        <v>10276.686</v>
      </c>
      <c r="EL21" s="49">
        <f t="shared" si="86"/>
        <v>791.01015</v>
      </c>
      <c r="EM21" s="32">
        <f t="shared" si="87"/>
        <v>11067.69615</v>
      </c>
      <c r="EN21" s="63">
        <f t="shared" si="88"/>
        <v>689.4938043</v>
      </c>
      <c r="EO21" s="63">
        <f t="shared" si="89"/>
        <v>13.949035799999999</v>
      </c>
      <c r="EP21" s="49"/>
      <c r="EQ21" s="49">
        <f t="shared" si="128"/>
        <v>20959.595999999998</v>
      </c>
      <c r="ER21" s="49">
        <f t="shared" si="90"/>
        <v>1613.2879</v>
      </c>
      <c r="ES21" s="32">
        <f t="shared" si="91"/>
        <v>22572.883899999997</v>
      </c>
      <c r="ET21" s="63">
        <f t="shared" si="92"/>
        <v>1406.2423998</v>
      </c>
      <c r="EU21" s="63">
        <f t="shared" si="93"/>
        <v>28.4494588</v>
      </c>
      <c r="EV21" s="49"/>
      <c r="EW21" s="49">
        <f t="shared" si="129"/>
        <v>577717.488</v>
      </c>
      <c r="EX21" s="49">
        <f t="shared" si="94"/>
        <v>44467.6812</v>
      </c>
      <c r="EY21" s="32">
        <f t="shared" si="95"/>
        <v>622185.1692</v>
      </c>
      <c r="EZ21" s="63">
        <f t="shared" si="96"/>
        <v>38760.8056344</v>
      </c>
      <c r="FA21" s="63">
        <f t="shared" si="97"/>
        <v>784.1634864</v>
      </c>
      <c r="FB21" s="32"/>
      <c r="FC21" s="32">
        <f t="shared" si="130"/>
        <v>22437.18</v>
      </c>
      <c r="FD21" s="32">
        <f t="shared" si="98"/>
        <v>1727.0195</v>
      </c>
      <c r="FE21" s="32">
        <f t="shared" si="99"/>
        <v>24164.1995</v>
      </c>
      <c r="FF21" s="63">
        <f t="shared" si="100"/>
        <v>1505.3779590000001</v>
      </c>
      <c r="FG21" s="63">
        <f t="shared" si="101"/>
        <v>30.455054</v>
      </c>
      <c r="FH21" s="49"/>
      <c r="FI21" s="49">
        <f t="shared" si="131"/>
        <v>48083.976</v>
      </c>
      <c r="FJ21" s="49">
        <f t="shared" si="102"/>
        <v>3701.0874</v>
      </c>
      <c r="FK21" s="32">
        <f t="shared" si="103"/>
        <v>51785.0634</v>
      </c>
      <c r="FL21" s="63">
        <f t="shared" si="104"/>
        <v>3226.0987188</v>
      </c>
      <c r="FM21" s="63">
        <f t="shared" si="105"/>
        <v>65.2666728</v>
      </c>
      <c r="FN21" s="49"/>
      <c r="FO21" s="32"/>
      <c r="FP21" s="32"/>
      <c r="FQ21" s="32"/>
      <c r="FR21" s="32"/>
    </row>
    <row r="22" spans="1:174" s="51" customFormat="1" ht="12.75">
      <c r="A22" s="50">
        <v>46661</v>
      </c>
      <c r="C22" s="34"/>
      <c r="D22" s="34">
        <v>290000</v>
      </c>
      <c r="E22" s="34">
        <f t="shared" si="0"/>
        <v>290000</v>
      </c>
      <c r="F22" s="34">
        <v>374379</v>
      </c>
      <c r="G22" s="34">
        <v>7574</v>
      </c>
      <c r="H22" s="49"/>
      <c r="I22" s="49">
        <f>'2019B Academic'!I22</f>
        <v>0</v>
      </c>
      <c r="J22" s="49">
        <f>'2019B Academic'!J22</f>
        <v>93250.51499999998</v>
      </c>
      <c r="K22" s="49">
        <f t="shared" si="1"/>
        <v>93250.51499999998</v>
      </c>
      <c r="L22" s="49">
        <f>'2019B Academic'!L22</f>
        <v>120382.8777765</v>
      </c>
      <c r="M22" s="49">
        <f>'2019B Academic'!M22</f>
        <v>2435.4462089999997</v>
      </c>
      <c r="N22" s="49"/>
      <c r="O22" s="49"/>
      <c r="P22" s="39">
        <f t="shared" si="2"/>
        <v>196749.485</v>
      </c>
      <c r="Q22" s="32">
        <f t="shared" si="3"/>
        <v>196749.485</v>
      </c>
      <c r="R22" s="39">
        <f t="shared" si="4"/>
        <v>253996.12222350002</v>
      </c>
      <c r="S22" s="39">
        <f t="shared" si="5"/>
        <v>5138.553790999999</v>
      </c>
      <c r="T22" s="49"/>
      <c r="U22" s="63"/>
      <c r="V22" s="63">
        <f t="shared" si="6"/>
        <v>15954.785000000002</v>
      </c>
      <c r="W22" s="20">
        <f t="shared" si="7"/>
        <v>15954.785000000002</v>
      </c>
      <c r="X22" s="63">
        <f t="shared" si="8"/>
        <v>20597.0222535</v>
      </c>
      <c r="Y22" s="63">
        <f t="shared" si="9"/>
        <v>416.694971</v>
      </c>
      <c r="Z22" s="49"/>
      <c r="AA22" s="63"/>
      <c r="AB22" s="63">
        <f t="shared" si="10"/>
        <v>19477.357</v>
      </c>
      <c r="AC22" s="20">
        <f t="shared" si="11"/>
        <v>19477.357</v>
      </c>
      <c r="AD22" s="63">
        <f t="shared" si="12"/>
        <v>25144.529090699998</v>
      </c>
      <c r="AE22" s="63">
        <f t="shared" si="13"/>
        <v>508.69483419999995</v>
      </c>
      <c r="AF22" s="49"/>
      <c r="AG22" s="32"/>
      <c r="AH22" s="32">
        <f t="shared" si="14"/>
        <v>71.311</v>
      </c>
      <c r="AI22" s="32">
        <f t="shared" si="15"/>
        <v>71.311</v>
      </c>
      <c r="AJ22" s="63">
        <f t="shared" si="16"/>
        <v>92.0597961</v>
      </c>
      <c r="AK22" s="63">
        <f t="shared" si="17"/>
        <v>1.8624466000000002</v>
      </c>
      <c r="AL22" s="49"/>
      <c r="AM22" s="63"/>
      <c r="AN22" s="63">
        <f t="shared" si="18"/>
        <v>4209.669</v>
      </c>
      <c r="AO22" s="20">
        <f t="shared" si="19"/>
        <v>4209.669</v>
      </c>
      <c r="AP22" s="63">
        <f t="shared" si="20"/>
        <v>5434.5230019</v>
      </c>
      <c r="AQ22" s="63">
        <f t="shared" si="21"/>
        <v>109.9449414</v>
      </c>
      <c r="AR22" s="49"/>
      <c r="AS22" s="63"/>
      <c r="AT22" s="63">
        <f t="shared" si="22"/>
        <v>19369.825</v>
      </c>
      <c r="AU22" s="20">
        <f t="shared" si="23"/>
        <v>19369.825</v>
      </c>
      <c r="AV22" s="63">
        <f t="shared" si="24"/>
        <v>25005.709357500004</v>
      </c>
      <c r="AW22" s="63">
        <f t="shared" si="25"/>
        <v>505.88639500000005</v>
      </c>
      <c r="AX22" s="49"/>
      <c r="AY22" s="63"/>
      <c r="AZ22" s="63">
        <f t="shared" si="26"/>
        <v>3053.584</v>
      </c>
      <c r="BA22" s="20">
        <f t="shared" si="27"/>
        <v>3053.584</v>
      </c>
      <c r="BB22" s="63">
        <f t="shared" si="28"/>
        <v>3942.0611184</v>
      </c>
      <c r="BC22" s="63">
        <f t="shared" si="29"/>
        <v>79.7511904</v>
      </c>
      <c r="BD22" s="49"/>
      <c r="BE22" s="49"/>
      <c r="BF22" s="49">
        <f t="shared" si="30"/>
        <v>169.62099999999998</v>
      </c>
      <c r="BG22" s="32">
        <f t="shared" si="31"/>
        <v>169.62099999999998</v>
      </c>
      <c r="BH22" s="63">
        <f t="shared" si="32"/>
        <v>218.9742771</v>
      </c>
      <c r="BI22" s="63">
        <f t="shared" si="33"/>
        <v>4.4300326</v>
      </c>
      <c r="BJ22" s="49"/>
      <c r="BK22" s="32"/>
      <c r="BL22" s="32">
        <f t="shared" si="34"/>
        <v>1953.817</v>
      </c>
      <c r="BM22" s="32">
        <f t="shared" si="35"/>
        <v>1953.817</v>
      </c>
      <c r="BN22" s="63">
        <f t="shared" si="36"/>
        <v>2522.3036367</v>
      </c>
      <c r="BO22" s="63">
        <f t="shared" si="37"/>
        <v>51.0283102</v>
      </c>
      <c r="BP22" s="49"/>
      <c r="BQ22" s="49"/>
      <c r="BR22" s="49">
        <f t="shared" si="38"/>
        <v>2731.394</v>
      </c>
      <c r="BS22" s="32">
        <f t="shared" si="39"/>
        <v>2731.394</v>
      </c>
      <c r="BT22" s="63">
        <f t="shared" si="40"/>
        <v>3526.1260494</v>
      </c>
      <c r="BU22" s="63">
        <f t="shared" si="41"/>
        <v>71.3364764</v>
      </c>
      <c r="BV22" s="49"/>
      <c r="BW22" s="49"/>
      <c r="BX22" s="49">
        <f t="shared" si="42"/>
        <v>382.104</v>
      </c>
      <c r="BY22" s="32">
        <f t="shared" si="43"/>
        <v>382.104</v>
      </c>
      <c r="BZ22" s="63">
        <f t="shared" si="44"/>
        <v>493.28177039999997</v>
      </c>
      <c r="CA22" s="63">
        <f t="shared" si="45"/>
        <v>9.9795024</v>
      </c>
      <c r="CB22" s="49"/>
      <c r="CC22" s="49"/>
      <c r="CD22" s="49">
        <f t="shared" si="46"/>
        <v>1984.992</v>
      </c>
      <c r="CE22" s="32">
        <f t="shared" si="47"/>
        <v>1984.992</v>
      </c>
      <c r="CF22" s="63">
        <f t="shared" si="48"/>
        <v>2562.5493791999997</v>
      </c>
      <c r="CG22" s="63">
        <f t="shared" si="49"/>
        <v>51.8425152</v>
      </c>
      <c r="CH22" s="49"/>
      <c r="CI22" s="49"/>
      <c r="CJ22" s="49">
        <f t="shared" si="50"/>
        <v>112.81</v>
      </c>
      <c r="CK22" s="32">
        <f t="shared" si="51"/>
        <v>112.81</v>
      </c>
      <c r="CL22" s="63">
        <f t="shared" si="52"/>
        <v>145.633431</v>
      </c>
      <c r="CM22" s="63">
        <f t="shared" si="53"/>
        <v>2.946286</v>
      </c>
      <c r="CN22" s="49"/>
      <c r="CO22" s="49"/>
      <c r="CP22" s="49">
        <f t="shared" si="54"/>
        <v>398.721</v>
      </c>
      <c r="CQ22" s="32">
        <f t="shared" si="55"/>
        <v>398.721</v>
      </c>
      <c r="CR22" s="63">
        <f t="shared" si="56"/>
        <v>514.7336871</v>
      </c>
      <c r="CS22" s="63">
        <f t="shared" si="57"/>
        <v>10.413492600000001</v>
      </c>
      <c r="CT22" s="49"/>
      <c r="CU22" s="32"/>
      <c r="CV22" s="32">
        <f t="shared" si="58"/>
        <v>1449.3329999999999</v>
      </c>
      <c r="CW22" s="32">
        <f t="shared" si="59"/>
        <v>1449.3329999999999</v>
      </c>
      <c r="CX22" s="63">
        <f t="shared" si="60"/>
        <v>1871.0339283</v>
      </c>
      <c r="CY22" s="63">
        <f t="shared" si="61"/>
        <v>37.8525798</v>
      </c>
      <c r="CZ22" s="49"/>
      <c r="DA22" s="49"/>
      <c r="DB22" s="49">
        <f t="shared" si="62"/>
        <v>9897.584</v>
      </c>
      <c r="DC22" s="32">
        <f t="shared" si="63"/>
        <v>9897.584</v>
      </c>
      <c r="DD22" s="63">
        <f t="shared" si="64"/>
        <v>12777.4055184</v>
      </c>
      <c r="DE22" s="63">
        <f t="shared" si="65"/>
        <v>258.49759040000004</v>
      </c>
      <c r="DF22" s="49"/>
      <c r="DG22" s="49"/>
      <c r="DH22" s="49">
        <f t="shared" si="66"/>
        <v>40962.818999999996</v>
      </c>
      <c r="DI22" s="32">
        <f t="shared" si="67"/>
        <v>40962.818999999996</v>
      </c>
      <c r="DJ22" s="63">
        <f t="shared" si="68"/>
        <v>52881.445566899994</v>
      </c>
      <c r="DK22" s="63">
        <f t="shared" si="69"/>
        <v>1069.8358314</v>
      </c>
      <c r="DL22" s="49"/>
      <c r="DM22" s="49"/>
      <c r="DN22" s="49">
        <f t="shared" si="70"/>
        <v>7530.372</v>
      </c>
      <c r="DO22" s="32">
        <f t="shared" si="71"/>
        <v>7530.372</v>
      </c>
      <c r="DP22" s="63">
        <f t="shared" si="72"/>
        <v>9721.4246172</v>
      </c>
      <c r="DQ22" s="63">
        <f t="shared" si="73"/>
        <v>196.6725432</v>
      </c>
      <c r="DR22" s="49"/>
      <c r="DS22" s="49"/>
      <c r="DT22" s="49">
        <f t="shared" si="74"/>
        <v>25781.551000000003</v>
      </c>
      <c r="DU22" s="32">
        <f t="shared" si="75"/>
        <v>25781.551000000003</v>
      </c>
      <c r="DV22" s="63">
        <f t="shared" si="76"/>
        <v>33283.004420100006</v>
      </c>
      <c r="DW22" s="63">
        <f t="shared" si="77"/>
        <v>673.3429906</v>
      </c>
      <c r="DX22" s="49"/>
      <c r="DY22" s="49"/>
      <c r="DZ22" s="49">
        <f t="shared" si="78"/>
        <v>5496.804999999999</v>
      </c>
      <c r="EA22" s="32">
        <f t="shared" si="79"/>
        <v>5496.804999999999</v>
      </c>
      <c r="EB22" s="63">
        <f t="shared" si="80"/>
        <v>7096.166755499999</v>
      </c>
      <c r="EC22" s="63">
        <f t="shared" si="81"/>
        <v>143.561383</v>
      </c>
      <c r="ED22" s="49"/>
      <c r="EE22" s="49"/>
      <c r="EF22" s="49">
        <f t="shared" si="82"/>
        <v>447.818</v>
      </c>
      <c r="EG22" s="32">
        <f t="shared" si="83"/>
        <v>447.818</v>
      </c>
      <c r="EH22" s="63">
        <f t="shared" si="84"/>
        <v>578.1160517999999</v>
      </c>
      <c r="EI22" s="63">
        <f t="shared" si="85"/>
        <v>11.6957708</v>
      </c>
      <c r="EJ22" s="49"/>
      <c r="EK22" s="49"/>
      <c r="EL22" s="49">
        <f t="shared" si="86"/>
        <v>534.093</v>
      </c>
      <c r="EM22" s="32">
        <f t="shared" si="87"/>
        <v>534.093</v>
      </c>
      <c r="EN22" s="63">
        <f t="shared" si="88"/>
        <v>689.4938043</v>
      </c>
      <c r="EO22" s="63">
        <f t="shared" si="89"/>
        <v>13.949035799999999</v>
      </c>
      <c r="EP22" s="49"/>
      <c r="EQ22" s="49"/>
      <c r="ER22" s="49">
        <f t="shared" si="90"/>
        <v>1089.298</v>
      </c>
      <c r="ES22" s="32">
        <f t="shared" si="91"/>
        <v>1089.298</v>
      </c>
      <c r="ET22" s="63">
        <f t="shared" si="92"/>
        <v>1406.2423998</v>
      </c>
      <c r="EU22" s="63">
        <f t="shared" si="93"/>
        <v>28.4494588</v>
      </c>
      <c r="EV22" s="49"/>
      <c r="EW22" s="49"/>
      <c r="EX22" s="49">
        <f t="shared" si="94"/>
        <v>30024.744000000002</v>
      </c>
      <c r="EY22" s="32">
        <f t="shared" si="95"/>
        <v>30024.744000000002</v>
      </c>
      <c r="EZ22" s="63">
        <f t="shared" si="96"/>
        <v>38760.8056344</v>
      </c>
      <c r="FA22" s="63">
        <f t="shared" si="97"/>
        <v>784.1634864</v>
      </c>
      <c r="FB22" s="32"/>
      <c r="FC22" s="32"/>
      <c r="FD22" s="32">
        <f t="shared" si="98"/>
        <v>1166.0900000000001</v>
      </c>
      <c r="FE22" s="32">
        <f t="shared" si="99"/>
        <v>1166.0900000000001</v>
      </c>
      <c r="FF22" s="63">
        <f t="shared" si="100"/>
        <v>1505.3779590000001</v>
      </c>
      <c r="FG22" s="63">
        <f t="shared" si="101"/>
        <v>30.455054</v>
      </c>
      <c r="FH22" s="49"/>
      <c r="FI22" s="49"/>
      <c r="FJ22" s="49">
        <f t="shared" si="102"/>
        <v>2498.9880000000003</v>
      </c>
      <c r="FK22" s="32">
        <f t="shared" si="103"/>
        <v>2498.9880000000003</v>
      </c>
      <c r="FL22" s="63">
        <f t="shared" si="104"/>
        <v>3226.0987188</v>
      </c>
      <c r="FM22" s="63">
        <f t="shared" si="105"/>
        <v>65.2666728</v>
      </c>
      <c r="FN22" s="49"/>
      <c r="FO22" s="32"/>
      <c r="FP22" s="32"/>
      <c r="FQ22" s="32"/>
      <c r="FR22" s="32"/>
    </row>
    <row r="23" spans="1:174" s="51" customFormat="1" ht="12.75">
      <c r="A23" s="50">
        <v>46844</v>
      </c>
      <c r="C23" s="34">
        <v>5725000</v>
      </c>
      <c r="D23" s="34">
        <v>290000</v>
      </c>
      <c r="E23" s="34">
        <f t="shared" si="0"/>
        <v>6015000</v>
      </c>
      <c r="F23" s="34">
        <v>374379</v>
      </c>
      <c r="G23" s="34">
        <v>7574</v>
      </c>
      <c r="H23" s="49"/>
      <c r="I23" s="49">
        <f>'2019B Academic'!I23</f>
        <v>1840893.7874999999</v>
      </c>
      <c r="J23" s="49">
        <f>'2019B Academic'!J23</f>
        <v>93250.51499999998</v>
      </c>
      <c r="K23" s="49">
        <f t="shared" si="1"/>
        <v>1934144.3024999998</v>
      </c>
      <c r="L23" s="49">
        <f>'2019B Academic'!L23</f>
        <v>120382.8777765</v>
      </c>
      <c r="M23" s="49">
        <f>'2019B Academic'!M23</f>
        <v>2435.4462089999997</v>
      </c>
      <c r="N23" s="49"/>
      <c r="O23" s="49">
        <f t="shared" si="106"/>
        <v>3884106.2125</v>
      </c>
      <c r="P23" s="39">
        <f t="shared" si="2"/>
        <v>196749.485</v>
      </c>
      <c r="Q23" s="32">
        <f t="shared" si="3"/>
        <v>4080855.6975</v>
      </c>
      <c r="R23" s="39">
        <f t="shared" si="4"/>
        <v>253996.12222350002</v>
      </c>
      <c r="S23" s="39">
        <f t="shared" si="5"/>
        <v>5138.553790999999</v>
      </c>
      <c r="T23" s="49"/>
      <c r="U23" s="63">
        <f t="shared" si="107"/>
        <v>314969.4625</v>
      </c>
      <c r="V23" s="63">
        <f t="shared" si="6"/>
        <v>15954.785000000002</v>
      </c>
      <c r="W23" s="20">
        <f t="shared" si="7"/>
        <v>330924.2475</v>
      </c>
      <c r="X23" s="63">
        <f t="shared" si="8"/>
        <v>20597.0222535</v>
      </c>
      <c r="Y23" s="63">
        <f t="shared" si="9"/>
        <v>416.694971</v>
      </c>
      <c r="Z23" s="49"/>
      <c r="AA23" s="63">
        <f t="shared" si="108"/>
        <v>384509.89249999996</v>
      </c>
      <c r="AB23" s="63">
        <f t="shared" si="10"/>
        <v>19477.357</v>
      </c>
      <c r="AC23" s="20">
        <f t="shared" si="11"/>
        <v>403987.2495</v>
      </c>
      <c r="AD23" s="63">
        <f t="shared" si="12"/>
        <v>25144.529090699998</v>
      </c>
      <c r="AE23" s="63">
        <f t="shared" si="13"/>
        <v>508.69483419999995</v>
      </c>
      <c r="AF23" s="49"/>
      <c r="AG23" s="32">
        <f t="shared" si="109"/>
        <v>1407.7775000000001</v>
      </c>
      <c r="AH23" s="32">
        <f t="shared" si="14"/>
        <v>71.311</v>
      </c>
      <c r="AI23" s="32">
        <f t="shared" si="15"/>
        <v>1479.0885</v>
      </c>
      <c r="AJ23" s="63">
        <f t="shared" si="16"/>
        <v>92.0597961</v>
      </c>
      <c r="AK23" s="63">
        <f t="shared" si="17"/>
        <v>1.8624466000000002</v>
      </c>
      <c r="AL23" s="49"/>
      <c r="AM23" s="63">
        <f t="shared" si="110"/>
        <v>83104.6725</v>
      </c>
      <c r="AN23" s="63">
        <f t="shared" si="18"/>
        <v>4209.669</v>
      </c>
      <c r="AO23" s="20">
        <f t="shared" si="19"/>
        <v>87314.3415</v>
      </c>
      <c r="AP23" s="63">
        <f t="shared" si="20"/>
        <v>5434.5230019</v>
      </c>
      <c r="AQ23" s="63">
        <f t="shared" si="21"/>
        <v>109.9449414</v>
      </c>
      <c r="AR23" s="49"/>
      <c r="AS23" s="63">
        <f t="shared" si="111"/>
        <v>382387.0625</v>
      </c>
      <c r="AT23" s="63">
        <f t="shared" si="22"/>
        <v>19369.825</v>
      </c>
      <c r="AU23" s="20">
        <f t="shared" si="23"/>
        <v>401756.8875</v>
      </c>
      <c r="AV23" s="63">
        <f t="shared" si="24"/>
        <v>25005.709357500004</v>
      </c>
      <c r="AW23" s="63">
        <f t="shared" si="25"/>
        <v>505.88639500000005</v>
      </c>
      <c r="AX23" s="49"/>
      <c r="AY23" s="63">
        <f t="shared" si="112"/>
        <v>60281.96</v>
      </c>
      <c r="AZ23" s="63">
        <f t="shared" si="26"/>
        <v>3053.584</v>
      </c>
      <c r="BA23" s="20">
        <f t="shared" si="27"/>
        <v>63335.544</v>
      </c>
      <c r="BB23" s="63">
        <f t="shared" si="28"/>
        <v>3942.0611184</v>
      </c>
      <c r="BC23" s="63">
        <f t="shared" si="29"/>
        <v>79.7511904</v>
      </c>
      <c r="BD23" s="49"/>
      <c r="BE23" s="49">
        <f t="shared" si="113"/>
        <v>3348.5525</v>
      </c>
      <c r="BF23" s="49">
        <f t="shared" si="30"/>
        <v>169.62099999999998</v>
      </c>
      <c r="BG23" s="32">
        <f t="shared" si="31"/>
        <v>3518.1735</v>
      </c>
      <c r="BH23" s="63">
        <f t="shared" si="32"/>
        <v>218.9742771</v>
      </c>
      <c r="BI23" s="63">
        <f t="shared" si="33"/>
        <v>4.4300326</v>
      </c>
      <c r="BJ23" s="49"/>
      <c r="BK23" s="32">
        <f t="shared" si="114"/>
        <v>38571.042499999996</v>
      </c>
      <c r="BL23" s="32">
        <f t="shared" si="34"/>
        <v>1953.817</v>
      </c>
      <c r="BM23" s="32">
        <f t="shared" si="35"/>
        <v>40524.8595</v>
      </c>
      <c r="BN23" s="63">
        <f t="shared" si="36"/>
        <v>2522.3036367</v>
      </c>
      <c r="BO23" s="63">
        <f t="shared" si="37"/>
        <v>51.0283102</v>
      </c>
      <c r="BP23" s="49"/>
      <c r="BQ23" s="49">
        <f t="shared" si="115"/>
        <v>53921.48499999999</v>
      </c>
      <c r="BR23" s="49">
        <f t="shared" si="38"/>
        <v>2731.394</v>
      </c>
      <c r="BS23" s="32">
        <f t="shared" si="39"/>
        <v>56652.87899999999</v>
      </c>
      <c r="BT23" s="63">
        <f t="shared" si="40"/>
        <v>3526.1260494</v>
      </c>
      <c r="BU23" s="63">
        <f t="shared" si="41"/>
        <v>71.3364764</v>
      </c>
      <c r="BV23" s="49"/>
      <c r="BW23" s="49">
        <f t="shared" si="116"/>
        <v>7543.259999999999</v>
      </c>
      <c r="BX23" s="49">
        <f t="shared" si="42"/>
        <v>382.104</v>
      </c>
      <c r="BY23" s="32">
        <f t="shared" si="43"/>
        <v>7925.364</v>
      </c>
      <c r="BZ23" s="63">
        <f t="shared" si="44"/>
        <v>493.28177039999997</v>
      </c>
      <c r="CA23" s="63">
        <f t="shared" si="45"/>
        <v>9.9795024</v>
      </c>
      <c r="CB23" s="49"/>
      <c r="CC23" s="49">
        <f t="shared" si="117"/>
        <v>39186.479999999996</v>
      </c>
      <c r="CD23" s="49">
        <f t="shared" si="46"/>
        <v>1984.992</v>
      </c>
      <c r="CE23" s="32">
        <f t="shared" si="47"/>
        <v>41171.471999999994</v>
      </c>
      <c r="CF23" s="63">
        <f t="shared" si="48"/>
        <v>2562.5493791999997</v>
      </c>
      <c r="CG23" s="63">
        <f t="shared" si="49"/>
        <v>51.8425152</v>
      </c>
      <c r="CH23" s="49"/>
      <c r="CI23" s="49">
        <f t="shared" si="118"/>
        <v>2227.025</v>
      </c>
      <c r="CJ23" s="49">
        <f t="shared" si="50"/>
        <v>112.81</v>
      </c>
      <c r="CK23" s="32">
        <f t="shared" si="51"/>
        <v>2339.835</v>
      </c>
      <c r="CL23" s="63">
        <f t="shared" si="52"/>
        <v>145.633431</v>
      </c>
      <c r="CM23" s="63">
        <f t="shared" si="53"/>
        <v>2.946286</v>
      </c>
      <c r="CN23" s="49"/>
      <c r="CO23" s="49">
        <f t="shared" si="119"/>
        <v>7871.302500000001</v>
      </c>
      <c r="CP23" s="49">
        <f t="shared" si="54"/>
        <v>398.721</v>
      </c>
      <c r="CQ23" s="32">
        <f t="shared" si="55"/>
        <v>8270.023500000001</v>
      </c>
      <c r="CR23" s="63">
        <f t="shared" si="56"/>
        <v>514.7336871</v>
      </c>
      <c r="CS23" s="63">
        <f t="shared" si="57"/>
        <v>10.413492600000001</v>
      </c>
      <c r="CT23" s="49"/>
      <c r="CU23" s="32">
        <f t="shared" si="120"/>
        <v>28611.8325</v>
      </c>
      <c r="CV23" s="32">
        <f t="shared" si="58"/>
        <v>1449.3329999999999</v>
      </c>
      <c r="CW23" s="32">
        <f t="shared" si="59"/>
        <v>30061.1655</v>
      </c>
      <c r="CX23" s="63">
        <f t="shared" si="60"/>
        <v>1871.0339283</v>
      </c>
      <c r="CY23" s="63">
        <f t="shared" si="61"/>
        <v>37.8525798</v>
      </c>
      <c r="CZ23" s="49"/>
      <c r="DA23" s="49">
        <f t="shared" si="121"/>
        <v>195391.96000000002</v>
      </c>
      <c r="DB23" s="49">
        <f t="shared" si="62"/>
        <v>9897.584</v>
      </c>
      <c r="DC23" s="32">
        <f t="shared" si="63"/>
        <v>205289.54400000002</v>
      </c>
      <c r="DD23" s="63">
        <f t="shared" si="64"/>
        <v>12777.4055184</v>
      </c>
      <c r="DE23" s="63">
        <f t="shared" si="65"/>
        <v>258.49759040000004</v>
      </c>
      <c r="DF23" s="49"/>
      <c r="DG23" s="49">
        <f t="shared" si="122"/>
        <v>808662.5475</v>
      </c>
      <c r="DH23" s="49">
        <f t="shared" si="66"/>
        <v>40962.818999999996</v>
      </c>
      <c r="DI23" s="32">
        <f t="shared" si="67"/>
        <v>849625.3665</v>
      </c>
      <c r="DJ23" s="63">
        <f t="shared" si="68"/>
        <v>52881.445566899994</v>
      </c>
      <c r="DK23" s="63">
        <f t="shared" si="69"/>
        <v>1069.8358314</v>
      </c>
      <c r="DL23" s="49"/>
      <c r="DM23" s="49">
        <f t="shared" si="123"/>
        <v>148659.93000000002</v>
      </c>
      <c r="DN23" s="49">
        <f t="shared" si="70"/>
        <v>7530.372</v>
      </c>
      <c r="DO23" s="32">
        <f t="shared" si="71"/>
        <v>156190.30200000003</v>
      </c>
      <c r="DP23" s="63">
        <f t="shared" si="72"/>
        <v>9721.4246172</v>
      </c>
      <c r="DQ23" s="63">
        <f t="shared" si="73"/>
        <v>196.6725432</v>
      </c>
      <c r="DR23" s="49"/>
      <c r="DS23" s="49">
        <f t="shared" si="124"/>
        <v>508963.37750000006</v>
      </c>
      <c r="DT23" s="49">
        <f t="shared" si="74"/>
        <v>25781.551000000003</v>
      </c>
      <c r="DU23" s="32">
        <f t="shared" si="75"/>
        <v>534744.9285</v>
      </c>
      <c r="DV23" s="63">
        <f t="shared" si="76"/>
        <v>33283.004420100006</v>
      </c>
      <c r="DW23" s="63">
        <f t="shared" si="77"/>
        <v>673.3429906</v>
      </c>
      <c r="DX23" s="49"/>
      <c r="DY23" s="49">
        <f t="shared" si="125"/>
        <v>108514.5125</v>
      </c>
      <c r="DZ23" s="49">
        <f t="shared" si="78"/>
        <v>5496.804999999999</v>
      </c>
      <c r="EA23" s="32">
        <f t="shared" si="79"/>
        <v>114011.31749999999</v>
      </c>
      <c r="EB23" s="63">
        <f t="shared" si="80"/>
        <v>7096.166755499999</v>
      </c>
      <c r="EC23" s="63">
        <f t="shared" si="81"/>
        <v>143.561383</v>
      </c>
      <c r="ED23" s="49"/>
      <c r="EE23" s="49">
        <f t="shared" si="126"/>
        <v>8840.545</v>
      </c>
      <c r="EF23" s="49">
        <f t="shared" si="82"/>
        <v>447.818</v>
      </c>
      <c r="EG23" s="32">
        <f t="shared" si="83"/>
        <v>9288.363</v>
      </c>
      <c r="EH23" s="63">
        <f t="shared" si="84"/>
        <v>578.1160517999999</v>
      </c>
      <c r="EI23" s="63">
        <f t="shared" si="85"/>
        <v>11.6957708</v>
      </c>
      <c r="EJ23" s="49"/>
      <c r="EK23" s="49">
        <f t="shared" si="127"/>
        <v>10543.7325</v>
      </c>
      <c r="EL23" s="49">
        <f t="shared" si="86"/>
        <v>534.093</v>
      </c>
      <c r="EM23" s="32">
        <f t="shared" si="87"/>
        <v>11077.8255</v>
      </c>
      <c r="EN23" s="63">
        <f t="shared" si="88"/>
        <v>689.4938043</v>
      </c>
      <c r="EO23" s="63">
        <f t="shared" si="89"/>
        <v>13.949035799999999</v>
      </c>
      <c r="EP23" s="49"/>
      <c r="EQ23" s="49">
        <f t="shared" si="128"/>
        <v>21504.245</v>
      </c>
      <c r="ER23" s="49">
        <f t="shared" si="90"/>
        <v>1089.298</v>
      </c>
      <c r="ES23" s="32">
        <f t="shared" si="91"/>
        <v>22593.542999999998</v>
      </c>
      <c r="ET23" s="63">
        <f t="shared" si="92"/>
        <v>1406.2423998</v>
      </c>
      <c r="EU23" s="63">
        <f t="shared" si="93"/>
        <v>28.4494588</v>
      </c>
      <c r="EV23" s="49"/>
      <c r="EW23" s="49">
        <f t="shared" si="129"/>
        <v>592729.86</v>
      </c>
      <c r="EX23" s="49">
        <f t="shared" si="94"/>
        <v>30024.744000000002</v>
      </c>
      <c r="EY23" s="32">
        <f t="shared" si="95"/>
        <v>622754.6039999999</v>
      </c>
      <c r="EZ23" s="63">
        <f t="shared" si="96"/>
        <v>38760.8056344</v>
      </c>
      <c r="FA23" s="63">
        <f t="shared" si="97"/>
        <v>784.1634864</v>
      </c>
      <c r="FB23" s="32"/>
      <c r="FC23" s="32">
        <f t="shared" si="130"/>
        <v>23020.225000000002</v>
      </c>
      <c r="FD23" s="32">
        <f t="shared" si="98"/>
        <v>1166.0900000000001</v>
      </c>
      <c r="FE23" s="32">
        <f t="shared" si="99"/>
        <v>24186.315000000002</v>
      </c>
      <c r="FF23" s="63">
        <f t="shared" si="100"/>
        <v>1505.3779590000001</v>
      </c>
      <c r="FG23" s="63">
        <f t="shared" si="101"/>
        <v>30.455054</v>
      </c>
      <c r="FH23" s="49"/>
      <c r="FI23" s="49">
        <f t="shared" si="131"/>
        <v>49333.47</v>
      </c>
      <c r="FJ23" s="49">
        <f t="shared" si="102"/>
        <v>2498.9880000000003</v>
      </c>
      <c r="FK23" s="32">
        <f t="shared" si="103"/>
        <v>51832.458</v>
      </c>
      <c r="FL23" s="63">
        <f t="shared" si="104"/>
        <v>3226.0987188</v>
      </c>
      <c r="FM23" s="63">
        <f t="shared" si="105"/>
        <v>65.2666728</v>
      </c>
      <c r="FN23" s="49"/>
      <c r="FO23" s="32"/>
      <c r="FP23" s="32"/>
      <c r="FQ23" s="32"/>
      <c r="FR23" s="32"/>
    </row>
    <row r="24" spans="1:174" s="51" customFormat="1" ht="12.75">
      <c r="A24" s="50">
        <v>47027</v>
      </c>
      <c r="C24" s="34"/>
      <c r="D24" s="34">
        <v>146875</v>
      </c>
      <c r="E24" s="34">
        <f t="shared" si="0"/>
        <v>146875</v>
      </c>
      <c r="F24" s="34">
        <v>374379</v>
      </c>
      <c r="G24" s="34">
        <v>7574</v>
      </c>
      <c r="H24" s="49"/>
      <c r="I24" s="49">
        <f>'2019B Academic'!I24</f>
        <v>0</v>
      </c>
      <c r="J24" s="49">
        <f>'2019B Academic'!J24</f>
        <v>47228.1703125</v>
      </c>
      <c r="K24" s="49">
        <f t="shared" si="1"/>
        <v>47228.1703125</v>
      </c>
      <c r="L24" s="49">
        <f>'2019B Academic'!L24</f>
        <v>120382.8777765</v>
      </c>
      <c r="M24" s="49">
        <f>'2019B Academic'!M24</f>
        <v>2435.4462089999997</v>
      </c>
      <c r="N24" s="49"/>
      <c r="O24" s="49"/>
      <c r="P24" s="39">
        <f t="shared" si="2"/>
        <v>99646.82968750001</v>
      </c>
      <c r="Q24" s="32">
        <f t="shared" si="3"/>
        <v>99646.82968750001</v>
      </c>
      <c r="R24" s="39">
        <f t="shared" si="4"/>
        <v>253996.12222350002</v>
      </c>
      <c r="S24" s="39">
        <f t="shared" si="5"/>
        <v>5138.553790999999</v>
      </c>
      <c r="T24" s="49"/>
      <c r="U24" s="63"/>
      <c r="V24" s="63">
        <f t="shared" si="6"/>
        <v>8080.548437500001</v>
      </c>
      <c r="W24" s="20">
        <f t="shared" si="7"/>
        <v>8080.548437500001</v>
      </c>
      <c r="X24" s="63">
        <f t="shared" si="8"/>
        <v>20597.0222535</v>
      </c>
      <c r="Y24" s="63">
        <f t="shared" si="9"/>
        <v>416.694971</v>
      </c>
      <c r="Z24" s="49"/>
      <c r="AA24" s="63"/>
      <c r="AB24" s="63">
        <f t="shared" si="10"/>
        <v>9864.609687499998</v>
      </c>
      <c r="AC24" s="20">
        <f t="shared" si="11"/>
        <v>9864.609687499998</v>
      </c>
      <c r="AD24" s="63">
        <f t="shared" si="12"/>
        <v>25144.529090699998</v>
      </c>
      <c r="AE24" s="63">
        <f t="shared" si="13"/>
        <v>508.69483419999995</v>
      </c>
      <c r="AF24" s="49"/>
      <c r="AG24" s="32"/>
      <c r="AH24" s="32">
        <f t="shared" si="14"/>
        <v>36.1165625</v>
      </c>
      <c r="AI24" s="32">
        <f t="shared" si="15"/>
        <v>36.1165625</v>
      </c>
      <c r="AJ24" s="63">
        <f t="shared" si="16"/>
        <v>92.0597961</v>
      </c>
      <c r="AK24" s="63">
        <f t="shared" si="17"/>
        <v>1.8624466000000002</v>
      </c>
      <c r="AL24" s="49"/>
      <c r="AM24" s="63"/>
      <c r="AN24" s="63">
        <f t="shared" si="18"/>
        <v>2132.0521875</v>
      </c>
      <c r="AO24" s="20">
        <f t="shared" si="19"/>
        <v>2132.0521875</v>
      </c>
      <c r="AP24" s="63">
        <f t="shared" si="20"/>
        <v>5434.5230019</v>
      </c>
      <c r="AQ24" s="63">
        <f t="shared" si="21"/>
        <v>109.9449414</v>
      </c>
      <c r="AR24" s="49"/>
      <c r="AS24" s="63"/>
      <c r="AT24" s="63">
        <f t="shared" si="22"/>
        <v>9810.1484375</v>
      </c>
      <c r="AU24" s="20">
        <f t="shared" si="23"/>
        <v>9810.1484375</v>
      </c>
      <c r="AV24" s="63">
        <f t="shared" si="24"/>
        <v>25005.709357500004</v>
      </c>
      <c r="AW24" s="63">
        <f t="shared" si="25"/>
        <v>505.88639500000005</v>
      </c>
      <c r="AX24" s="49"/>
      <c r="AY24" s="63"/>
      <c r="AZ24" s="63">
        <f t="shared" si="26"/>
        <v>1546.535</v>
      </c>
      <c r="BA24" s="20">
        <f t="shared" si="27"/>
        <v>1546.535</v>
      </c>
      <c r="BB24" s="63">
        <f t="shared" si="28"/>
        <v>3942.0611184</v>
      </c>
      <c r="BC24" s="63">
        <f t="shared" si="29"/>
        <v>79.7511904</v>
      </c>
      <c r="BD24" s="49"/>
      <c r="BE24" s="49"/>
      <c r="BF24" s="49">
        <f t="shared" si="30"/>
        <v>85.90718749999999</v>
      </c>
      <c r="BG24" s="32">
        <f t="shared" si="31"/>
        <v>85.90718749999999</v>
      </c>
      <c r="BH24" s="63">
        <f t="shared" si="32"/>
        <v>218.9742771</v>
      </c>
      <c r="BI24" s="63">
        <f t="shared" si="33"/>
        <v>4.4300326</v>
      </c>
      <c r="BJ24" s="49"/>
      <c r="BK24" s="32"/>
      <c r="BL24" s="32">
        <f t="shared" si="34"/>
        <v>989.5409374999999</v>
      </c>
      <c r="BM24" s="32">
        <f t="shared" si="35"/>
        <v>989.5409374999999</v>
      </c>
      <c r="BN24" s="63">
        <f t="shared" si="36"/>
        <v>2522.3036367</v>
      </c>
      <c r="BO24" s="63">
        <f t="shared" si="37"/>
        <v>51.0283102</v>
      </c>
      <c r="BP24" s="49"/>
      <c r="BQ24" s="49"/>
      <c r="BR24" s="49">
        <f t="shared" si="38"/>
        <v>1383.356875</v>
      </c>
      <c r="BS24" s="32">
        <f t="shared" si="39"/>
        <v>1383.356875</v>
      </c>
      <c r="BT24" s="63">
        <f t="shared" si="40"/>
        <v>3526.1260494</v>
      </c>
      <c r="BU24" s="63">
        <f t="shared" si="41"/>
        <v>71.3364764</v>
      </c>
      <c r="BV24" s="49"/>
      <c r="BW24" s="49"/>
      <c r="BX24" s="49">
        <f t="shared" si="42"/>
        <v>193.52249999999998</v>
      </c>
      <c r="BY24" s="32">
        <f t="shared" si="43"/>
        <v>193.52249999999998</v>
      </c>
      <c r="BZ24" s="63">
        <f t="shared" si="44"/>
        <v>493.28177039999997</v>
      </c>
      <c r="CA24" s="63">
        <f t="shared" si="45"/>
        <v>9.9795024</v>
      </c>
      <c r="CB24" s="49"/>
      <c r="CC24" s="49"/>
      <c r="CD24" s="49">
        <f t="shared" si="46"/>
        <v>1005.3299999999999</v>
      </c>
      <c r="CE24" s="32">
        <f t="shared" si="47"/>
        <v>1005.3299999999999</v>
      </c>
      <c r="CF24" s="63">
        <f t="shared" si="48"/>
        <v>2562.5493791999997</v>
      </c>
      <c r="CG24" s="63">
        <f t="shared" si="49"/>
        <v>51.8425152</v>
      </c>
      <c r="CH24" s="49"/>
      <c r="CI24" s="49"/>
      <c r="CJ24" s="49">
        <f t="shared" si="50"/>
        <v>57.134375000000006</v>
      </c>
      <c r="CK24" s="32">
        <f t="shared" si="51"/>
        <v>57.134375000000006</v>
      </c>
      <c r="CL24" s="63">
        <f t="shared" si="52"/>
        <v>145.633431</v>
      </c>
      <c r="CM24" s="63">
        <f t="shared" si="53"/>
        <v>2.946286</v>
      </c>
      <c r="CN24" s="49"/>
      <c r="CO24" s="49"/>
      <c r="CP24" s="49">
        <f t="shared" si="54"/>
        <v>201.93843750000002</v>
      </c>
      <c r="CQ24" s="32">
        <f t="shared" si="55"/>
        <v>201.93843750000002</v>
      </c>
      <c r="CR24" s="63">
        <f t="shared" si="56"/>
        <v>514.7336871</v>
      </c>
      <c r="CS24" s="63">
        <f t="shared" si="57"/>
        <v>10.413492600000001</v>
      </c>
      <c r="CT24" s="49"/>
      <c r="CU24" s="32"/>
      <c r="CV24" s="32">
        <f t="shared" si="58"/>
        <v>734.0371875</v>
      </c>
      <c r="CW24" s="32">
        <f t="shared" si="59"/>
        <v>734.0371875</v>
      </c>
      <c r="CX24" s="63">
        <f t="shared" si="60"/>
        <v>1871.0339283</v>
      </c>
      <c r="CY24" s="63">
        <f t="shared" si="61"/>
        <v>37.8525798</v>
      </c>
      <c r="CZ24" s="49"/>
      <c r="DA24" s="49"/>
      <c r="DB24" s="49">
        <f t="shared" si="62"/>
        <v>5012.785000000001</v>
      </c>
      <c r="DC24" s="32">
        <f t="shared" si="63"/>
        <v>5012.785000000001</v>
      </c>
      <c r="DD24" s="63">
        <f t="shared" si="64"/>
        <v>12777.4055184</v>
      </c>
      <c r="DE24" s="63">
        <f t="shared" si="65"/>
        <v>258.49759040000004</v>
      </c>
      <c r="DF24" s="49"/>
      <c r="DG24" s="49"/>
      <c r="DH24" s="49">
        <f t="shared" si="66"/>
        <v>20746.255312499998</v>
      </c>
      <c r="DI24" s="32">
        <f t="shared" si="67"/>
        <v>20746.255312499998</v>
      </c>
      <c r="DJ24" s="63">
        <f t="shared" si="68"/>
        <v>52881.445566899994</v>
      </c>
      <c r="DK24" s="63">
        <f t="shared" si="69"/>
        <v>1069.8358314</v>
      </c>
      <c r="DL24" s="49"/>
      <c r="DM24" s="49"/>
      <c r="DN24" s="49">
        <f t="shared" si="70"/>
        <v>3813.87375</v>
      </c>
      <c r="DO24" s="32">
        <f t="shared" si="71"/>
        <v>3813.87375</v>
      </c>
      <c r="DP24" s="63">
        <f t="shared" si="72"/>
        <v>9721.4246172</v>
      </c>
      <c r="DQ24" s="63">
        <f t="shared" si="73"/>
        <v>196.6725432</v>
      </c>
      <c r="DR24" s="49"/>
      <c r="DS24" s="49"/>
      <c r="DT24" s="49">
        <f t="shared" si="74"/>
        <v>13057.466562500002</v>
      </c>
      <c r="DU24" s="32">
        <f t="shared" si="75"/>
        <v>13057.466562500002</v>
      </c>
      <c r="DV24" s="63">
        <f t="shared" si="76"/>
        <v>33283.004420100006</v>
      </c>
      <c r="DW24" s="63">
        <f t="shared" si="77"/>
        <v>673.3429906</v>
      </c>
      <c r="DX24" s="49"/>
      <c r="DY24" s="49"/>
      <c r="DZ24" s="49">
        <f t="shared" si="78"/>
        <v>2783.9421875</v>
      </c>
      <c r="EA24" s="32">
        <f t="shared" si="79"/>
        <v>2783.9421875</v>
      </c>
      <c r="EB24" s="63">
        <f t="shared" si="80"/>
        <v>7096.166755499999</v>
      </c>
      <c r="EC24" s="63">
        <f t="shared" si="81"/>
        <v>143.561383</v>
      </c>
      <c r="ED24" s="49"/>
      <c r="EE24" s="49"/>
      <c r="EF24" s="49">
        <f t="shared" si="82"/>
        <v>226.804375</v>
      </c>
      <c r="EG24" s="32">
        <f t="shared" si="83"/>
        <v>226.804375</v>
      </c>
      <c r="EH24" s="63">
        <f t="shared" si="84"/>
        <v>578.1160517999999</v>
      </c>
      <c r="EI24" s="63">
        <f t="shared" si="85"/>
        <v>11.6957708</v>
      </c>
      <c r="EJ24" s="49"/>
      <c r="EK24" s="49"/>
      <c r="EL24" s="49">
        <f t="shared" si="86"/>
        <v>270.4996875</v>
      </c>
      <c r="EM24" s="32">
        <f t="shared" si="87"/>
        <v>270.4996875</v>
      </c>
      <c r="EN24" s="63">
        <f t="shared" si="88"/>
        <v>689.4938043</v>
      </c>
      <c r="EO24" s="63">
        <f t="shared" si="89"/>
        <v>13.949035799999999</v>
      </c>
      <c r="EP24" s="49"/>
      <c r="EQ24" s="49"/>
      <c r="ER24" s="49">
        <f t="shared" si="90"/>
        <v>551.691875</v>
      </c>
      <c r="ES24" s="32">
        <f t="shared" si="91"/>
        <v>551.691875</v>
      </c>
      <c r="ET24" s="63">
        <f t="shared" si="92"/>
        <v>1406.2423998</v>
      </c>
      <c r="EU24" s="63">
        <f t="shared" si="93"/>
        <v>28.4494588</v>
      </c>
      <c r="EV24" s="49"/>
      <c r="EW24" s="49"/>
      <c r="EX24" s="49">
        <f t="shared" si="94"/>
        <v>15206.497500000001</v>
      </c>
      <c r="EY24" s="32">
        <f t="shared" si="95"/>
        <v>15206.497500000001</v>
      </c>
      <c r="EZ24" s="63">
        <f t="shared" si="96"/>
        <v>38760.8056344</v>
      </c>
      <c r="FA24" s="63">
        <f t="shared" si="97"/>
        <v>784.1634864</v>
      </c>
      <c r="FB24" s="32"/>
      <c r="FC24" s="32"/>
      <c r="FD24" s="32">
        <f t="shared" si="98"/>
        <v>590.584375</v>
      </c>
      <c r="FE24" s="32">
        <f t="shared" si="99"/>
        <v>590.584375</v>
      </c>
      <c r="FF24" s="63">
        <f t="shared" si="100"/>
        <v>1505.3779590000001</v>
      </c>
      <c r="FG24" s="63">
        <f t="shared" si="101"/>
        <v>30.455054</v>
      </c>
      <c r="FH24" s="49"/>
      <c r="FI24" s="49"/>
      <c r="FJ24" s="49">
        <f t="shared" si="102"/>
        <v>1265.6512500000001</v>
      </c>
      <c r="FK24" s="32">
        <f t="shared" si="103"/>
        <v>1265.6512500000001</v>
      </c>
      <c r="FL24" s="63">
        <f t="shared" si="104"/>
        <v>3226.0987188</v>
      </c>
      <c r="FM24" s="63">
        <f t="shared" si="105"/>
        <v>65.2666728</v>
      </c>
      <c r="FN24" s="49"/>
      <c r="FO24" s="32"/>
      <c r="FP24" s="32"/>
      <c r="FQ24" s="32"/>
      <c r="FR24" s="32"/>
    </row>
    <row r="25" spans="1:174" s="51" customFormat="1" ht="12.75">
      <c r="A25" s="50">
        <v>47209</v>
      </c>
      <c r="C25" s="34">
        <v>5875000</v>
      </c>
      <c r="D25" s="34">
        <v>146875</v>
      </c>
      <c r="E25" s="34">
        <f t="shared" si="0"/>
        <v>6021875</v>
      </c>
      <c r="F25" s="34">
        <v>374379</v>
      </c>
      <c r="G25" s="34">
        <v>7574</v>
      </c>
      <c r="H25" s="49"/>
      <c r="I25" s="49">
        <f>'2019B Academic'!I25</f>
        <v>1889126.8125000002</v>
      </c>
      <c r="J25" s="49">
        <f>'2019B Academic'!J25</f>
        <v>47228.1703125</v>
      </c>
      <c r="K25" s="49">
        <f t="shared" si="1"/>
        <v>1936354.9828125003</v>
      </c>
      <c r="L25" s="49">
        <f>'2019B Academic'!L25</f>
        <v>120382.8777765</v>
      </c>
      <c r="M25" s="49">
        <f>'2019B Academic'!M25</f>
        <v>2435.4462089999997</v>
      </c>
      <c r="N25" s="49"/>
      <c r="O25" s="49">
        <f t="shared" si="106"/>
        <v>3985873.187499999</v>
      </c>
      <c r="P25" s="39">
        <f t="shared" si="2"/>
        <v>99646.82968750001</v>
      </c>
      <c r="Q25" s="32">
        <f t="shared" si="3"/>
        <v>4085520.017187499</v>
      </c>
      <c r="R25" s="39">
        <f t="shared" si="4"/>
        <v>253996.12222350002</v>
      </c>
      <c r="S25" s="39">
        <f t="shared" si="5"/>
        <v>5138.553790999999</v>
      </c>
      <c r="T25" s="49"/>
      <c r="U25" s="63">
        <f t="shared" si="107"/>
        <v>323221.9375</v>
      </c>
      <c r="V25" s="63">
        <f t="shared" si="6"/>
        <v>8080.548437500001</v>
      </c>
      <c r="W25" s="20">
        <f t="shared" si="7"/>
        <v>331302.4859375</v>
      </c>
      <c r="X25" s="63">
        <f t="shared" si="8"/>
        <v>20597.0222535</v>
      </c>
      <c r="Y25" s="63">
        <f t="shared" si="9"/>
        <v>416.694971</v>
      </c>
      <c r="Z25" s="49"/>
      <c r="AA25" s="63">
        <f t="shared" si="108"/>
        <v>394584.38749999995</v>
      </c>
      <c r="AB25" s="63">
        <f t="shared" si="10"/>
        <v>9864.609687499998</v>
      </c>
      <c r="AC25" s="20">
        <f t="shared" si="11"/>
        <v>404448.99718749995</v>
      </c>
      <c r="AD25" s="63">
        <f t="shared" si="12"/>
        <v>25144.529090699998</v>
      </c>
      <c r="AE25" s="63">
        <f t="shared" si="13"/>
        <v>508.69483419999995</v>
      </c>
      <c r="AF25" s="49"/>
      <c r="AG25" s="32">
        <f t="shared" si="109"/>
        <v>1444.6625000000001</v>
      </c>
      <c r="AH25" s="32">
        <f t="shared" si="14"/>
        <v>36.1165625</v>
      </c>
      <c r="AI25" s="32">
        <f t="shared" si="15"/>
        <v>1480.7790625000002</v>
      </c>
      <c r="AJ25" s="63">
        <f t="shared" si="16"/>
        <v>92.0597961</v>
      </c>
      <c r="AK25" s="63">
        <f t="shared" si="17"/>
        <v>1.8624466000000002</v>
      </c>
      <c r="AL25" s="49"/>
      <c r="AM25" s="63">
        <f t="shared" si="110"/>
        <v>85282.08750000001</v>
      </c>
      <c r="AN25" s="63">
        <f t="shared" si="18"/>
        <v>2132.0521875</v>
      </c>
      <c r="AO25" s="20">
        <f t="shared" si="19"/>
        <v>87414.1396875</v>
      </c>
      <c r="AP25" s="63">
        <f t="shared" si="20"/>
        <v>5434.5230019</v>
      </c>
      <c r="AQ25" s="63">
        <f t="shared" si="21"/>
        <v>109.9449414</v>
      </c>
      <c r="AR25" s="49"/>
      <c r="AS25" s="63">
        <f t="shared" si="111"/>
        <v>392405.9375</v>
      </c>
      <c r="AT25" s="63">
        <f t="shared" si="22"/>
        <v>9810.1484375</v>
      </c>
      <c r="AU25" s="20">
        <f t="shared" si="23"/>
        <v>402216.0859375</v>
      </c>
      <c r="AV25" s="63">
        <f t="shared" si="24"/>
        <v>25005.709357500004</v>
      </c>
      <c r="AW25" s="63">
        <f t="shared" si="25"/>
        <v>505.88639500000005</v>
      </c>
      <c r="AX25" s="49"/>
      <c r="AY25" s="63">
        <f t="shared" si="112"/>
        <v>61861.4</v>
      </c>
      <c r="AZ25" s="63">
        <f t="shared" si="26"/>
        <v>1546.535</v>
      </c>
      <c r="BA25" s="20">
        <f t="shared" si="27"/>
        <v>63407.935000000005</v>
      </c>
      <c r="BB25" s="63">
        <f t="shared" si="28"/>
        <v>3942.0611184</v>
      </c>
      <c r="BC25" s="63">
        <f t="shared" si="29"/>
        <v>79.7511904</v>
      </c>
      <c r="BD25" s="49"/>
      <c r="BE25" s="49">
        <f t="shared" si="113"/>
        <v>3436.2875</v>
      </c>
      <c r="BF25" s="49">
        <f t="shared" si="30"/>
        <v>85.90718749999999</v>
      </c>
      <c r="BG25" s="32">
        <f t="shared" si="31"/>
        <v>3522.1946875</v>
      </c>
      <c r="BH25" s="63">
        <f t="shared" si="32"/>
        <v>218.9742771</v>
      </c>
      <c r="BI25" s="63">
        <f t="shared" si="33"/>
        <v>4.4300326</v>
      </c>
      <c r="BJ25" s="49"/>
      <c r="BK25" s="32">
        <f t="shared" si="114"/>
        <v>39581.6375</v>
      </c>
      <c r="BL25" s="32">
        <f t="shared" si="34"/>
        <v>989.5409374999999</v>
      </c>
      <c r="BM25" s="32">
        <f t="shared" si="35"/>
        <v>40571.1784375</v>
      </c>
      <c r="BN25" s="63">
        <f t="shared" si="36"/>
        <v>2522.3036367</v>
      </c>
      <c r="BO25" s="63">
        <f t="shared" si="37"/>
        <v>51.0283102</v>
      </c>
      <c r="BP25" s="49"/>
      <c r="BQ25" s="49">
        <f t="shared" si="115"/>
        <v>55334.274999999994</v>
      </c>
      <c r="BR25" s="49">
        <f t="shared" si="38"/>
        <v>1383.356875</v>
      </c>
      <c r="BS25" s="32">
        <f t="shared" si="39"/>
        <v>56717.63187499999</v>
      </c>
      <c r="BT25" s="63">
        <f t="shared" si="40"/>
        <v>3526.1260494</v>
      </c>
      <c r="BU25" s="63">
        <f t="shared" si="41"/>
        <v>71.3364764</v>
      </c>
      <c r="BV25" s="49"/>
      <c r="BW25" s="49">
        <f t="shared" si="116"/>
        <v>7740.9</v>
      </c>
      <c r="BX25" s="49">
        <f t="shared" si="42"/>
        <v>193.52249999999998</v>
      </c>
      <c r="BY25" s="32">
        <f t="shared" si="43"/>
        <v>7934.4225</v>
      </c>
      <c r="BZ25" s="63">
        <f t="shared" si="44"/>
        <v>493.28177039999997</v>
      </c>
      <c r="CA25" s="63">
        <f t="shared" si="45"/>
        <v>9.9795024</v>
      </c>
      <c r="CB25" s="49"/>
      <c r="CC25" s="49">
        <f t="shared" si="117"/>
        <v>40213.2</v>
      </c>
      <c r="CD25" s="49">
        <f t="shared" si="46"/>
        <v>1005.3299999999999</v>
      </c>
      <c r="CE25" s="32">
        <f t="shared" si="47"/>
        <v>41218.53</v>
      </c>
      <c r="CF25" s="63">
        <f t="shared" si="48"/>
        <v>2562.5493791999997</v>
      </c>
      <c r="CG25" s="63">
        <f t="shared" si="49"/>
        <v>51.8425152</v>
      </c>
      <c r="CH25" s="49"/>
      <c r="CI25" s="49">
        <f t="shared" si="118"/>
        <v>2285.375</v>
      </c>
      <c r="CJ25" s="49">
        <f t="shared" si="50"/>
        <v>57.134375000000006</v>
      </c>
      <c r="CK25" s="32">
        <f t="shared" si="51"/>
        <v>2342.509375</v>
      </c>
      <c r="CL25" s="63">
        <f t="shared" si="52"/>
        <v>145.633431</v>
      </c>
      <c r="CM25" s="63">
        <f t="shared" si="53"/>
        <v>2.946286</v>
      </c>
      <c r="CN25" s="49"/>
      <c r="CO25" s="49">
        <f t="shared" si="119"/>
        <v>8077.5375</v>
      </c>
      <c r="CP25" s="49">
        <f t="shared" si="54"/>
        <v>201.93843750000002</v>
      </c>
      <c r="CQ25" s="32">
        <f t="shared" si="55"/>
        <v>8279.475937500001</v>
      </c>
      <c r="CR25" s="63">
        <f t="shared" si="56"/>
        <v>514.7336871</v>
      </c>
      <c r="CS25" s="63">
        <f t="shared" si="57"/>
        <v>10.413492600000001</v>
      </c>
      <c r="CT25" s="49"/>
      <c r="CU25" s="32">
        <f t="shared" si="120"/>
        <v>29361.4875</v>
      </c>
      <c r="CV25" s="32">
        <f t="shared" si="58"/>
        <v>734.0371875</v>
      </c>
      <c r="CW25" s="32">
        <f t="shared" si="59"/>
        <v>30095.524687499998</v>
      </c>
      <c r="CX25" s="63">
        <f t="shared" si="60"/>
        <v>1871.0339283</v>
      </c>
      <c r="CY25" s="63">
        <f t="shared" si="61"/>
        <v>37.8525798</v>
      </c>
      <c r="CZ25" s="49"/>
      <c r="DA25" s="49">
        <f t="shared" si="121"/>
        <v>200511.40000000002</v>
      </c>
      <c r="DB25" s="49">
        <f t="shared" si="62"/>
        <v>5012.785000000001</v>
      </c>
      <c r="DC25" s="32">
        <f t="shared" si="63"/>
        <v>205524.18500000003</v>
      </c>
      <c r="DD25" s="63">
        <f t="shared" si="64"/>
        <v>12777.4055184</v>
      </c>
      <c r="DE25" s="63">
        <f t="shared" si="65"/>
        <v>258.49759040000004</v>
      </c>
      <c r="DF25" s="49"/>
      <c r="DG25" s="49">
        <f t="shared" si="122"/>
        <v>829850.2124999999</v>
      </c>
      <c r="DH25" s="49">
        <f t="shared" si="66"/>
        <v>20746.255312499998</v>
      </c>
      <c r="DI25" s="32">
        <f t="shared" si="67"/>
        <v>850596.4678125</v>
      </c>
      <c r="DJ25" s="63">
        <f t="shared" si="68"/>
        <v>52881.445566899994</v>
      </c>
      <c r="DK25" s="63">
        <f t="shared" si="69"/>
        <v>1069.8358314</v>
      </c>
      <c r="DL25" s="49"/>
      <c r="DM25" s="49">
        <f t="shared" si="123"/>
        <v>152554.95</v>
      </c>
      <c r="DN25" s="49">
        <f t="shared" si="70"/>
        <v>3813.87375</v>
      </c>
      <c r="DO25" s="32">
        <f t="shared" si="71"/>
        <v>156368.82375</v>
      </c>
      <c r="DP25" s="63">
        <f t="shared" si="72"/>
        <v>9721.4246172</v>
      </c>
      <c r="DQ25" s="63">
        <f t="shared" si="73"/>
        <v>196.6725432</v>
      </c>
      <c r="DR25" s="49"/>
      <c r="DS25" s="49">
        <f t="shared" si="124"/>
        <v>522298.66250000003</v>
      </c>
      <c r="DT25" s="49">
        <f t="shared" si="74"/>
        <v>13057.466562500002</v>
      </c>
      <c r="DU25" s="32">
        <f t="shared" si="75"/>
        <v>535356.1290625001</v>
      </c>
      <c r="DV25" s="63">
        <f t="shared" si="76"/>
        <v>33283.004420100006</v>
      </c>
      <c r="DW25" s="63">
        <f t="shared" si="77"/>
        <v>673.3429906</v>
      </c>
      <c r="DX25" s="49"/>
      <c r="DY25" s="49">
        <f t="shared" si="125"/>
        <v>111357.6875</v>
      </c>
      <c r="DZ25" s="49">
        <f t="shared" si="78"/>
        <v>2783.9421875</v>
      </c>
      <c r="EA25" s="32">
        <f t="shared" si="79"/>
        <v>114141.6296875</v>
      </c>
      <c r="EB25" s="63">
        <f t="shared" si="80"/>
        <v>7096.166755499999</v>
      </c>
      <c r="EC25" s="63">
        <f t="shared" si="81"/>
        <v>143.561383</v>
      </c>
      <c r="ED25" s="49"/>
      <c r="EE25" s="49">
        <f t="shared" si="126"/>
        <v>9072.175</v>
      </c>
      <c r="EF25" s="49">
        <f t="shared" si="82"/>
        <v>226.804375</v>
      </c>
      <c r="EG25" s="32">
        <f t="shared" si="83"/>
        <v>9298.979374999999</v>
      </c>
      <c r="EH25" s="63">
        <f t="shared" si="84"/>
        <v>578.1160517999999</v>
      </c>
      <c r="EI25" s="63">
        <f t="shared" si="85"/>
        <v>11.6957708</v>
      </c>
      <c r="EJ25" s="49"/>
      <c r="EK25" s="49">
        <f t="shared" si="127"/>
        <v>10819.9875</v>
      </c>
      <c r="EL25" s="49">
        <f t="shared" si="86"/>
        <v>270.4996875</v>
      </c>
      <c r="EM25" s="32">
        <f t="shared" si="87"/>
        <v>11090.487187499999</v>
      </c>
      <c r="EN25" s="63">
        <f t="shared" si="88"/>
        <v>689.4938043</v>
      </c>
      <c r="EO25" s="63">
        <f t="shared" si="89"/>
        <v>13.949035799999999</v>
      </c>
      <c r="EP25" s="49"/>
      <c r="EQ25" s="49">
        <f t="shared" si="128"/>
        <v>22067.675</v>
      </c>
      <c r="ER25" s="49">
        <f t="shared" si="90"/>
        <v>551.691875</v>
      </c>
      <c r="ES25" s="32">
        <f t="shared" si="91"/>
        <v>22619.366875</v>
      </c>
      <c r="ET25" s="63">
        <f t="shared" si="92"/>
        <v>1406.2423998</v>
      </c>
      <c r="EU25" s="63">
        <f t="shared" si="93"/>
        <v>28.4494588</v>
      </c>
      <c r="EV25" s="49"/>
      <c r="EW25" s="49">
        <f t="shared" si="129"/>
        <v>608259.9</v>
      </c>
      <c r="EX25" s="49">
        <f t="shared" si="94"/>
        <v>15206.497500000001</v>
      </c>
      <c r="EY25" s="32">
        <f t="shared" si="95"/>
        <v>623466.3975000001</v>
      </c>
      <c r="EZ25" s="63">
        <f t="shared" si="96"/>
        <v>38760.8056344</v>
      </c>
      <c r="FA25" s="63">
        <f t="shared" si="97"/>
        <v>784.1634864</v>
      </c>
      <c r="FB25" s="32"/>
      <c r="FC25" s="32">
        <f t="shared" si="130"/>
        <v>23623.375</v>
      </c>
      <c r="FD25" s="32">
        <f t="shared" si="98"/>
        <v>590.584375</v>
      </c>
      <c r="FE25" s="32">
        <f t="shared" si="99"/>
        <v>24213.959375</v>
      </c>
      <c r="FF25" s="63">
        <f t="shared" si="100"/>
        <v>1505.3779590000001</v>
      </c>
      <c r="FG25" s="63">
        <f t="shared" si="101"/>
        <v>30.455054</v>
      </c>
      <c r="FH25" s="49"/>
      <c r="FI25" s="49">
        <f t="shared" si="131"/>
        <v>50626.05</v>
      </c>
      <c r="FJ25" s="49">
        <f t="shared" si="102"/>
        <v>1265.6512500000001</v>
      </c>
      <c r="FK25" s="32">
        <f t="shared" si="103"/>
        <v>51891.701250000006</v>
      </c>
      <c r="FL25" s="63">
        <f t="shared" si="104"/>
        <v>3226.0987188</v>
      </c>
      <c r="FM25" s="63">
        <f t="shared" si="105"/>
        <v>65.2666728</v>
      </c>
      <c r="FN25" s="49"/>
      <c r="FO25" s="32"/>
      <c r="FP25" s="32"/>
      <c r="FQ25" s="32"/>
      <c r="FR25" s="32"/>
    </row>
    <row r="26" spans="3:174" ht="12.75">
      <c r="C26" s="39"/>
      <c r="D26" s="39"/>
      <c r="E26" s="39"/>
      <c r="F26" s="39"/>
      <c r="G26" s="39"/>
      <c r="U26" s="20"/>
      <c r="V26" s="20"/>
      <c r="W26" s="20"/>
      <c r="X26" s="20"/>
      <c r="Y26" s="20"/>
      <c r="AA26" s="20"/>
      <c r="AB26" s="20"/>
      <c r="AC26" s="20"/>
      <c r="AD26" s="20"/>
      <c r="AE26" s="20"/>
      <c r="AJ26" s="20"/>
      <c r="AK26" s="20"/>
      <c r="AM26" s="20"/>
      <c r="AN26" s="20"/>
      <c r="AO26" s="20"/>
      <c r="AP26" s="20"/>
      <c r="AQ26" s="20"/>
      <c r="AS26" s="20"/>
      <c r="AT26" s="20"/>
      <c r="AU26" s="20"/>
      <c r="AV26" s="20"/>
      <c r="AW26" s="20"/>
      <c r="AX26" s="32"/>
      <c r="AY26" s="20"/>
      <c r="AZ26" s="20"/>
      <c r="BA26" s="20"/>
      <c r="BB26" s="20"/>
      <c r="BC26" s="20"/>
      <c r="BD26" s="32"/>
      <c r="BE26" s="32"/>
      <c r="BF26" s="32"/>
      <c r="BG26" s="32"/>
      <c r="BJ26" s="32"/>
      <c r="BK26" s="32"/>
      <c r="BL26" s="32"/>
      <c r="BM26" s="32"/>
      <c r="BP26" s="32"/>
      <c r="BQ26" s="32"/>
      <c r="BR26" s="32"/>
      <c r="BS26" s="32"/>
      <c r="BV26" s="32"/>
      <c r="BW26" s="32"/>
      <c r="BX26" s="32"/>
      <c r="BY26" s="32"/>
      <c r="CB26" s="32"/>
      <c r="CC26" s="32"/>
      <c r="CD26" s="32"/>
      <c r="CE26" s="32"/>
      <c r="CH26" s="32"/>
      <c r="CI26" s="32"/>
      <c r="CJ26" s="32"/>
      <c r="CK26" s="32"/>
      <c r="CN26" s="32"/>
      <c r="CO26" s="32"/>
      <c r="CP26" s="32"/>
      <c r="CQ26" s="32"/>
      <c r="CT26" s="32"/>
      <c r="CU26" s="32"/>
      <c r="CV26" s="32"/>
      <c r="CW26" s="32"/>
      <c r="CZ26" s="32"/>
      <c r="DA26" s="32"/>
      <c r="DB26" s="32"/>
      <c r="DC26" s="32"/>
      <c r="DF26" s="32"/>
      <c r="DG26" s="32"/>
      <c r="DH26" s="32"/>
      <c r="DI26" s="32"/>
      <c r="DL26" s="32"/>
      <c r="DM26" s="32"/>
      <c r="DN26" s="32"/>
      <c r="DO26" s="32"/>
      <c r="DR26" s="32"/>
      <c r="DS26" s="32"/>
      <c r="DT26" s="32"/>
      <c r="DU26" s="32"/>
      <c r="DX26" s="32"/>
      <c r="DY26" s="32"/>
      <c r="DZ26" s="32"/>
      <c r="EA26" s="32"/>
      <c r="ED26" s="32"/>
      <c r="EE26" s="32"/>
      <c r="EF26" s="32"/>
      <c r="EG26" s="32"/>
      <c r="EJ26" s="32"/>
      <c r="EK26" s="32"/>
      <c r="EL26" s="32"/>
      <c r="EM26" s="32"/>
      <c r="EP26" s="32"/>
      <c r="EQ26" s="32"/>
      <c r="ER26" s="32"/>
      <c r="ES26" s="32"/>
      <c r="EV26" s="32"/>
      <c r="EW26" s="32"/>
      <c r="EX26" s="32"/>
      <c r="EY26" s="32"/>
      <c r="FB26" s="32"/>
      <c r="FC26" s="32"/>
      <c r="FD26" s="32"/>
      <c r="FE26" s="32"/>
      <c r="FH26" s="32"/>
      <c r="FI26" s="32"/>
      <c r="FJ26" s="32"/>
      <c r="FK26" s="32"/>
      <c r="FN26" s="32"/>
      <c r="FO26" s="32"/>
      <c r="FP26" s="32"/>
      <c r="FQ26" s="32"/>
      <c r="FR26" s="32"/>
    </row>
    <row r="27" spans="1:174" ht="13.5" thickBot="1">
      <c r="A27" s="30" t="s">
        <v>4</v>
      </c>
      <c r="C27" s="48">
        <f>SUM(C8:C26)</f>
        <v>38080000</v>
      </c>
      <c r="D27" s="48">
        <f>SUM(D8:D26)</f>
        <v>11624250</v>
      </c>
      <c r="E27" s="48">
        <f>SUM(E8:E26)</f>
        <v>49704250</v>
      </c>
      <c r="F27" s="48">
        <f>SUM(F8:F26)</f>
        <v>6738822</v>
      </c>
      <c r="G27" s="48">
        <f>SUM(G8:G26)</f>
        <v>136332</v>
      </c>
      <c r="I27" s="48">
        <f>SUM(I8:I26)</f>
        <v>12244757.28</v>
      </c>
      <c r="J27" s="48">
        <f>SUM(J8:J26)</f>
        <v>3737818.2723750016</v>
      </c>
      <c r="K27" s="48">
        <f>SUM(K8:K26)</f>
        <v>15982575.552375002</v>
      </c>
      <c r="L27" s="48">
        <f>SUM(L8:L26)</f>
        <v>2166891.7999770003</v>
      </c>
      <c r="M27" s="48">
        <f>SUM(M8:M26)</f>
        <v>43838.03176200001</v>
      </c>
      <c r="O27" s="48">
        <f>SUM(O8:O26)</f>
        <v>25835242.719999995</v>
      </c>
      <c r="P27" s="48">
        <f>SUM(P8:P26)</f>
        <v>7886431.727625002</v>
      </c>
      <c r="Q27" s="48">
        <f>SUM(Q8:Q26)</f>
        <v>33721674.44762499</v>
      </c>
      <c r="R27" s="48">
        <f>SUM(R8:R26)</f>
        <v>4571930.200023001</v>
      </c>
      <c r="S27" s="48">
        <f>SUM(S8:S26)</f>
        <v>92493.96823799999</v>
      </c>
      <c r="U27" s="48">
        <f>SUM(U8:U26)</f>
        <v>2095028.3199999998</v>
      </c>
      <c r="V27" s="48">
        <f>SUM(V8:V26)</f>
        <v>639525.5501250002</v>
      </c>
      <c r="W27" s="48">
        <f>SUM(W8:W26)</f>
        <v>2734553.870125</v>
      </c>
      <c r="X27" s="48">
        <f>SUM(X8:X26)</f>
        <v>370746.40056300006</v>
      </c>
      <c r="Y27" s="48">
        <f>SUM(Y8:Y26)</f>
        <v>7500.509477999999</v>
      </c>
      <c r="AA27" s="48">
        <f>SUM(AA8:AA26)</f>
        <v>2557578.4639999997</v>
      </c>
      <c r="AB27" s="48">
        <f>SUM(AB8:AB26)</f>
        <v>780722.990025</v>
      </c>
      <c r="AC27" s="48">
        <f>SUM(AC8:AC26)</f>
        <v>3338301.454025</v>
      </c>
      <c r="AD27" s="48">
        <f>SUM(AD8:AD26)</f>
        <v>452601.5236325998</v>
      </c>
      <c r="AE27" s="48">
        <f>SUM(AE8:AE26)</f>
        <v>9156.507015599997</v>
      </c>
      <c r="AG27" s="48">
        <f>SUM(AG8:AG26)</f>
        <v>9363.872</v>
      </c>
      <c r="AH27" s="48">
        <f>SUM(AH8:AH26)</f>
        <v>2858.4030749999997</v>
      </c>
      <c r="AI27" s="48">
        <f>SUM(AI8:AI26)</f>
        <v>12222.275075</v>
      </c>
      <c r="AJ27" s="48">
        <f>SUM(AJ8:AJ26)</f>
        <v>1657.0763298000004</v>
      </c>
      <c r="AK27" s="48">
        <f>SUM(AK8:AK26)</f>
        <v>33.524038799999985</v>
      </c>
      <c r="AM27" s="48">
        <f>SUM(AM8:AM26)</f>
        <v>552773.088</v>
      </c>
      <c r="AN27" s="48">
        <f>SUM(AN8:AN26)</f>
        <v>168738.775425</v>
      </c>
      <c r="AO27" s="48">
        <f>SUM(AO8:AO26)</f>
        <v>721511.8634250001</v>
      </c>
      <c r="AP27" s="48">
        <f>SUM(AP8:AP26)</f>
        <v>97821.4140342</v>
      </c>
      <c r="AQ27" s="48">
        <f>SUM(AQ8:AQ26)</f>
        <v>1979.0089452000009</v>
      </c>
      <c r="AS27" s="48">
        <f>SUM(AS8:AS26)</f>
        <v>2543458.4000000004</v>
      </c>
      <c r="AT27" s="48">
        <f>SUM(AT8:AT26)</f>
        <v>776412.7181250001</v>
      </c>
      <c r="AU27" s="48">
        <f>SUM(AU8:AU26)</f>
        <v>3319871.118125001</v>
      </c>
      <c r="AV27" s="48">
        <f>SUM(AV8:AV26)</f>
        <v>450102.7684350002</v>
      </c>
      <c r="AW27" s="48">
        <f>SUM(AW8:AW26)</f>
        <v>9105.955110000003</v>
      </c>
      <c r="AX27" s="32"/>
      <c r="AY27" s="48">
        <f>SUM(AY8:AY26)</f>
        <v>400967.16800000006</v>
      </c>
      <c r="AZ27" s="48">
        <f>SUM(AZ8:AZ26)</f>
        <v>122398.70280000001</v>
      </c>
      <c r="BA27" s="48">
        <f>SUM(BA8:BA26)</f>
        <v>523365.8708</v>
      </c>
      <c r="BB27" s="48">
        <f>SUM(BB8:BB26)</f>
        <v>70957.1001312</v>
      </c>
      <c r="BC27" s="48">
        <f>SUM(BC8:BC26)</f>
        <v>1435.5214272000003</v>
      </c>
      <c r="BD27" s="32"/>
      <c r="BE27" s="48">
        <f>SUM(BE8:BE26)</f>
        <v>22272.992</v>
      </c>
      <c r="BF27" s="48">
        <f>SUM(BF8:BF26)</f>
        <v>6799.023824999998</v>
      </c>
      <c r="BG27" s="48">
        <f>SUM(BG8:BG26)</f>
        <v>29072.015825</v>
      </c>
      <c r="BH27" s="48">
        <f>SUM(BH8:BH26)</f>
        <v>3941.5369878000015</v>
      </c>
      <c r="BI27" s="48">
        <f>SUM(BI8:BI26)</f>
        <v>79.74058679999999</v>
      </c>
      <c r="BJ27" s="32"/>
      <c r="BK27" s="48">
        <f>SUM(BK8:BK26)</f>
        <v>256556.38400000002</v>
      </c>
      <c r="BL27" s="48">
        <f>SUM(BL8:BL26)</f>
        <v>78316.05952499999</v>
      </c>
      <c r="BM27" s="48">
        <f>SUM(BM8:BM26)</f>
        <v>334872.443525</v>
      </c>
      <c r="BN27" s="48">
        <f>SUM(BN8:BN26)</f>
        <v>45401.465460600004</v>
      </c>
      <c r="BO27" s="48">
        <f>SUM(BO8:BO26)</f>
        <v>918.5095835999998</v>
      </c>
      <c r="BP27" s="32"/>
      <c r="BQ27" s="48">
        <f>SUM(BQ8:BQ26)</f>
        <v>358660.28799999994</v>
      </c>
      <c r="BR27" s="48">
        <f>SUM(BR8:BR26)</f>
        <v>109484.16105</v>
      </c>
      <c r="BS27" s="48">
        <f>SUM(BS8:BS26)</f>
        <v>468144.44904999994</v>
      </c>
      <c r="BT27" s="48">
        <f>SUM(BT8:BT26)</f>
        <v>63470.26888920002</v>
      </c>
      <c r="BU27" s="48">
        <f>SUM(BU8:BU26)</f>
        <v>1284.0565752000002</v>
      </c>
      <c r="BV27" s="32"/>
      <c r="BW27" s="48">
        <f>SUM(BW8:BW26)</f>
        <v>50174.208000000006</v>
      </c>
      <c r="BX27" s="48">
        <f>SUM(BX8:BX26)</f>
        <v>15316.111799999995</v>
      </c>
      <c r="BY27" s="48">
        <f>SUM(BY8:BY26)</f>
        <v>65490.3198</v>
      </c>
      <c r="BZ27" s="48">
        <f>SUM(BZ8:BZ26)</f>
        <v>8879.0718672</v>
      </c>
      <c r="CA27" s="48">
        <f>SUM(CA8:CA26)</f>
        <v>179.6310432</v>
      </c>
      <c r="CB27" s="32"/>
      <c r="CC27" s="48">
        <f>SUM(CC8:CC26)</f>
        <v>260649.984</v>
      </c>
      <c r="CD27" s="48">
        <f>SUM(CD8:CD26)</f>
        <v>79565.6664</v>
      </c>
      <c r="CE27" s="48">
        <f>SUM(CE8:CE26)</f>
        <v>340215.6503999999</v>
      </c>
      <c r="CF27" s="48">
        <f>SUM(CF8:CF26)</f>
        <v>46125.88882559998</v>
      </c>
      <c r="CG27" s="48">
        <f>SUM(CG8:CG26)</f>
        <v>933.1652735999998</v>
      </c>
      <c r="CH27" s="32"/>
      <c r="CI27" s="48">
        <f>SUM(CI8:CI26)</f>
        <v>14813.12</v>
      </c>
      <c r="CJ27" s="48">
        <f>SUM(CJ8:CJ26)</f>
        <v>4521.833250000001</v>
      </c>
      <c r="CK27" s="48">
        <f>SUM(CK8:CK26)</f>
        <v>19334.953250000006</v>
      </c>
      <c r="CL27" s="48">
        <f>SUM(CL8:CL26)</f>
        <v>2621.4017580000004</v>
      </c>
      <c r="CM27" s="48">
        <f>SUM(CM8:CM26)</f>
        <v>53.033148000000004</v>
      </c>
      <c r="CN27" s="32"/>
      <c r="CO27" s="48">
        <f>SUM(CO8:CO26)</f>
        <v>52356.191999999995</v>
      </c>
      <c r="CP27" s="48">
        <f>SUM(CP8:CP26)</f>
        <v>15982.181325000001</v>
      </c>
      <c r="CQ27" s="48">
        <f>SUM(CQ8:CQ26)</f>
        <v>68338.373325</v>
      </c>
      <c r="CR27" s="48">
        <f>SUM(CR8:CR26)</f>
        <v>9265.2063678</v>
      </c>
      <c r="CS27" s="48">
        <f>SUM(CS8:CS26)</f>
        <v>187.44286680000005</v>
      </c>
      <c r="CT27" s="32"/>
      <c r="CU27" s="48">
        <f>SUM(CU8:CU26)</f>
        <v>190312.41599999997</v>
      </c>
      <c r="CV27" s="48">
        <f>SUM(CV8:CV26)</f>
        <v>58094.514225</v>
      </c>
      <c r="CW27" s="48">
        <f>SUM(CW8:CW26)</f>
        <v>248406.93022500002</v>
      </c>
      <c r="CX27" s="48">
        <f>SUM(CX8:CX26)</f>
        <v>33678.610709399996</v>
      </c>
      <c r="CY27" s="48">
        <f>SUM(CY8:CY26)</f>
        <v>681.3464364000001</v>
      </c>
      <c r="CZ27" s="32"/>
      <c r="DA27" s="48">
        <f>SUM(DA8:DA26)</f>
        <v>1299655.168</v>
      </c>
      <c r="DB27" s="48">
        <f>SUM(DB8:DB26)</f>
        <v>396731.00279999996</v>
      </c>
      <c r="DC27" s="48">
        <f>SUM(DC8:DC26)</f>
        <v>1696386.1708000002</v>
      </c>
      <c r="DD27" s="48">
        <f>SUM(DD8:DD26)</f>
        <v>229993.29933119993</v>
      </c>
      <c r="DE27" s="48">
        <f>SUM(DE8:DE26)</f>
        <v>4652.956627200003</v>
      </c>
      <c r="DF27" s="32"/>
      <c r="DG27" s="48">
        <f>SUM(DG8:DG26)</f>
        <v>5378841.888</v>
      </c>
      <c r="DH27" s="48">
        <f>SUM(DH8:DH26)</f>
        <v>1641938.0991749996</v>
      </c>
      <c r="DI27" s="48">
        <f>SUM(DI8:DI26)</f>
        <v>7020779.987174999</v>
      </c>
      <c r="DJ27" s="48">
        <f>SUM(DJ8:DJ26)</f>
        <v>951866.0202041997</v>
      </c>
      <c r="DK27" s="48">
        <f>SUM(DK8:DK26)</f>
        <v>19257.0449652</v>
      </c>
      <c r="DL27" s="32"/>
      <c r="DM27" s="48">
        <f>SUM(DM8:DM26)</f>
        <v>988815.7440000002</v>
      </c>
      <c r="DN27" s="48">
        <f>SUM(DN8:DN26)</f>
        <v>301844.57490000007</v>
      </c>
      <c r="DO27" s="48">
        <f>SUM(DO8:DO26)</f>
        <v>1290660.3189</v>
      </c>
      <c r="DP27" s="48">
        <f>SUM(DP8:DP26)</f>
        <v>174985.64310960006</v>
      </c>
      <c r="DQ27" s="48">
        <f>SUM(DQ8:DQ26)</f>
        <v>3540.1057775999993</v>
      </c>
      <c r="DR27" s="32"/>
      <c r="DS27" s="48">
        <f>SUM(DS8:DS26)</f>
        <v>3385384.352</v>
      </c>
      <c r="DT27" s="48">
        <f>SUM(DT8:DT26)</f>
        <v>1033417.9110749998</v>
      </c>
      <c r="DU27" s="48">
        <f>SUM(DU8:DU26)</f>
        <v>4418802.263075</v>
      </c>
      <c r="DV27" s="48">
        <f>SUM(DV8:DV26)</f>
        <v>599094.0795618001</v>
      </c>
      <c r="DW27" s="48">
        <f>SUM(DW8:DW26)</f>
        <v>12120.1738308</v>
      </c>
      <c r="DX27" s="32"/>
      <c r="DY27" s="48">
        <f>SUM(DY8:DY26)</f>
        <v>721787.3599999999</v>
      </c>
      <c r="DZ27" s="48">
        <f>SUM(DZ8:DZ26)</f>
        <v>220331.84662500003</v>
      </c>
      <c r="EA27" s="48">
        <f>SUM(EA8:EA26)</f>
        <v>942119.2066249999</v>
      </c>
      <c r="EB27" s="48">
        <f>SUM(EB8:EB26)</f>
        <v>127731.00159900002</v>
      </c>
      <c r="EC27" s="48">
        <f>SUM(EC8:EC26)</f>
        <v>2584.1048940000005</v>
      </c>
      <c r="ED27" s="32"/>
      <c r="EE27" s="48">
        <f>SUM(EE8:EE26)</f>
        <v>58803.136</v>
      </c>
      <c r="EF27" s="48">
        <f>SUM(EF8:EF26)</f>
        <v>17950.166849999994</v>
      </c>
      <c r="EG27" s="48">
        <f>SUM(EG8:EG26)</f>
        <v>76753.30285</v>
      </c>
      <c r="EH27" s="48">
        <f>SUM(EH8:EH26)</f>
        <v>10406.088932399996</v>
      </c>
      <c r="EI27" s="48">
        <f>SUM(EI8:EI26)</f>
        <v>210.52387439999995</v>
      </c>
      <c r="EJ27" s="32"/>
      <c r="EK27" s="48">
        <f>SUM(EK8:EK26)</f>
        <v>70131.936</v>
      </c>
      <c r="EL27" s="48">
        <f>SUM(EL8:EL26)</f>
        <v>21408.381224999997</v>
      </c>
      <c r="EM27" s="48">
        <f>SUM(EM8:EM26)</f>
        <v>91540.317225</v>
      </c>
      <c r="EN27" s="48">
        <f>SUM(EN8:EN26)</f>
        <v>12410.888477400002</v>
      </c>
      <c r="EO27" s="48">
        <f>SUM(EO8:EO26)</f>
        <v>251.08264439999994</v>
      </c>
      <c r="EP27" s="32"/>
      <c r="EQ27" s="48">
        <f>SUM(EQ8:EQ26)</f>
        <v>143036.096</v>
      </c>
      <c r="ER27" s="48">
        <f>SUM(ER8:ER26)</f>
        <v>43663.00785</v>
      </c>
      <c r="ES27" s="48">
        <f>SUM(ES8:ES26)</f>
        <v>186699.10385</v>
      </c>
      <c r="ET27" s="48">
        <f>SUM(ET8:ET26)</f>
        <v>25312.363196400005</v>
      </c>
      <c r="EU27" s="48">
        <f>SUM(EU8:EU26)</f>
        <v>512.0902583999999</v>
      </c>
      <c r="EV27" s="32"/>
      <c r="EW27" s="48">
        <f>SUM(EW8:EW26)</f>
        <v>3942559.488</v>
      </c>
      <c r="EX27" s="48">
        <f>SUM(EX8:EX26)</f>
        <v>1203500.4498</v>
      </c>
      <c r="EY27" s="48">
        <f>SUM(EY8:EY26)</f>
        <v>5146059.9377999995</v>
      </c>
      <c r="EZ27" s="48">
        <f>SUM(EZ8:EZ26)</f>
        <v>697694.5014192</v>
      </c>
      <c r="FA27" s="48">
        <f>SUM(FA8:FA26)</f>
        <v>14114.942755200003</v>
      </c>
      <c r="FB27" s="39"/>
      <c r="FC27" s="48">
        <f>SUM(FC8:FC26)</f>
        <v>153119.68000000002</v>
      </c>
      <c r="FD27" s="48">
        <f>SUM(FD8:FD26)</f>
        <v>46741.109249999994</v>
      </c>
      <c r="FE27" s="48">
        <f>SUM(FE8:FE26)</f>
        <v>199860.78925</v>
      </c>
      <c r="FF27" s="48">
        <f>SUM(FF8:FF26)</f>
        <v>27096.80326200001</v>
      </c>
      <c r="FG27" s="48">
        <f>SUM(FG8:FG26)</f>
        <v>548.1909720000001</v>
      </c>
      <c r="FH27" s="32"/>
      <c r="FI27" s="48">
        <f>SUM(FI8:FI26)</f>
        <v>328142.97599999997</v>
      </c>
      <c r="FJ27" s="48">
        <f>SUM(FJ8:FJ26)</f>
        <v>100168.48709999998</v>
      </c>
      <c r="FK27" s="48">
        <f>SUM(FK8:FK26)</f>
        <v>428311.46309999994</v>
      </c>
      <c r="FL27" s="48">
        <f>SUM(FL8:FL26)</f>
        <v>58069.7769384</v>
      </c>
      <c r="FM27" s="48">
        <f>SUM(FM8:FM26)</f>
        <v>1174.8001104</v>
      </c>
      <c r="FN27" s="32"/>
      <c r="FO27" s="48">
        <f>SUM(FO8:FO26)</f>
        <v>0</v>
      </c>
      <c r="FP27" s="48">
        <f>SUM(FP8:FP26)</f>
        <v>0</v>
      </c>
      <c r="FQ27" s="48">
        <f>SUM(FQ8:FQ26)</f>
        <v>0</v>
      </c>
      <c r="FR27" s="39"/>
    </row>
    <row r="28" spans="21:55" ht="13.5" thickTop="1"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Y28" s="20"/>
      <c r="AZ28" s="20"/>
      <c r="BA28" s="20"/>
      <c r="BB28" s="20"/>
      <c r="BC28" s="20"/>
    </row>
    <row r="29" spans="3:55" ht="12.75">
      <c r="C29" s="34">
        <f>I27+O27</f>
        <v>38079999.99999999</v>
      </c>
      <c r="D29" s="34">
        <f>J27+P27</f>
        <v>11624250.000000004</v>
      </c>
      <c r="F29" s="34">
        <f>L27+R27</f>
        <v>6738822.000000002</v>
      </c>
      <c r="G29" s="34">
        <f>M27+S27</f>
        <v>136332</v>
      </c>
      <c r="P29" s="32"/>
      <c r="U29" s="20"/>
      <c r="V29" s="20"/>
      <c r="W29" s="20"/>
      <c r="X29" s="20"/>
      <c r="Y29" s="20"/>
      <c r="AA29" s="20"/>
      <c r="AB29" s="20"/>
      <c r="AC29" s="20"/>
      <c r="AD29" s="20"/>
      <c r="AE29" s="20"/>
      <c r="AM29" s="20"/>
      <c r="AN29" s="20"/>
      <c r="AO29" s="20"/>
      <c r="AP29" s="20"/>
      <c r="AQ29" s="20"/>
      <c r="AS29" s="20"/>
      <c r="AT29" s="20"/>
      <c r="AU29" s="20"/>
      <c r="AV29" s="20"/>
      <c r="AW29" s="20"/>
      <c r="AY29" s="20"/>
      <c r="AZ29" s="20"/>
      <c r="BA29" s="20"/>
      <c r="BB29" s="20"/>
      <c r="BC29" s="20"/>
    </row>
    <row r="30" spans="21:55" ht="12.75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21:55" ht="12.75"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55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21:55" ht="12.75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21:174" ht="12.75"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</row>
    <row r="40" spans="9:174" ht="12.75">
      <c r="I40"/>
      <c r="J40"/>
      <c r="K40"/>
      <c r="L40"/>
      <c r="M40"/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</row>
    <row r="41" spans="1:174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20"/>
      <c r="V41" s="20"/>
      <c r="W41" s="20"/>
      <c r="X41" s="20"/>
      <c r="Y41" s="20"/>
      <c r="Z41"/>
      <c r="AA41" s="20"/>
      <c r="AB41" s="20"/>
      <c r="AC41" s="20"/>
      <c r="AD41" s="20"/>
      <c r="AE41" s="20"/>
      <c r="AF41"/>
      <c r="AG41"/>
      <c r="AH41"/>
      <c r="AI41"/>
      <c r="AJ41"/>
      <c r="AK41"/>
      <c r="AL41"/>
      <c r="AM41" s="20"/>
      <c r="AN41" s="20"/>
      <c r="AO41" s="20"/>
      <c r="AP41" s="20"/>
      <c r="AQ41" s="20"/>
      <c r="AR41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</row>
    <row r="42" spans="1:174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20"/>
      <c r="V42" s="20"/>
      <c r="W42" s="20"/>
      <c r="X42" s="20"/>
      <c r="Y42" s="20"/>
      <c r="Z42"/>
      <c r="AA42" s="20"/>
      <c r="AB42" s="20"/>
      <c r="AC42" s="20"/>
      <c r="AD42" s="20"/>
      <c r="AE42" s="20"/>
      <c r="AF42"/>
      <c r="AG42"/>
      <c r="AH42"/>
      <c r="AI42"/>
      <c r="AJ42"/>
      <c r="AK42"/>
      <c r="AL42"/>
      <c r="AM42" s="20"/>
      <c r="AN42" s="20"/>
      <c r="AO42" s="20"/>
      <c r="AP42" s="20"/>
      <c r="AQ42" s="20"/>
      <c r="AR42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</row>
    <row r="43" spans="1:174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</row>
    <row r="44" spans="1:174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</row>
    <row r="45" spans="1:174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</row>
    <row r="46" spans="1:174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</row>
    <row r="47" spans="1:174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</row>
    <row r="48" spans="1:174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</row>
    <row r="49" spans="1:174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</row>
    <row r="50" spans="1:174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</row>
    <row r="51" spans="1:174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</row>
    <row r="52" spans="1:174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</row>
    <row r="53" spans="1:174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</row>
    <row r="54" spans="1:174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</row>
    <row r="55" spans="1:174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Z55"/>
      <c r="AF55"/>
      <c r="AG55"/>
      <c r="AH55"/>
      <c r="AI55"/>
      <c r="AJ55"/>
      <c r="AK55"/>
      <c r="AL55"/>
      <c r="AR55"/>
      <c r="AX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</row>
    <row r="56" spans="1:174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Z56"/>
      <c r="AF56"/>
      <c r="AG56"/>
      <c r="AH56"/>
      <c r="AI56"/>
      <c r="AJ56"/>
      <c r="AK56"/>
      <c r="AL56"/>
      <c r="AR56"/>
      <c r="AX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</row>
    <row r="57" spans="1:174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Z57"/>
      <c r="AF57"/>
      <c r="AG57"/>
      <c r="AH57"/>
      <c r="AI57"/>
      <c r="AJ57"/>
      <c r="AK57"/>
      <c r="AL57"/>
      <c r="AR57"/>
      <c r="AX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</row>
    <row r="58" spans="1:174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Z58"/>
      <c r="AF58"/>
      <c r="AG58"/>
      <c r="AH58"/>
      <c r="AI58"/>
      <c r="AJ58"/>
      <c r="AK58"/>
      <c r="AL58"/>
      <c r="AR58"/>
      <c r="AX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</row>
    <row r="59" spans="1:174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</row>
    <row r="60" spans="1:174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</row>
    <row r="61" spans="1:174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</row>
    <row r="62" spans="1:174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</row>
    <row r="63" spans="1:174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</row>
    <row r="64" spans="1:174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AX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</row>
    <row r="65" spans="1:174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</row>
    <row r="66" spans="1:174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Z66"/>
      <c r="AF66"/>
      <c r="AG66"/>
      <c r="AH66"/>
      <c r="AI66"/>
      <c r="AJ66"/>
      <c r="AK66"/>
      <c r="AL66"/>
      <c r="AR66"/>
      <c r="AX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</row>
    <row r="67" spans="1:174" ht="12.75">
      <c r="A67"/>
      <c r="C67"/>
      <c r="D67"/>
      <c r="E67"/>
      <c r="F67"/>
      <c r="G67"/>
      <c r="H67"/>
      <c r="N67"/>
      <c r="T67"/>
      <c r="Z67"/>
      <c r="AF67"/>
      <c r="AG67"/>
      <c r="AH67"/>
      <c r="AI67"/>
      <c r="AJ67"/>
      <c r="AK67"/>
      <c r="AL67"/>
      <c r="AR67"/>
      <c r="AX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V67"/>
  <sheetViews>
    <sheetView zoomScale="150" zoomScaleNormal="150" zoomScalePageLayoutView="0" workbookViewId="0" topLeftCell="A1">
      <selection activeCell="I12" sqref="I12"/>
    </sheetView>
  </sheetViews>
  <sheetFormatPr defaultColWidth="8.7109375" defaultRowHeight="12.75"/>
  <cols>
    <col min="1" max="1" width="9.7109375" style="30" customWidth="1"/>
    <col min="2" max="2" width="3.7109375" style="0" customWidth="1"/>
    <col min="3" max="7" width="13.7109375" style="34" hidden="1" customWidth="1"/>
    <col min="8" max="8" width="3.7109375" style="32" hidden="1" customWidth="1"/>
    <col min="9" max="9" width="11.28125" style="32" customWidth="1"/>
    <col min="10" max="13" width="13.7109375" style="32" customWidth="1"/>
    <col min="14" max="14" width="3.7109375" style="32" customWidth="1"/>
    <col min="15" max="18" width="12.7109375" style="32" customWidth="1"/>
    <col min="19" max="19" width="14.28125" style="32" customWidth="1"/>
    <col min="20" max="20" width="3.7109375" style="32" customWidth="1"/>
    <col min="21" max="25" width="13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7" width="12.7109375" style="32" customWidth="1"/>
    <col min="38" max="38" width="3.7109375" style="32" customWidth="1"/>
    <col min="39" max="40" width="12.7109375" style="32" customWidth="1"/>
    <col min="41" max="43" width="13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3" width="13.7109375" style="32" customWidth="1"/>
    <col min="54" max="55" width="12.00390625" style="32" customWidth="1"/>
    <col min="56" max="56" width="3.7109375" style="32" customWidth="1"/>
    <col min="57" max="61" width="12.7109375" style="32" customWidth="1"/>
    <col min="62" max="62" width="3.7109375" style="32" customWidth="1"/>
    <col min="63" max="67" width="13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5" width="10.28125" style="32" bestFit="1" customWidth="1"/>
    <col min="76" max="76" width="9.421875" style="32" bestFit="1" customWidth="1"/>
    <col min="77" max="77" width="10.28125" style="32" bestFit="1" customWidth="1"/>
    <col min="78" max="78" width="12.421875" style="32" customWidth="1"/>
    <col min="79" max="79" width="13.7109375" style="32" customWidth="1"/>
    <col min="80" max="80" width="3.7109375" style="32" customWidth="1"/>
    <col min="81" max="85" width="12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  <col min="141" max="145" width="13.7109375" style="32" customWidth="1"/>
    <col min="146" max="146" width="3.7109375" style="32" customWidth="1"/>
    <col min="147" max="151" width="13.7109375" style="32" customWidth="1"/>
    <col min="152" max="152" width="3.7109375" style="32" customWidth="1"/>
  </cols>
  <sheetData>
    <row r="1" spans="2:147" ht="12.75"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Y1" s="42" t="s">
        <v>138</v>
      </c>
      <c r="BE1" s="42"/>
      <c r="BQ1" s="42" t="s">
        <v>138</v>
      </c>
      <c r="CC1" s="42"/>
      <c r="CO1" s="42" t="s">
        <v>138</v>
      </c>
      <c r="CU1" s="42"/>
      <c r="DG1" s="42" t="s">
        <v>138</v>
      </c>
      <c r="DS1" s="42"/>
      <c r="DY1" s="42" t="s">
        <v>138</v>
      </c>
      <c r="EQ1" s="42" t="s">
        <v>138</v>
      </c>
    </row>
    <row r="2" spans="2:147" ht="12.75"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Y2" s="40" t="s">
        <v>139</v>
      </c>
      <c r="BE2" s="42"/>
      <c r="BQ2" s="40" t="s">
        <v>139</v>
      </c>
      <c r="CC2" s="42"/>
      <c r="CO2" s="40" t="s">
        <v>139</v>
      </c>
      <c r="CU2" s="42"/>
      <c r="DG2" s="40" t="s">
        <v>139</v>
      </c>
      <c r="DS2" s="42"/>
      <c r="DY2" s="40" t="s">
        <v>139</v>
      </c>
      <c r="EQ2" s="40" t="s">
        <v>139</v>
      </c>
    </row>
    <row r="3" spans="2:147" ht="12.75">
      <c r="B3" s="29"/>
      <c r="C3" s="40"/>
      <c r="D3" s="40"/>
      <c r="I3" s="42"/>
      <c r="O3" s="85" t="s">
        <v>150</v>
      </c>
      <c r="U3" s="42"/>
      <c r="AA3" s="42"/>
      <c r="AG3" s="42" t="s">
        <v>137</v>
      </c>
      <c r="AM3" s="42"/>
      <c r="AY3" s="42" t="s">
        <v>137</v>
      </c>
      <c r="BE3" s="42"/>
      <c r="BQ3" s="42" t="s">
        <v>137</v>
      </c>
      <c r="CC3" s="42"/>
      <c r="CO3" s="42" t="s">
        <v>137</v>
      </c>
      <c r="CU3" s="42"/>
      <c r="DG3" s="42" t="s">
        <v>137</v>
      </c>
      <c r="DS3" s="42"/>
      <c r="DY3" s="42" t="s">
        <v>137</v>
      </c>
      <c r="EQ3" s="42" t="s">
        <v>137</v>
      </c>
    </row>
    <row r="4" spans="2:4" ht="12.75">
      <c r="B4" s="29"/>
      <c r="C4" s="42"/>
      <c r="D4" s="42"/>
    </row>
    <row r="5" spans="1:151" ht="12.75">
      <c r="A5" s="21" t="s">
        <v>9</v>
      </c>
      <c r="C5" s="86" t="s">
        <v>151</v>
      </c>
      <c r="D5" s="46"/>
      <c r="E5" s="47"/>
      <c r="F5" s="47"/>
      <c r="G5" s="38"/>
      <c r="I5" s="35" t="s">
        <v>145</v>
      </c>
      <c r="J5" s="36"/>
      <c r="K5" s="37"/>
      <c r="L5" s="47"/>
      <c r="M5" s="38"/>
      <c r="O5" s="59" t="s">
        <v>106</v>
      </c>
      <c r="P5" s="68"/>
      <c r="Q5" s="37"/>
      <c r="R5" s="47"/>
      <c r="S5" s="38"/>
      <c r="U5" s="59" t="s">
        <v>107</v>
      </c>
      <c r="V5" s="68"/>
      <c r="W5" s="37"/>
      <c r="X5" s="47"/>
      <c r="Y5" s="38"/>
      <c r="AA5" s="59" t="s">
        <v>128</v>
      </c>
      <c r="AB5" s="68"/>
      <c r="AC5" s="37"/>
      <c r="AD5" s="47"/>
      <c r="AE5" s="38"/>
      <c r="AG5" s="80" t="s">
        <v>143</v>
      </c>
      <c r="AH5" s="68"/>
      <c r="AI5" s="37"/>
      <c r="AJ5" s="47"/>
      <c r="AK5" s="38"/>
      <c r="AL5" s="60"/>
      <c r="AM5" s="59" t="s">
        <v>108</v>
      </c>
      <c r="AN5" s="68"/>
      <c r="AO5" s="37"/>
      <c r="AP5" s="47"/>
      <c r="AQ5" s="38"/>
      <c r="AS5" s="59" t="s">
        <v>129</v>
      </c>
      <c r="AT5" s="68"/>
      <c r="AU5" s="37"/>
      <c r="AV5" s="47"/>
      <c r="AW5" s="38"/>
      <c r="AY5" s="59" t="s">
        <v>109</v>
      </c>
      <c r="AZ5" s="68"/>
      <c r="BA5" s="37"/>
      <c r="BB5" s="47"/>
      <c r="BC5" s="38"/>
      <c r="BE5" s="59" t="s">
        <v>76</v>
      </c>
      <c r="BF5" s="68"/>
      <c r="BG5" s="37"/>
      <c r="BH5" s="47"/>
      <c r="BI5" s="38"/>
      <c r="BK5" s="35" t="s">
        <v>23</v>
      </c>
      <c r="BL5" s="36"/>
      <c r="BM5" s="37"/>
      <c r="BN5" s="47"/>
      <c r="BO5" s="38"/>
      <c r="BQ5" s="35" t="s">
        <v>63</v>
      </c>
      <c r="BR5" s="36"/>
      <c r="BS5" s="37"/>
      <c r="BT5" s="47"/>
      <c r="BU5" s="38"/>
      <c r="BV5" s="60"/>
      <c r="BW5" s="80" t="s">
        <v>144</v>
      </c>
      <c r="BX5" s="68"/>
      <c r="BY5" s="37"/>
      <c r="BZ5" s="81"/>
      <c r="CA5" s="38"/>
      <c r="CB5" s="73"/>
      <c r="CC5" s="35" t="s">
        <v>77</v>
      </c>
      <c r="CD5" s="36"/>
      <c r="CE5" s="37"/>
      <c r="CF5" s="47"/>
      <c r="CG5" s="38"/>
      <c r="CH5" s="73"/>
      <c r="CI5" s="35" t="s">
        <v>64</v>
      </c>
      <c r="CJ5" s="36"/>
      <c r="CK5" s="37"/>
      <c r="CL5" s="47"/>
      <c r="CM5" s="38"/>
      <c r="CN5" s="73"/>
      <c r="CO5" s="35" t="s">
        <v>110</v>
      </c>
      <c r="CP5" s="36"/>
      <c r="CQ5" s="37"/>
      <c r="CR5" s="47"/>
      <c r="CS5" s="38"/>
      <c r="CU5" s="35" t="s">
        <v>58</v>
      </c>
      <c r="CV5" s="36"/>
      <c r="CW5" s="37"/>
      <c r="CX5" s="47"/>
      <c r="CY5" s="38"/>
      <c r="DA5" s="59" t="s">
        <v>111</v>
      </c>
      <c r="DB5" s="68"/>
      <c r="DC5" s="37"/>
      <c r="DD5" s="47"/>
      <c r="DE5" s="38"/>
      <c r="DG5" s="59" t="s">
        <v>130</v>
      </c>
      <c r="DH5" s="68"/>
      <c r="DI5" s="37"/>
      <c r="DJ5" s="47"/>
      <c r="DK5" s="38"/>
      <c r="DM5" s="35" t="s">
        <v>25</v>
      </c>
      <c r="DN5" s="68"/>
      <c r="DO5" s="37"/>
      <c r="DP5" s="47"/>
      <c r="DQ5" s="38"/>
      <c r="DR5" s="60"/>
      <c r="DS5" s="59" t="s">
        <v>131</v>
      </c>
      <c r="DT5" s="36"/>
      <c r="DU5" s="37"/>
      <c r="DV5" s="47"/>
      <c r="DW5" s="38"/>
      <c r="DX5" s="73"/>
      <c r="DY5" s="35" t="s">
        <v>65</v>
      </c>
      <c r="DZ5" s="68"/>
      <c r="EA5" s="37"/>
      <c r="EB5" s="47"/>
      <c r="EC5" s="38"/>
      <c r="EE5" s="35" t="s">
        <v>66</v>
      </c>
      <c r="EF5" s="68"/>
      <c r="EG5" s="37"/>
      <c r="EH5" s="47"/>
      <c r="EI5" s="38"/>
      <c r="EK5" s="35" t="s">
        <v>67</v>
      </c>
      <c r="EL5" s="68"/>
      <c r="EM5" s="37"/>
      <c r="EN5" s="47"/>
      <c r="EO5" s="38"/>
      <c r="EQ5" s="35" t="s">
        <v>68</v>
      </c>
      <c r="ER5" s="68"/>
      <c r="ES5" s="37"/>
      <c r="ET5" s="47"/>
      <c r="EU5" s="38"/>
    </row>
    <row r="6" spans="1:152" s="12" customFormat="1" ht="12.75">
      <c r="A6" s="43" t="s">
        <v>10</v>
      </c>
      <c r="C6" s="36"/>
      <c r="D6" s="36"/>
      <c r="E6" s="37"/>
      <c r="F6" s="78" t="s">
        <v>141</v>
      </c>
      <c r="G6" s="38" t="s">
        <v>141</v>
      </c>
      <c r="H6" s="32"/>
      <c r="I6" s="67"/>
      <c r="J6" s="62">
        <f>P6+V6+AN6+AZ6+AH6+BF6+BL6+BR6+CD6+CJ6+CP6+CV6+DB6+DN6+DZ6+EF6+EL6+ER6+AB6+AT6+DH6+DT6</f>
        <v>0.3214387</v>
      </c>
      <c r="K6" s="72"/>
      <c r="L6" s="78" t="s">
        <v>141</v>
      </c>
      <c r="M6" s="38" t="s">
        <v>141</v>
      </c>
      <c r="N6" s="32"/>
      <c r="O6" s="66"/>
      <c r="P6" s="12">
        <v>0.044191</v>
      </c>
      <c r="Q6" s="72"/>
      <c r="R6" s="78" t="s">
        <v>141</v>
      </c>
      <c r="S6" s="38" t="s">
        <v>141</v>
      </c>
      <c r="T6" s="32"/>
      <c r="U6" s="66"/>
      <c r="V6" s="12">
        <v>0.04509</v>
      </c>
      <c r="W6" s="72"/>
      <c r="X6" s="78" t="s">
        <v>141</v>
      </c>
      <c r="Y6" s="38" t="s">
        <v>141</v>
      </c>
      <c r="Z6" s="32"/>
      <c r="AA6" s="66"/>
      <c r="AB6" s="12">
        <v>0.0015077</v>
      </c>
      <c r="AC6" s="72"/>
      <c r="AD6" s="78" t="s">
        <v>141</v>
      </c>
      <c r="AE6" s="38" t="s">
        <v>141</v>
      </c>
      <c r="AF6" s="32"/>
      <c r="AG6" s="66"/>
      <c r="AH6" s="12">
        <v>0.00056</v>
      </c>
      <c r="AI6" s="72"/>
      <c r="AJ6" s="78" t="s">
        <v>141</v>
      </c>
      <c r="AK6" s="38" t="s">
        <v>141</v>
      </c>
      <c r="AL6" s="77"/>
      <c r="AM6" s="66"/>
      <c r="AN6" s="12">
        <v>0.0084871</v>
      </c>
      <c r="AO6" s="72"/>
      <c r="AP6" s="78" t="s">
        <v>141</v>
      </c>
      <c r="AQ6" s="38" t="s">
        <v>141</v>
      </c>
      <c r="AR6" s="32"/>
      <c r="AS6" s="66"/>
      <c r="AT6" s="12">
        <v>0.0021535</v>
      </c>
      <c r="AU6" s="72"/>
      <c r="AV6" s="78" t="s">
        <v>141</v>
      </c>
      <c r="AW6" s="38" t="s">
        <v>141</v>
      </c>
      <c r="AX6" s="32"/>
      <c r="AY6" s="66"/>
      <c r="AZ6" s="12">
        <v>0.0023048</v>
      </c>
      <c r="BA6" s="72"/>
      <c r="BB6" s="78" t="s">
        <v>141</v>
      </c>
      <c r="BC6" s="38" t="s">
        <v>141</v>
      </c>
      <c r="BD6" s="32"/>
      <c r="BE6" s="66"/>
      <c r="BF6" s="12">
        <v>0.0023361</v>
      </c>
      <c r="BG6" s="72"/>
      <c r="BH6" s="78" t="s">
        <v>141</v>
      </c>
      <c r="BI6" s="38" t="s">
        <v>141</v>
      </c>
      <c r="BJ6" s="32"/>
      <c r="BK6" s="66"/>
      <c r="BL6" s="62">
        <v>0.0004643</v>
      </c>
      <c r="BM6" s="72"/>
      <c r="BN6" s="78" t="s">
        <v>141</v>
      </c>
      <c r="BO6" s="38" t="s">
        <v>141</v>
      </c>
      <c r="BP6" s="32"/>
      <c r="BQ6" s="66"/>
      <c r="BR6" s="62">
        <v>0.0037681</v>
      </c>
      <c r="BS6" s="72"/>
      <c r="BT6" s="78" t="s">
        <v>141</v>
      </c>
      <c r="BU6" s="38" t="s">
        <v>141</v>
      </c>
      <c r="BV6" s="60"/>
      <c r="BW6" s="66"/>
      <c r="BX6" s="12">
        <v>0.00011480000000000008</v>
      </c>
      <c r="BY6" s="72"/>
      <c r="BZ6" s="78" t="s">
        <v>141</v>
      </c>
      <c r="CA6" s="38" t="s">
        <v>141</v>
      </c>
      <c r="CB6" s="73"/>
      <c r="CC6" s="66"/>
      <c r="CD6" s="62">
        <v>0.0033006</v>
      </c>
      <c r="CE6" s="72"/>
      <c r="CF6" s="78" t="s">
        <v>141</v>
      </c>
      <c r="CG6" s="38" t="s">
        <v>141</v>
      </c>
      <c r="CH6" s="73"/>
      <c r="CI6" s="66"/>
      <c r="CJ6" s="62">
        <v>0.0020777</v>
      </c>
      <c r="CK6" s="72"/>
      <c r="CL6" s="78" t="s">
        <v>141</v>
      </c>
      <c r="CM6" s="38" t="s">
        <v>141</v>
      </c>
      <c r="CN6" s="39"/>
      <c r="CO6" s="66"/>
      <c r="CP6" s="62">
        <v>0.0795762</v>
      </c>
      <c r="CQ6" s="72"/>
      <c r="CR6" s="78" t="s">
        <v>141</v>
      </c>
      <c r="CS6" s="38" t="s">
        <v>141</v>
      </c>
      <c r="CT6" s="32"/>
      <c r="CU6" s="66"/>
      <c r="CV6" s="62">
        <v>0.0009082</v>
      </c>
      <c r="CW6" s="72"/>
      <c r="CX6" s="78" t="s">
        <v>141</v>
      </c>
      <c r="CY6" s="38" t="s">
        <v>141</v>
      </c>
      <c r="CZ6" s="32"/>
      <c r="DA6" s="66"/>
      <c r="DB6" s="12">
        <v>0.1109436</v>
      </c>
      <c r="DC6" s="72"/>
      <c r="DD6" s="78" t="s">
        <v>141</v>
      </c>
      <c r="DE6" s="38" t="s">
        <v>141</v>
      </c>
      <c r="DF6" s="32"/>
      <c r="DG6" s="66"/>
      <c r="DH6" s="12">
        <v>0.00107</v>
      </c>
      <c r="DI6" s="72"/>
      <c r="DJ6" s="78" t="s">
        <v>141</v>
      </c>
      <c r="DK6" s="38" t="s">
        <v>141</v>
      </c>
      <c r="DL6" s="32"/>
      <c r="DM6" s="66"/>
      <c r="DN6" s="12">
        <v>0.0007401</v>
      </c>
      <c r="DO6" s="72"/>
      <c r="DP6" s="78" t="s">
        <v>141</v>
      </c>
      <c r="DQ6" s="38" t="s">
        <v>141</v>
      </c>
      <c r="DR6" s="60"/>
      <c r="DS6" s="66"/>
      <c r="DT6" s="62">
        <v>0.0004564</v>
      </c>
      <c r="DU6" s="72"/>
      <c r="DV6" s="78" t="s">
        <v>141</v>
      </c>
      <c r="DW6" s="38" t="s">
        <v>141</v>
      </c>
      <c r="DX6" s="39"/>
      <c r="DY6" s="52"/>
      <c r="DZ6" s="12">
        <v>1.14E-05</v>
      </c>
      <c r="EA6" s="72"/>
      <c r="EB6" s="78" t="s">
        <v>141</v>
      </c>
      <c r="EC6" s="38" t="s">
        <v>141</v>
      </c>
      <c r="ED6" s="32"/>
      <c r="EE6" s="66"/>
      <c r="EF6" s="12">
        <v>0.0028093</v>
      </c>
      <c r="EG6" s="72"/>
      <c r="EH6" s="78" t="s">
        <v>141</v>
      </c>
      <c r="EI6" s="38" t="s">
        <v>141</v>
      </c>
      <c r="EJ6" s="32"/>
      <c r="EK6" s="66"/>
      <c r="EL6" s="12">
        <v>0.0067558</v>
      </c>
      <c r="EM6" s="72"/>
      <c r="EN6" s="78" t="s">
        <v>141</v>
      </c>
      <c r="EO6" s="38" t="s">
        <v>141</v>
      </c>
      <c r="EP6" s="32"/>
      <c r="EQ6" s="66"/>
      <c r="ER6" s="12">
        <v>0.0019268</v>
      </c>
      <c r="ES6" s="72"/>
      <c r="ET6" s="78" t="s">
        <v>141</v>
      </c>
      <c r="EU6" s="38" t="s">
        <v>141</v>
      </c>
      <c r="EV6" s="32"/>
    </row>
    <row r="7" spans="1:151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G7" s="87" t="s">
        <v>152</v>
      </c>
      <c r="I7" s="38" t="s">
        <v>11</v>
      </c>
      <c r="J7" s="38" t="s">
        <v>12</v>
      </c>
      <c r="K7" s="38" t="s">
        <v>4</v>
      </c>
      <c r="L7" s="38" t="s">
        <v>142</v>
      </c>
      <c r="M7" s="87" t="s">
        <v>152</v>
      </c>
      <c r="O7" s="38" t="s">
        <v>11</v>
      </c>
      <c r="P7" s="38" t="s">
        <v>12</v>
      </c>
      <c r="Q7" s="38" t="s">
        <v>4</v>
      </c>
      <c r="R7" s="38" t="s">
        <v>142</v>
      </c>
      <c r="S7" s="87" t="s">
        <v>152</v>
      </c>
      <c r="U7" s="38" t="s">
        <v>11</v>
      </c>
      <c r="V7" s="38" t="s">
        <v>12</v>
      </c>
      <c r="W7" s="38" t="s">
        <v>4</v>
      </c>
      <c r="X7" s="38" t="s">
        <v>142</v>
      </c>
      <c r="Y7" s="87" t="s">
        <v>152</v>
      </c>
      <c r="AA7" s="38" t="s">
        <v>11</v>
      </c>
      <c r="AB7" s="38" t="s">
        <v>12</v>
      </c>
      <c r="AC7" s="38" t="s">
        <v>4</v>
      </c>
      <c r="AD7" s="38" t="s">
        <v>142</v>
      </c>
      <c r="AE7" s="87" t="s">
        <v>152</v>
      </c>
      <c r="AG7" s="38" t="s">
        <v>11</v>
      </c>
      <c r="AH7" s="38" t="s">
        <v>12</v>
      </c>
      <c r="AI7" s="38" t="s">
        <v>4</v>
      </c>
      <c r="AJ7" s="38" t="s">
        <v>142</v>
      </c>
      <c r="AK7" s="87" t="s">
        <v>152</v>
      </c>
      <c r="AL7" s="61"/>
      <c r="AM7" s="38" t="s">
        <v>11</v>
      </c>
      <c r="AN7" s="38" t="s">
        <v>12</v>
      </c>
      <c r="AO7" s="38" t="s">
        <v>4</v>
      </c>
      <c r="AP7" s="38" t="s">
        <v>142</v>
      </c>
      <c r="AQ7" s="87" t="s">
        <v>152</v>
      </c>
      <c r="AS7" s="38" t="s">
        <v>11</v>
      </c>
      <c r="AT7" s="38" t="s">
        <v>12</v>
      </c>
      <c r="AU7" s="38" t="s">
        <v>4</v>
      </c>
      <c r="AV7" s="38" t="s">
        <v>142</v>
      </c>
      <c r="AW7" s="87" t="s">
        <v>152</v>
      </c>
      <c r="AY7" s="38" t="s">
        <v>11</v>
      </c>
      <c r="AZ7" s="38" t="s">
        <v>12</v>
      </c>
      <c r="BA7" s="38" t="s">
        <v>4</v>
      </c>
      <c r="BB7" s="38" t="s">
        <v>142</v>
      </c>
      <c r="BC7" s="87" t="s">
        <v>152</v>
      </c>
      <c r="BE7" s="38" t="s">
        <v>11</v>
      </c>
      <c r="BF7" s="38" t="s">
        <v>12</v>
      </c>
      <c r="BG7" s="38" t="s">
        <v>4</v>
      </c>
      <c r="BH7" s="38" t="s">
        <v>142</v>
      </c>
      <c r="BI7" s="87" t="s">
        <v>152</v>
      </c>
      <c r="BK7" s="38" t="s">
        <v>11</v>
      </c>
      <c r="BL7" s="38" t="s">
        <v>12</v>
      </c>
      <c r="BM7" s="38" t="s">
        <v>4</v>
      </c>
      <c r="BN7" s="38" t="s">
        <v>142</v>
      </c>
      <c r="BO7" s="87" t="s">
        <v>152</v>
      </c>
      <c r="BQ7" s="38" t="s">
        <v>11</v>
      </c>
      <c r="BR7" s="38" t="s">
        <v>12</v>
      </c>
      <c r="BS7" s="38" t="s">
        <v>4</v>
      </c>
      <c r="BT7" s="38" t="s">
        <v>142</v>
      </c>
      <c r="BU7" s="87" t="s">
        <v>152</v>
      </c>
      <c r="BV7" s="61"/>
      <c r="BW7" s="38" t="s">
        <v>11</v>
      </c>
      <c r="BX7" s="38" t="s">
        <v>12</v>
      </c>
      <c r="BY7" s="38" t="s">
        <v>4</v>
      </c>
      <c r="BZ7" s="38" t="s">
        <v>142</v>
      </c>
      <c r="CA7" s="87" t="s">
        <v>152</v>
      </c>
      <c r="CB7" s="61"/>
      <c r="CC7" s="38" t="s">
        <v>11</v>
      </c>
      <c r="CD7" s="38" t="s">
        <v>12</v>
      </c>
      <c r="CE7" s="38" t="s">
        <v>4</v>
      </c>
      <c r="CF7" s="38" t="s">
        <v>142</v>
      </c>
      <c r="CG7" s="87" t="s">
        <v>152</v>
      </c>
      <c r="CH7" s="61"/>
      <c r="CI7" s="38" t="s">
        <v>11</v>
      </c>
      <c r="CJ7" s="38" t="s">
        <v>12</v>
      </c>
      <c r="CK7" s="38" t="s">
        <v>4</v>
      </c>
      <c r="CL7" s="38" t="s">
        <v>142</v>
      </c>
      <c r="CM7" s="87" t="s">
        <v>152</v>
      </c>
      <c r="CN7" s="61"/>
      <c r="CO7" s="38" t="s">
        <v>11</v>
      </c>
      <c r="CP7" s="38" t="s">
        <v>12</v>
      </c>
      <c r="CQ7" s="38" t="s">
        <v>4</v>
      </c>
      <c r="CR7" s="38" t="s">
        <v>142</v>
      </c>
      <c r="CS7" s="87" t="s">
        <v>152</v>
      </c>
      <c r="CU7" s="38" t="s">
        <v>11</v>
      </c>
      <c r="CV7" s="38" t="s">
        <v>12</v>
      </c>
      <c r="CW7" s="38" t="s">
        <v>4</v>
      </c>
      <c r="CX7" s="38" t="s">
        <v>142</v>
      </c>
      <c r="CY7" s="87" t="s">
        <v>152</v>
      </c>
      <c r="DA7" s="38" t="s">
        <v>11</v>
      </c>
      <c r="DB7" s="38" t="s">
        <v>12</v>
      </c>
      <c r="DC7" s="38" t="s">
        <v>4</v>
      </c>
      <c r="DD7" s="38" t="s">
        <v>142</v>
      </c>
      <c r="DE7" s="87" t="s">
        <v>152</v>
      </c>
      <c r="DG7" s="38" t="s">
        <v>11</v>
      </c>
      <c r="DH7" s="38" t="s">
        <v>12</v>
      </c>
      <c r="DI7" s="38" t="s">
        <v>4</v>
      </c>
      <c r="DJ7" s="38" t="s">
        <v>142</v>
      </c>
      <c r="DK7" s="87" t="s">
        <v>152</v>
      </c>
      <c r="DM7" s="38" t="s">
        <v>11</v>
      </c>
      <c r="DN7" s="38" t="s">
        <v>12</v>
      </c>
      <c r="DO7" s="38" t="s">
        <v>4</v>
      </c>
      <c r="DP7" s="38" t="s">
        <v>142</v>
      </c>
      <c r="DQ7" s="87" t="s">
        <v>152</v>
      </c>
      <c r="DR7" s="61"/>
      <c r="DS7" s="38" t="s">
        <v>11</v>
      </c>
      <c r="DT7" s="38" t="s">
        <v>12</v>
      </c>
      <c r="DU7" s="38" t="s">
        <v>4</v>
      </c>
      <c r="DV7" s="38" t="s">
        <v>142</v>
      </c>
      <c r="DW7" s="87" t="s">
        <v>152</v>
      </c>
      <c r="DX7" s="61"/>
      <c r="DY7" s="38" t="s">
        <v>11</v>
      </c>
      <c r="DZ7" s="38" t="s">
        <v>12</v>
      </c>
      <c r="EA7" s="38" t="s">
        <v>4</v>
      </c>
      <c r="EB7" s="38" t="s">
        <v>142</v>
      </c>
      <c r="EC7" s="87" t="s">
        <v>152</v>
      </c>
      <c r="EE7" s="38" t="s">
        <v>11</v>
      </c>
      <c r="EF7" s="38" t="s">
        <v>12</v>
      </c>
      <c r="EG7" s="38" t="s">
        <v>4</v>
      </c>
      <c r="EH7" s="38" t="s">
        <v>142</v>
      </c>
      <c r="EI7" s="87" t="s">
        <v>152</v>
      </c>
      <c r="EK7" s="38" t="s">
        <v>11</v>
      </c>
      <c r="EL7" s="38" t="s">
        <v>12</v>
      </c>
      <c r="EM7" s="38" t="s">
        <v>4</v>
      </c>
      <c r="EN7" s="38" t="s">
        <v>142</v>
      </c>
      <c r="EO7" s="87" t="s">
        <v>152</v>
      </c>
      <c r="EQ7" s="38" t="s">
        <v>11</v>
      </c>
      <c r="ER7" s="38" t="s">
        <v>12</v>
      </c>
      <c r="ES7" s="38" t="s">
        <v>4</v>
      </c>
      <c r="ET7" s="38" t="s">
        <v>142</v>
      </c>
      <c r="EU7" s="87" t="s">
        <v>152</v>
      </c>
    </row>
    <row r="8" spans="1:152" ht="12.75">
      <c r="A8" s="76">
        <v>44105</v>
      </c>
      <c r="D8" s="34">
        <v>952000</v>
      </c>
      <c r="E8" s="34">
        <f aca="true" t="shared" si="0" ref="E8:E25">C8+D8</f>
        <v>952000</v>
      </c>
      <c r="F8" s="34">
        <v>374379</v>
      </c>
      <c r="G8" s="34">
        <v>7574</v>
      </c>
      <c r="I8" s="69"/>
      <c r="J8" s="69">
        <f aca="true" t="shared" si="1" ref="J8:J25">P8+V8+AN8+AZ8+AH8+BF8+BL8+BR8+CD8+CJ8+CP8+CV8+DB8+DN8+DZ8+EF8+EL8+ER8+AB8+AT8+DH8+DT8+BX8</f>
        <v>306118.932</v>
      </c>
      <c r="K8" s="69">
        <f aca="true" t="shared" si="2" ref="K8:K25">I8+J8</f>
        <v>306118.932</v>
      </c>
      <c r="L8" s="69">
        <f aca="true" t="shared" si="3" ref="L8:L25">R8+X8+AP8+BB8+AJ8+BH8+BN8+BT8+CF8+CL8+CR8+CX8+DD8+DP8+EB8+EH8+EN8+ET8+AD8+AV8+DJ8+DV8+BZ8</f>
        <v>120382.8777765</v>
      </c>
      <c r="M8" s="69">
        <f aca="true" t="shared" si="4" ref="M8:M25">S8+Y8+AQ8+BC8+AK8+BI8+BO8+BU8+CG8+CM8+CS8+CY8+DE8+DQ8+EC8+EI8+EO8+EU8+AE8+AW8+DK8+DW8+CA8</f>
        <v>2435.4462089999997</v>
      </c>
      <c r="P8" s="32">
        <f aca="true" t="shared" si="5" ref="P8:P25">D8*$P$6</f>
        <v>42069.832</v>
      </c>
      <c r="Q8" s="32">
        <f aca="true" t="shared" si="6" ref="Q8:Q25">O8+P8</f>
        <v>42069.832</v>
      </c>
      <c r="R8" s="49">
        <f aca="true" t="shared" si="7" ref="R8:R25">P$6*$F8</f>
        <v>16544.182389</v>
      </c>
      <c r="S8" s="49">
        <f aca="true" t="shared" si="8" ref="S8:S25">P$6*$G8</f>
        <v>334.702634</v>
      </c>
      <c r="V8" s="49">
        <f aca="true" t="shared" si="9" ref="V8:V25">D8*$V$6</f>
        <v>42925.68</v>
      </c>
      <c r="W8" s="49">
        <f aca="true" t="shared" si="10" ref="W8:W25">U8+V8</f>
        <v>42925.68</v>
      </c>
      <c r="X8" s="49">
        <f aca="true" t="shared" si="11" ref="X8:X25">V$6*$F8</f>
        <v>16880.74911</v>
      </c>
      <c r="Y8" s="49">
        <f aca="true" t="shared" si="12" ref="Y8:Y25">V$6*$G8</f>
        <v>341.51166</v>
      </c>
      <c r="AB8" s="49">
        <f aca="true" t="shared" si="13" ref="AB8:AB25">D8*$AB$6</f>
        <v>1435.3304</v>
      </c>
      <c r="AC8" s="49">
        <f aca="true" t="shared" si="14" ref="AC8:AC25">AA8+AB8</f>
        <v>1435.3304</v>
      </c>
      <c r="AD8" s="49">
        <f aca="true" t="shared" si="15" ref="AD8:AD25">AB$6*$F8</f>
        <v>564.4512183</v>
      </c>
      <c r="AE8" s="49">
        <f aca="true" t="shared" si="16" ref="AE8:AE25">AB$6*$G8</f>
        <v>11.4193198</v>
      </c>
      <c r="AH8" s="32">
        <f aca="true" t="shared" si="17" ref="AH8:AH25">AH$6*$D8</f>
        <v>533.12</v>
      </c>
      <c r="AI8" s="32">
        <f aca="true" t="shared" si="18" ref="AI8:AI25">AG8+AH8</f>
        <v>533.12</v>
      </c>
      <c r="AJ8" s="49">
        <f aca="true" t="shared" si="19" ref="AJ8:AJ25">AH$6*$F8</f>
        <v>209.65223999999998</v>
      </c>
      <c r="AK8" s="49">
        <f aca="true" t="shared" si="20" ref="AK8:AK25">AH$6*$G8</f>
        <v>4.24144</v>
      </c>
      <c r="AN8" s="32">
        <f aca="true" t="shared" si="21" ref="AN8:AN25">D8*$AN$6</f>
        <v>8079.7192</v>
      </c>
      <c r="AO8" s="32">
        <f aca="true" t="shared" si="22" ref="AO8:AO25">AM8+AN8</f>
        <v>8079.7192</v>
      </c>
      <c r="AP8" s="49">
        <f aca="true" t="shared" si="23" ref="AP8:AP25">AN$6*$F8</f>
        <v>3177.3920108999996</v>
      </c>
      <c r="AQ8" s="49">
        <f aca="true" t="shared" si="24" ref="AQ8:AQ25">AN$6*$G8</f>
        <v>64.28129539999999</v>
      </c>
      <c r="AS8" s="49"/>
      <c r="AT8" s="32">
        <f aca="true" t="shared" si="25" ref="AT8:AT25">D8*$AT$6</f>
        <v>2050.132</v>
      </c>
      <c r="AU8" s="49">
        <f aca="true" t="shared" si="26" ref="AU8:AU25">AS8+AT8</f>
        <v>2050.132</v>
      </c>
      <c r="AV8" s="49">
        <f aca="true" t="shared" si="27" ref="AV8:AV25">AT$6*$F8</f>
        <v>806.2251765</v>
      </c>
      <c r="AW8" s="49">
        <f aca="true" t="shared" si="28" ref="AW8:AW25">AT$6*$G8</f>
        <v>16.310609</v>
      </c>
      <c r="AY8" s="49"/>
      <c r="AZ8" s="32">
        <f aca="true" t="shared" si="29" ref="AZ8:AZ25">D8*$AZ$6</f>
        <v>2194.1696</v>
      </c>
      <c r="BA8" s="49">
        <f aca="true" t="shared" si="30" ref="BA8:BA25">AY8+AZ8</f>
        <v>2194.1696</v>
      </c>
      <c r="BB8" s="49">
        <f aca="true" t="shared" si="31" ref="BB8:BB25">AZ$6*$F8</f>
        <v>862.8687192</v>
      </c>
      <c r="BC8" s="49">
        <f aca="true" t="shared" si="32" ref="BC8:BC25">AZ$6*$G8</f>
        <v>17.4565552</v>
      </c>
      <c r="BF8" s="32">
        <f aca="true" t="shared" si="33" ref="BF8:BF25">D8*$BF$6</f>
        <v>2223.9671999999996</v>
      </c>
      <c r="BG8" s="32">
        <f aca="true" t="shared" si="34" ref="BG8:BG25">BE8+BF8</f>
        <v>2223.9671999999996</v>
      </c>
      <c r="BH8" s="49">
        <f aca="true" t="shared" si="35" ref="BH8:BH25">BF$6*$F8</f>
        <v>874.5867818999999</v>
      </c>
      <c r="BI8" s="49">
        <f aca="true" t="shared" si="36" ref="BI8:BI25">BF$6*$G8</f>
        <v>17.693621399999998</v>
      </c>
      <c r="BL8" s="32">
        <f aca="true" t="shared" si="37" ref="BL8:BL25">D8*$BL$6</f>
        <v>442.0136</v>
      </c>
      <c r="BM8" s="49">
        <f aca="true" t="shared" si="38" ref="BM8:BM25">BK8+BL8</f>
        <v>442.0136</v>
      </c>
      <c r="BN8" s="49">
        <f aca="true" t="shared" si="39" ref="BN8:BN25">BL$6*$F8</f>
        <v>173.8241697</v>
      </c>
      <c r="BO8" s="49">
        <f aca="true" t="shared" si="40" ref="BO8:BO25">BL$6*$G8</f>
        <v>3.5166082000000003</v>
      </c>
      <c r="BR8" s="32">
        <f aca="true" t="shared" si="41" ref="BR8:BR25">D8*$BR$6</f>
        <v>3587.2311999999997</v>
      </c>
      <c r="BS8" s="49">
        <f aca="true" t="shared" si="42" ref="BS8:BS25">BQ8+BR8</f>
        <v>3587.2311999999997</v>
      </c>
      <c r="BT8" s="49">
        <f aca="true" t="shared" si="43" ref="BT8:BT25">BR$6*$F8</f>
        <v>1410.6975099</v>
      </c>
      <c r="BU8" s="49">
        <f aca="true" t="shared" si="44" ref="BU8:BU25">BR$6*$G8</f>
        <v>28.5395894</v>
      </c>
      <c r="BX8" s="32">
        <f aca="true" t="shared" si="45" ref="BX8:BX25">BX$6*$D8</f>
        <v>109.28960000000008</v>
      </c>
      <c r="BY8" s="49">
        <f aca="true" t="shared" si="46" ref="BY8:BY25">SUM(BW8:BX8)</f>
        <v>109.28960000000008</v>
      </c>
      <c r="BZ8" s="32">
        <f aca="true" t="shared" si="47" ref="BZ8:BZ25">BX$6*$F8</f>
        <v>42.97870920000003</v>
      </c>
      <c r="CA8" s="49">
        <f aca="true" t="shared" si="48" ref="CA8:CA25">BX$6*$G8</f>
        <v>0.8694952000000006</v>
      </c>
      <c r="CC8" s="49"/>
      <c r="CD8" s="49">
        <f aca="true" t="shared" si="49" ref="CD8:CD25">D8*$CD$6</f>
        <v>3142.1711999999998</v>
      </c>
      <c r="CE8" s="32">
        <f aca="true" t="shared" si="50" ref="CE8:CE25">CC8+CD8</f>
        <v>3142.1711999999998</v>
      </c>
      <c r="CF8" s="49">
        <f aca="true" t="shared" si="51" ref="CF8:CF25">CD$6*$F8</f>
        <v>1235.6753274</v>
      </c>
      <c r="CG8" s="49">
        <f aca="true" t="shared" si="52" ref="CG8:CG25">CD$6*$G8</f>
        <v>24.9987444</v>
      </c>
      <c r="CI8" s="49"/>
      <c r="CJ8" s="49">
        <f aca="true" t="shared" si="53" ref="CJ8:CJ25">D8*$CJ$6</f>
        <v>1977.9704</v>
      </c>
      <c r="CK8" s="32">
        <f aca="true" t="shared" si="54" ref="CK8:CK25">CI8+CJ8</f>
        <v>1977.9704</v>
      </c>
      <c r="CL8" s="49">
        <f aca="true" t="shared" si="55" ref="CL8:CL25">CJ$6*$F8</f>
        <v>777.8472483</v>
      </c>
      <c r="CM8" s="49">
        <f aca="true" t="shared" si="56" ref="CM8:CM25">CJ$6*$G8</f>
        <v>15.7364998</v>
      </c>
      <c r="CP8" s="32">
        <f aca="true" t="shared" si="57" ref="CP8:CP25">D8*$CP$6</f>
        <v>75756.5424</v>
      </c>
      <c r="CQ8" s="49">
        <f aca="true" t="shared" si="58" ref="CQ8:CQ25">CO8+CP8</f>
        <v>75756.5424</v>
      </c>
      <c r="CR8" s="49">
        <f aca="true" t="shared" si="59" ref="CR8:CR25">CP$6*$F8</f>
        <v>29791.6581798</v>
      </c>
      <c r="CS8" s="49">
        <f aca="true" t="shared" si="60" ref="CS8:CS25">CP$6*$G8</f>
        <v>602.7101388</v>
      </c>
      <c r="CV8" s="32">
        <f aca="true" t="shared" si="61" ref="CV8:CV25">D8*$CV$6</f>
        <v>864.6064</v>
      </c>
      <c r="CW8" s="32">
        <f aca="true" t="shared" si="62" ref="CW8:CW25">CU8+CV8</f>
        <v>864.6064</v>
      </c>
      <c r="CX8" s="49">
        <f aca="true" t="shared" si="63" ref="CX8:CX25">CV$6*$F8</f>
        <v>340.01100779999996</v>
      </c>
      <c r="CY8" s="49">
        <f aca="true" t="shared" si="64" ref="CY8:CY25">CV$6*$G8</f>
        <v>6.8787068</v>
      </c>
      <c r="DB8" s="32">
        <f aca="true" t="shared" si="65" ref="DB8:DB25">D8*$DB$6</f>
        <v>105618.30720000001</v>
      </c>
      <c r="DC8" s="49">
        <f aca="true" t="shared" si="66" ref="DC8:DC25">DA8+DB8</f>
        <v>105618.30720000001</v>
      </c>
      <c r="DD8" s="49">
        <f aca="true" t="shared" si="67" ref="DD8:DD25">DB$6*$F8</f>
        <v>41534.9540244</v>
      </c>
      <c r="DE8" s="49">
        <f aca="true" t="shared" si="68" ref="DE8:DE25">DB$6*$G8</f>
        <v>840.2868264</v>
      </c>
      <c r="DH8" s="32">
        <f aca="true" t="shared" si="69" ref="DH8:DH25">D8*$DH$6</f>
        <v>1018.64</v>
      </c>
      <c r="DI8" s="49">
        <f aca="true" t="shared" si="70" ref="DI8:DI25">DG8+DH8</f>
        <v>1018.64</v>
      </c>
      <c r="DJ8" s="49">
        <f aca="true" t="shared" si="71" ref="DJ8:DJ25">DH$6*$F8</f>
        <v>400.58553</v>
      </c>
      <c r="DK8" s="49">
        <f aca="true" t="shared" si="72" ref="DK8:DK25">DH$6*$G8</f>
        <v>8.10418</v>
      </c>
      <c r="DN8" s="32">
        <f aca="true" t="shared" si="73" ref="DN8:DN25">D8*$DN$6</f>
        <v>704.5752</v>
      </c>
      <c r="DO8" s="49">
        <f aca="true" t="shared" si="74" ref="DO8:DO25">DM8+DN8</f>
        <v>704.5752</v>
      </c>
      <c r="DP8" s="49">
        <f aca="true" t="shared" si="75" ref="DP8:DP25">DN$6*$F8</f>
        <v>277.07789790000004</v>
      </c>
      <c r="DQ8" s="49">
        <f aca="true" t="shared" si="76" ref="DQ8:DQ25">DN$6*$G8</f>
        <v>5.6055174</v>
      </c>
      <c r="DT8" s="49">
        <f aca="true" t="shared" si="77" ref="DT8:DT25">D8*$DT$6</f>
        <v>434.4928</v>
      </c>
      <c r="DU8" s="49">
        <f aca="true" t="shared" si="78" ref="DU8:DU25">DS8+DT8</f>
        <v>434.4928</v>
      </c>
      <c r="DV8" s="49">
        <f aca="true" t="shared" si="79" ref="DV8:DV25">DT$6*$F8</f>
        <v>170.8665756</v>
      </c>
      <c r="DW8" s="49">
        <f aca="true" t="shared" si="80" ref="DW8:DW25">DT$6*$G8</f>
        <v>3.4567736</v>
      </c>
      <c r="DZ8" s="32">
        <f aca="true" t="shared" si="81" ref="DZ8:DZ25">D8*$DZ$6</f>
        <v>10.852799999999998</v>
      </c>
      <c r="EA8" s="49">
        <f aca="true" t="shared" si="82" ref="EA8:EA25">DY8+DZ8</f>
        <v>10.852799999999998</v>
      </c>
      <c r="EB8" s="49">
        <f aca="true" t="shared" si="83" ref="EB8:EB25">DZ$6*$F8</f>
        <v>4.2679206</v>
      </c>
      <c r="EC8" s="49">
        <f aca="true" t="shared" si="84" ref="EC8:EC25">DZ$6*$G8</f>
        <v>0.08634359999999999</v>
      </c>
      <c r="EF8" s="32">
        <f aca="true" t="shared" si="85" ref="EF8:EF25">D8*$EF$6</f>
        <v>2674.4536</v>
      </c>
      <c r="EG8" s="32">
        <f aca="true" t="shared" si="86" ref="EG8:EG25">EE8+EF8</f>
        <v>2674.4536</v>
      </c>
      <c r="EH8" s="49">
        <f aca="true" t="shared" si="87" ref="EH8:EH25">EF$6*$F8</f>
        <v>1051.7429247</v>
      </c>
      <c r="EI8" s="49">
        <f aca="true" t="shared" si="88" ref="EI8:EI25">EF$6*$G8</f>
        <v>21.2776382</v>
      </c>
      <c r="EL8" s="32">
        <f aca="true" t="shared" si="89" ref="EL8:EL25">D8*$EL$6</f>
        <v>6431.5216</v>
      </c>
      <c r="EM8" s="49">
        <f aca="true" t="shared" si="90" ref="EM8:EM25">EK8+EL8</f>
        <v>6431.5216</v>
      </c>
      <c r="EN8" s="49">
        <f aca="true" t="shared" si="91" ref="EN8:EN25">EL$6*$F8</f>
        <v>2529.2296482</v>
      </c>
      <c r="EO8" s="49">
        <f aca="true" t="shared" si="92" ref="EO8:EO25">EL$6*$G8</f>
        <v>51.1684292</v>
      </c>
      <c r="ER8" s="32">
        <f aca="true" t="shared" si="93" ref="ER8:ER25">D8*$ER$6</f>
        <v>1834.3136</v>
      </c>
      <c r="ES8" s="49">
        <f aca="true" t="shared" si="94" ref="ES8:ES25">EQ8+ER8</f>
        <v>1834.3136</v>
      </c>
      <c r="ET8" s="49">
        <f aca="true" t="shared" si="95" ref="ET8:ET25">ER$6*$F8</f>
        <v>721.3534572</v>
      </c>
      <c r="EU8" s="49">
        <f aca="true" t="shared" si="96" ref="EU8:EU25">ER$6*$G8</f>
        <v>14.5935832</v>
      </c>
      <c r="EV8"/>
    </row>
    <row r="9" spans="1:152" ht="12.75">
      <c r="A9" s="76">
        <v>44287</v>
      </c>
      <c r="D9" s="34">
        <v>952000</v>
      </c>
      <c r="E9" s="34">
        <f t="shared" si="0"/>
        <v>952000</v>
      </c>
      <c r="F9" s="34">
        <v>374379</v>
      </c>
      <c r="G9" s="34">
        <v>7574</v>
      </c>
      <c r="I9" s="69">
        <f>O9+U9+AM9+AY9+AG9+BE9+BK9+BQ9+CC9+CI9+CO9+CU9+DA9+DM9+DY9+EE9+EK9+EQ9+AA9+AS9+DG9+DS9+BW9</f>
        <v>0</v>
      </c>
      <c r="J9" s="69">
        <f t="shared" si="1"/>
        <v>306118.932</v>
      </c>
      <c r="K9" s="69">
        <f t="shared" si="2"/>
        <v>306118.932</v>
      </c>
      <c r="L9" s="69">
        <f t="shared" si="3"/>
        <v>120382.8777765</v>
      </c>
      <c r="M9" s="69">
        <f t="shared" si="4"/>
        <v>2435.4462089999997</v>
      </c>
      <c r="O9" s="32">
        <f>C9*$P$6</f>
        <v>0</v>
      </c>
      <c r="P9" s="32">
        <f t="shared" si="5"/>
        <v>42069.832</v>
      </c>
      <c r="Q9" s="32">
        <f t="shared" si="6"/>
        <v>42069.832</v>
      </c>
      <c r="R9" s="49">
        <f t="shared" si="7"/>
        <v>16544.182389</v>
      </c>
      <c r="S9" s="49">
        <f t="shared" si="8"/>
        <v>334.702634</v>
      </c>
      <c r="U9" s="32">
        <f>C9*$V$6</f>
        <v>0</v>
      </c>
      <c r="V9" s="49">
        <f t="shared" si="9"/>
        <v>42925.68</v>
      </c>
      <c r="W9" s="49">
        <f t="shared" si="10"/>
        <v>42925.68</v>
      </c>
      <c r="X9" s="49">
        <f t="shared" si="11"/>
        <v>16880.74911</v>
      </c>
      <c r="Y9" s="49">
        <f t="shared" si="12"/>
        <v>341.51166</v>
      </c>
      <c r="AA9" s="32">
        <f>C9*$AB$6</f>
        <v>0</v>
      </c>
      <c r="AB9" s="49">
        <f t="shared" si="13"/>
        <v>1435.3304</v>
      </c>
      <c r="AC9" s="49">
        <f t="shared" si="14"/>
        <v>1435.3304</v>
      </c>
      <c r="AD9" s="49">
        <f t="shared" si="15"/>
        <v>564.4512183</v>
      </c>
      <c r="AE9" s="49">
        <f t="shared" si="16"/>
        <v>11.4193198</v>
      </c>
      <c r="AG9" s="32">
        <f aca="true" t="shared" si="97" ref="AG9:AG25">AH$6*$C9</f>
        <v>0</v>
      </c>
      <c r="AH9" s="32">
        <f t="shared" si="17"/>
        <v>533.12</v>
      </c>
      <c r="AI9" s="32">
        <f t="shared" si="18"/>
        <v>533.12</v>
      </c>
      <c r="AJ9" s="49">
        <f t="shared" si="19"/>
        <v>209.65223999999998</v>
      </c>
      <c r="AK9" s="49">
        <f t="shared" si="20"/>
        <v>4.24144</v>
      </c>
      <c r="AM9" s="32">
        <f>C9*$AN$6</f>
        <v>0</v>
      </c>
      <c r="AN9" s="32">
        <f t="shared" si="21"/>
        <v>8079.7192</v>
      </c>
      <c r="AO9" s="32">
        <f t="shared" si="22"/>
        <v>8079.7192</v>
      </c>
      <c r="AP9" s="49">
        <f t="shared" si="23"/>
        <v>3177.3920108999996</v>
      </c>
      <c r="AQ9" s="49">
        <f t="shared" si="24"/>
        <v>64.28129539999999</v>
      </c>
      <c r="AS9" s="49">
        <f>C9*$AT$6</f>
        <v>0</v>
      </c>
      <c r="AT9" s="32">
        <f t="shared" si="25"/>
        <v>2050.132</v>
      </c>
      <c r="AU9" s="49">
        <f t="shared" si="26"/>
        <v>2050.132</v>
      </c>
      <c r="AV9" s="49">
        <f t="shared" si="27"/>
        <v>806.2251765</v>
      </c>
      <c r="AW9" s="49">
        <f t="shared" si="28"/>
        <v>16.310609</v>
      </c>
      <c r="AY9" s="49">
        <f>C9*$AZ$6</f>
        <v>0</v>
      </c>
      <c r="AZ9" s="32">
        <f t="shared" si="29"/>
        <v>2194.1696</v>
      </c>
      <c r="BA9" s="49">
        <f t="shared" si="30"/>
        <v>2194.1696</v>
      </c>
      <c r="BB9" s="49">
        <f t="shared" si="31"/>
        <v>862.8687192</v>
      </c>
      <c r="BC9" s="49">
        <f t="shared" si="32"/>
        <v>17.4565552</v>
      </c>
      <c r="BE9" s="32">
        <f>C9*$BF$6</f>
        <v>0</v>
      </c>
      <c r="BF9" s="32">
        <f t="shared" si="33"/>
        <v>2223.9671999999996</v>
      </c>
      <c r="BG9" s="32">
        <f t="shared" si="34"/>
        <v>2223.9671999999996</v>
      </c>
      <c r="BH9" s="49">
        <f t="shared" si="35"/>
        <v>874.5867818999999</v>
      </c>
      <c r="BI9" s="49">
        <f t="shared" si="36"/>
        <v>17.693621399999998</v>
      </c>
      <c r="BK9" s="32">
        <f>C9*$BL$6</f>
        <v>0</v>
      </c>
      <c r="BL9" s="32">
        <f t="shared" si="37"/>
        <v>442.0136</v>
      </c>
      <c r="BM9" s="49">
        <f t="shared" si="38"/>
        <v>442.0136</v>
      </c>
      <c r="BN9" s="49">
        <f t="shared" si="39"/>
        <v>173.8241697</v>
      </c>
      <c r="BO9" s="49">
        <f t="shared" si="40"/>
        <v>3.5166082000000003</v>
      </c>
      <c r="BQ9" s="32">
        <f>C9*$BR$6</f>
        <v>0</v>
      </c>
      <c r="BR9" s="32">
        <f t="shared" si="41"/>
        <v>3587.2311999999997</v>
      </c>
      <c r="BS9" s="49">
        <f t="shared" si="42"/>
        <v>3587.2311999999997</v>
      </c>
      <c r="BT9" s="49">
        <f t="shared" si="43"/>
        <v>1410.6975099</v>
      </c>
      <c r="BU9" s="49">
        <f t="shared" si="44"/>
        <v>28.5395894</v>
      </c>
      <c r="BW9" s="32">
        <f aca="true" t="shared" si="98" ref="BW9:BW25">BX$6*$C9</f>
        <v>0</v>
      </c>
      <c r="BX9" s="32">
        <f t="shared" si="45"/>
        <v>109.28960000000008</v>
      </c>
      <c r="BY9" s="49">
        <f t="shared" si="46"/>
        <v>109.28960000000008</v>
      </c>
      <c r="BZ9" s="32">
        <f t="shared" si="47"/>
        <v>42.97870920000003</v>
      </c>
      <c r="CA9" s="49">
        <f t="shared" si="48"/>
        <v>0.8694952000000006</v>
      </c>
      <c r="CC9" s="49">
        <f aca="true" t="shared" si="99" ref="CC9:CC25">C9*$CD$6</f>
        <v>0</v>
      </c>
      <c r="CD9" s="49">
        <f t="shared" si="49"/>
        <v>3142.1711999999998</v>
      </c>
      <c r="CE9" s="32">
        <f t="shared" si="50"/>
        <v>3142.1711999999998</v>
      </c>
      <c r="CF9" s="49">
        <f t="shared" si="51"/>
        <v>1235.6753274</v>
      </c>
      <c r="CG9" s="49">
        <f t="shared" si="52"/>
        <v>24.9987444</v>
      </c>
      <c r="CI9" s="49">
        <f aca="true" t="shared" si="100" ref="CI9:CI25">C9*$CJ$6</f>
        <v>0</v>
      </c>
      <c r="CJ9" s="49">
        <f t="shared" si="53"/>
        <v>1977.9704</v>
      </c>
      <c r="CK9" s="32">
        <f t="shared" si="54"/>
        <v>1977.9704</v>
      </c>
      <c r="CL9" s="49">
        <f t="shared" si="55"/>
        <v>777.8472483</v>
      </c>
      <c r="CM9" s="49">
        <f t="shared" si="56"/>
        <v>15.7364998</v>
      </c>
      <c r="CO9" s="32">
        <f aca="true" t="shared" si="101" ref="CO9:CO25">C9*$CP$6</f>
        <v>0</v>
      </c>
      <c r="CP9" s="32">
        <f t="shared" si="57"/>
        <v>75756.5424</v>
      </c>
      <c r="CQ9" s="49">
        <f t="shared" si="58"/>
        <v>75756.5424</v>
      </c>
      <c r="CR9" s="49">
        <f t="shared" si="59"/>
        <v>29791.6581798</v>
      </c>
      <c r="CS9" s="49">
        <f t="shared" si="60"/>
        <v>602.7101388</v>
      </c>
      <c r="CU9" s="32">
        <f aca="true" t="shared" si="102" ref="CU9:CU25">C9*$CV$6</f>
        <v>0</v>
      </c>
      <c r="CV9" s="32">
        <f t="shared" si="61"/>
        <v>864.6064</v>
      </c>
      <c r="CW9" s="32">
        <f t="shared" si="62"/>
        <v>864.6064</v>
      </c>
      <c r="CX9" s="49">
        <f t="shared" si="63"/>
        <v>340.01100779999996</v>
      </c>
      <c r="CY9" s="49">
        <f t="shared" si="64"/>
        <v>6.8787068</v>
      </c>
      <c r="DA9" s="32">
        <f aca="true" t="shared" si="103" ref="DA9:DA25">C9*$DB$6</f>
        <v>0</v>
      </c>
      <c r="DB9" s="32">
        <f t="shared" si="65"/>
        <v>105618.30720000001</v>
      </c>
      <c r="DC9" s="49">
        <f t="shared" si="66"/>
        <v>105618.30720000001</v>
      </c>
      <c r="DD9" s="49">
        <f t="shared" si="67"/>
        <v>41534.9540244</v>
      </c>
      <c r="DE9" s="49">
        <f t="shared" si="68"/>
        <v>840.2868264</v>
      </c>
      <c r="DG9" s="32">
        <f aca="true" t="shared" si="104" ref="DG9:DG25">C9*$DH$6</f>
        <v>0</v>
      </c>
      <c r="DH9" s="32">
        <f t="shared" si="69"/>
        <v>1018.64</v>
      </c>
      <c r="DI9" s="49">
        <f t="shared" si="70"/>
        <v>1018.64</v>
      </c>
      <c r="DJ9" s="49">
        <f t="shared" si="71"/>
        <v>400.58553</v>
      </c>
      <c r="DK9" s="49">
        <f t="shared" si="72"/>
        <v>8.10418</v>
      </c>
      <c r="DM9" s="32">
        <f aca="true" t="shared" si="105" ref="DM9:DM25">C9*$DN$6</f>
        <v>0</v>
      </c>
      <c r="DN9" s="32">
        <f t="shared" si="73"/>
        <v>704.5752</v>
      </c>
      <c r="DO9" s="49">
        <f t="shared" si="74"/>
        <v>704.5752</v>
      </c>
      <c r="DP9" s="49">
        <f t="shared" si="75"/>
        <v>277.07789790000004</v>
      </c>
      <c r="DQ9" s="49">
        <f t="shared" si="76"/>
        <v>5.6055174</v>
      </c>
      <c r="DS9" s="32">
        <f aca="true" t="shared" si="106" ref="DS9:DS25">C9*$DT$6</f>
        <v>0</v>
      </c>
      <c r="DT9" s="49">
        <f t="shared" si="77"/>
        <v>434.4928</v>
      </c>
      <c r="DU9" s="49">
        <f t="shared" si="78"/>
        <v>434.4928</v>
      </c>
      <c r="DV9" s="49">
        <f t="shared" si="79"/>
        <v>170.8665756</v>
      </c>
      <c r="DW9" s="49">
        <f t="shared" si="80"/>
        <v>3.4567736</v>
      </c>
      <c r="DY9" s="32">
        <f aca="true" t="shared" si="107" ref="DY9:DY25">C9*$DZ$6</f>
        <v>0</v>
      </c>
      <c r="DZ9" s="32">
        <f t="shared" si="81"/>
        <v>10.852799999999998</v>
      </c>
      <c r="EA9" s="49">
        <f t="shared" si="82"/>
        <v>10.852799999999998</v>
      </c>
      <c r="EB9" s="49">
        <f t="shared" si="83"/>
        <v>4.2679206</v>
      </c>
      <c r="EC9" s="49">
        <f t="shared" si="84"/>
        <v>0.08634359999999999</v>
      </c>
      <c r="EE9" s="32">
        <f aca="true" t="shared" si="108" ref="EE9:EE25">C9*$EF$6</f>
        <v>0</v>
      </c>
      <c r="EF9" s="32">
        <f t="shared" si="85"/>
        <v>2674.4536</v>
      </c>
      <c r="EG9" s="32">
        <f t="shared" si="86"/>
        <v>2674.4536</v>
      </c>
      <c r="EH9" s="49">
        <f t="shared" si="87"/>
        <v>1051.7429247</v>
      </c>
      <c r="EI9" s="49">
        <f t="shared" si="88"/>
        <v>21.2776382</v>
      </c>
      <c r="EK9" s="32">
        <f aca="true" t="shared" si="109" ref="EK9:EK25">C9*$EL$6</f>
        <v>0</v>
      </c>
      <c r="EL9" s="32">
        <f t="shared" si="89"/>
        <v>6431.5216</v>
      </c>
      <c r="EM9" s="49">
        <f t="shared" si="90"/>
        <v>6431.5216</v>
      </c>
      <c r="EN9" s="49">
        <f t="shared" si="91"/>
        <v>2529.2296482</v>
      </c>
      <c r="EO9" s="49">
        <f t="shared" si="92"/>
        <v>51.1684292</v>
      </c>
      <c r="EQ9" s="32">
        <f aca="true" t="shared" si="110" ref="EQ9:EQ25">C9*$ER$6</f>
        <v>0</v>
      </c>
      <c r="ER9" s="32">
        <f t="shared" si="93"/>
        <v>1834.3136</v>
      </c>
      <c r="ES9" s="49">
        <f t="shared" si="94"/>
        <v>1834.3136</v>
      </c>
      <c r="ET9" s="49">
        <f t="shared" si="95"/>
        <v>721.3534572</v>
      </c>
      <c r="EU9" s="49">
        <f t="shared" si="96"/>
        <v>14.5935832</v>
      </c>
      <c r="EV9"/>
    </row>
    <row r="10" spans="1:152" ht="12.75">
      <c r="A10" s="76">
        <v>44470</v>
      </c>
      <c r="D10" s="34">
        <v>952000</v>
      </c>
      <c r="E10" s="34">
        <f t="shared" si="0"/>
        <v>952000</v>
      </c>
      <c r="F10" s="34">
        <v>374379</v>
      </c>
      <c r="G10" s="34">
        <v>7574</v>
      </c>
      <c r="I10" s="69"/>
      <c r="J10" s="69">
        <f t="shared" si="1"/>
        <v>306118.932</v>
      </c>
      <c r="K10" s="69">
        <f t="shared" si="2"/>
        <v>306118.932</v>
      </c>
      <c r="L10" s="69">
        <f t="shared" si="3"/>
        <v>120382.8777765</v>
      </c>
      <c r="M10" s="69">
        <f t="shared" si="4"/>
        <v>2435.4462089999997</v>
      </c>
      <c r="P10" s="32">
        <f t="shared" si="5"/>
        <v>42069.832</v>
      </c>
      <c r="Q10" s="32">
        <f t="shared" si="6"/>
        <v>42069.832</v>
      </c>
      <c r="R10" s="49">
        <f t="shared" si="7"/>
        <v>16544.182389</v>
      </c>
      <c r="S10" s="49">
        <f t="shared" si="8"/>
        <v>334.702634</v>
      </c>
      <c r="V10" s="49">
        <f t="shared" si="9"/>
        <v>42925.68</v>
      </c>
      <c r="W10" s="49">
        <f t="shared" si="10"/>
        <v>42925.68</v>
      </c>
      <c r="X10" s="49">
        <f t="shared" si="11"/>
        <v>16880.74911</v>
      </c>
      <c r="Y10" s="49">
        <f t="shared" si="12"/>
        <v>341.51166</v>
      </c>
      <c r="AB10" s="49">
        <f t="shared" si="13"/>
        <v>1435.3304</v>
      </c>
      <c r="AC10" s="49">
        <f t="shared" si="14"/>
        <v>1435.3304</v>
      </c>
      <c r="AD10" s="49">
        <f t="shared" si="15"/>
        <v>564.4512183</v>
      </c>
      <c r="AE10" s="49">
        <f t="shared" si="16"/>
        <v>11.4193198</v>
      </c>
      <c r="AH10" s="32">
        <f t="shared" si="17"/>
        <v>533.12</v>
      </c>
      <c r="AI10" s="32">
        <f t="shared" si="18"/>
        <v>533.12</v>
      </c>
      <c r="AJ10" s="49">
        <f t="shared" si="19"/>
        <v>209.65223999999998</v>
      </c>
      <c r="AK10" s="49">
        <f t="shared" si="20"/>
        <v>4.24144</v>
      </c>
      <c r="AN10" s="32">
        <f t="shared" si="21"/>
        <v>8079.7192</v>
      </c>
      <c r="AO10" s="32">
        <f t="shared" si="22"/>
        <v>8079.7192</v>
      </c>
      <c r="AP10" s="49">
        <f t="shared" si="23"/>
        <v>3177.3920108999996</v>
      </c>
      <c r="AQ10" s="49">
        <f t="shared" si="24"/>
        <v>64.28129539999999</v>
      </c>
      <c r="AS10" s="49"/>
      <c r="AT10" s="32">
        <f t="shared" si="25"/>
        <v>2050.132</v>
      </c>
      <c r="AU10" s="49">
        <f t="shared" si="26"/>
        <v>2050.132</v>
      </c>
      <c r="AV10" s="49">
        <f t="shared" si="27"/>
        <v>806.2251765</v>
      </c>
      <c r="AW10" s="49">
        <f t="shared" si="28"/>
        <v>16.310609</v>
      </c>
      <c r="AY10" s="49"/>
      <c r="AZ10" s="32">
        <f t="shared" si="29"/>
        <v>2194.1696</v>
      </c>
      <c r="BA10" s="49">
        <f t="shared" si="30"/>
        <v>2194.1696</v>
      </c>
      <c r="BB10" s="49">
        <f t="shared" si="31"/>
        <v>862.8687192</v>
      </c>
      <c r="BC10" s="49">
        <f t="shared" si="32"/>
        <v>17.4565552</v>
      </c>
      <c r="BF10" s="32">
        <f t="shared" si="33"/>
        <v>2223.9671999999996</v>
      </c>
      <c r="BG10" s="32">
        <f t="shared" si="34"/>
        <v>2223.9671999999996</v>
      </c>
      <c r="BH10" s="49">
        <f t="shared" si="35"/>
        <v>874.5867818999999</v>
      </c>
      <c r="BI10" s="49">
        <f t="shared" si="36"/>
        <v>17.693621399999998</v>
      </c>
      <c r="BL10" s="32">
        <f t="shared" si="37"/>
        <v>442.0136</v>
      </c>
      <c r="BM10" s="49">
        <f t="shared" si="38"/>
        <v>442.0136</v>
      </c>
      <c r="BN10" s="49">
        <f t="shared" si="39"/>
        <v>173.8241697</v>
      </c>
      <c r="BO10" s="49">
        <f t="shared" si="40"/>
        <v>3.5166082000000003</v>
      </c>
      <c r="BR10" s="32">
        <f t="shared" si="41"/>
        <v>3587.2311999999997</v>
      </c>
      <c r="BS10" s="49">
        <f t="shared" si="42"/>
        <v>3587.2311999999997</v>
      </c>
      <c r="BT10" s="49">
        <f t="shared" si="43"/>
        <v>1410.6975099</v>
      </c>
      <c r="BU10" s="49">
        <f t="shared" si="44"/>
        <v>28.5395894</v>
      </c>
      <c r="BX10" s="32">
        <f t="shared" si="45"/>
        <v>109.28960000000008</v>
      </c>
      <c r="BY10" s="49">
        <f t="shared" si="46"/>
        <v>109.28960000000008</v>
      </c>
      <c r="BZ10" s="32">
        <f t="shared" si="47"/>
        <v>42.97870920000003</v>
      </c>
      <c r="CA10" s="49">
        <f t="shared" si="48"/>
        <v>0.8694952000000006</v>
      </c>
      <c r="CC10" s="49"/>
      <c r="CD10" s="49">
        <f t="shared" si="49"/>
        <v>3142.1711999999998</v>
      </c>
      <c r="CE10" s="32">
        <f t="shared" si="50"/>
        <v>3142.1711999999998</v>
      </c>
      <c r="CF10" s="49">
        <f t="shared" si="51"/>
        <v>1235.6753274</v>
      </c>
      <c r="CG10" s="49">
        <f t="shared" si="52"/>
        <v>24.9987444</v>
      </c>
      <c r="CI10" s="49"/>
      <c r="CJ10" s="49">
        <f t="shared" si="53"/>
        <v>1977.9704</v>
      </c>
      <c r="CK10" s="32">
        <f t="shared" si="54"/>
        <v>1977.9704</v>
      </c>
      <c r="CL10" s="49">
        <f t="shared" si="55"/>
        <v>777.8472483</v>
      </c>
      <c r="CM10" s="49">
        <f t="shared" si="56"/>
        <v>15.7364998</v>
      </c>
      <c r="CP10" s="32">
        <f t="shared" si="57"/>
        <v>75756.5424</v>
      </c>
      <c r="CQ10" s="49">
        <f t="shared" si="58"/>
        <v>75756.5424</v>
      </c>
      <c r="CR10" s="49">
        <f t="shared" si="59"/>
        <v>29791.6581798</v>
      </c>
      <c r="CS10" s="49">
        <f t="shared" si="60"/>
        <v>602.7101388</v>
      </c>
      <c r="CV10" s="32">
        <f t="shared" si="61"/>
        <v>864.6064</v>
      </c>
      <c r="CW10" s="32">
        <f t="shared" si="62"/>
        <v>864.6064</v>
      </c>
      <c r="CX10" s="49">
        <f t="shared" si="63"/>
        <v>340.01100779999996</v>
      </c>
      <c r="CY10" s="49">
        <f t="shared" si="64"/>
        <v>6.8787068</v>
      </c>
      <c r="DB10" s="32">
        <f t="shared" si="65"/>
        <v>105618.30720000001</v>
      </c>
      <c r="DC10" s="49">
        <f t="shared" si="66"/>
        <v>105618.30720000001</v>
      </c>
      <c r="DD10" s="49">
        <f t="shared" si="67"/>
        <v>41534.9540244</v>
      </c>
      <c r="DE10" s="49">
        <f t="shared" si="68"/>
        <v>840.2868264</v>
      </c>
      <c r="DH10" s="32">
        <f t="shared" si="69"/>
        <v>1018.64</v>
      </c>
      <c r="DI10" s="49">
        <f t="shared" si="70"/>
        <v>1018.64</v>
      </c>
      <c r="DJ10" s="49">
        <f t="shared" si="71"/>
        <v>400.58553</v>
      </c>
      <c r="DK10" s="49">
        <f t="shared" si="72"/>
        <v>8.10418</v>
      </c>
      <c r="DN10" s="32">
        <f t="shared" si="73"/>
        <v>704.5752</v>
      </c>
      <c r="DO10" s="49">
        <f t="shared" si="74"/>
        <v>704.5752</v>
      </c>
      <c r="DP10" s="49">
        <f t="shared" si="75"/>
        <v>277.07789790000004</v>
      </c>
      <c r="DQ10" s="49">
        <f t="shared" si="76"/>
        <v>5.6055174</v>
      </c>
      <c r="DT10" s="49">
        <f t="shared" si="77"/>
        <v>434.4928</v>
      </c>
      <c r="DU10" s="49">
        <f t="shared" si="78"/>
        <v>434.4928</v>
      </c>
      <c r="DV10" s="49">
        <f t="shared" si="79"/>
        <v>170.8665756</v>
      </c>
      <c r="DW10" s="49">
        <f t="shared" si="80"/>
        <v>3.4567736</v>
      </c>
      <c r="DZ10" s="32">
        <f t="shared" si="81"/>
        <v>10.852799999999998</v>
      </c>
      <c r="EA10" s="49">
        <f t="shared" si="82"/>
        <v>10.852799999999998</v>
      </c>
      <c r="EB10" s="49">
        <f t="shared" si="83"/>
        <v>4.2679206</v>
      </c>
      <c r="EC10" s="49">
        <f t="shared" si="84"/>
        <v>0.08634359999999999</v>
      </c>
      <c r="EF10" s="32">
        <f t="shared" si="85"/>
        <v>2674.4536</v>
      </c>
      <c r="EG10" s="32">
        <f t="shared" si="86"/>
        <v>2674.4536</v>
      </c>
      <c r="EH10" s="49">
        <f t="shared" si="87"/>
        <v>1051.7429247</v>
      </c>
      <c r="EI10" s="49">
        <f t="shared" si="88"/>
        <v>21.2776382</v>
      </c>
      <c r="EL10" s="32">
        <f t="shared" si="89"/>
        <v>6431.5216</v>
      </c>
      <c r="EM10" s="49">
        <f t="shared" si="90"/>
        <v>6431.5216</v>
      </c>
      <c r="EN10" s="49">
        <f t="shared" si="91"/>
        <v>2529.2296482</v>
      </c>
      <c r="EO10" s="49">
        <f t="shared" si="92"/>
        <v>51.1684292</v>
      </c>
      <c r="ER10" s="32">
        <f t="shared" si="93"/>
        <v>1834.3136</v>
      </c>
      <c r="ES10" s="49">
        <f t="shared" si="94"/>
        <v>1834.3136</v>
      </c>
      <c r="ET10" s="49">
        <f t="shared" si="95"/>
        <v>721.3534572</v>
      </c>
      <c r="EU10" s="49">
        <f t="shared" si="96"/>
        <v>14.5935832</v>
      </c>
      <c r="EV10"/>
    </row>
    <row r="11" spans="1:152" ht="12.75">
      <c r="A11" s="76">
        <v>44652</v>
      </c>
      <c r="B11" s="51"/>
      <c r="D11" s="34">
        <v>952000</v>
      </c>
      <c r="E11" s="34">
        <f t="shared" si="0"/>
        <v>952000</v>
      </c>
      <c r="F11" s="34">
        <v>374379</v>
      </c>
      <c r="G11" s="34">
        <v>7574</v>
      </c>
      <c r="I11" s="69">
        <f>O11+U11+AM11+AY11+AG11+BE11+BK11+BQ11+CC11+CI11+CO11+CU11+DA11+DM11+DY11+EE11+EK11+EQ11+AA11+AS11+DG11+DS11+BW11</f>
        <v>0</v>
      </c>
      <c r="J11" s="69">
        <f t="shared" si="1"/>
        <v>306118.932</v>
      </c>
      <c r="K11" s="69">
        <f t="shared" si="2"/>
        <v>306118.932</v>
      </c>
      <c r="L11" s="69">
        <f t="shared" si="3"/>
        <v>120382.8777765</v>
      </c>
      <c r="M11" s="69">
        <f t="shared" si="4"/>
        <v>2435.4462089999997</v>
      </c>
      <c r="O11" s="32">
        <f>C11*$P$6</f>
        <v>0</v>
      </c>
      <c r="P11" s="32">
        <f t="shared" si="5"/>
        <v>42069.832</v>
      </c>
      <c r="Q11" s="32">
        <f t="shared" si="6"/>
        <v>42069.832</v>
      </c>
      <c r="R11" s="49">
        <f t="shared" si="7"/>
        <v>16544.182389</v>
      </c>
      <c r="S11" s="49">
        <f t="shared" si="8"/>
        <v>334.702634</v>
      </c>
      <c r="U11" s="32">
        <f>C11*$V$6</f>
        <v>0</v>
      </c>
      <c r="V11" s="49">
        <f t="shared" si="9"/>
        <v>42925.68</v>
      </c>
      <c r="W11" s="49">
        <f t="shared" si="10"/>
        <v>42925.68</v>
      </c>
      <c r="X11" s="49">
        <f t="shared" si="11"/>
        <v>16880.74911</v>
      </c>
      <c r="Y11" s="49">
        <f t="shared" si="12"/>
        <v>341.51166</v>
      </c>
      <c r="AA11" s="32">
        <f>C11*$AB$6</f>
        <v>0</v>
      </c>
      <c r="AB11" s="49">
        <f t="shared" si="13"/>
        <v>1435.3304</v>
      </c>
      <c r="AC11" s="49">
        <f t="shared" si="14"/>
        <v>1435.3304</v>
      </c>
      <c r="AD11" s="49">
        <f t="shared" si="15"/>
        <v>564.4512183</v>
      </c>
      <c r="AE11" s="49">
        <f t="shared" si="16"/>
        <v>11.4193198</v>
      </c>
      <c r="AG11" s="32">
        <f t="shared" si="97"/>
        <v>0</v>
      </c>
      <c r="AH11" s="32">
        <f t="shared" si="17"/>
        <v>533.12</v>
      </c>
      <c r="AI11" s="32">
        <f t="shared" si="18"/>
        <v>533.12</v>
      </c>
      <c r="AJ11" s="49">
        <f t="shared" si="19"/>
        <v>209.65223999999998</v>
      </c>
      <c r="AK11" s="49">
        <f t="shared" si="20"/>
        <v>4.24144</v>
      </c>
      <c r="AM11" s="32">
        <f>C11*$AN$6</f>
        <v>0</v>
      </c>
      <c r="AN11" s="32">
        <f t="shared" si="21"/>
        <v>8079.7192</v>
      </c>
      <c r="AO11" s="32">
        <f t="shared" si="22"/>
        <v>8079.7192</v>
      </c>
      <c r="AP11" s="49">
        <f t="shared" si="23"/>
        <v>3177.3920108999996</v>
      </c>
      <c r="AQ11" s="49">
        <f t="shared" si="24"/>
        <v>64.28129539999999</v>
      </c>
      <c r="AS11" s="49">
        <f>C11*$AT$6</f>
        <v>0</v>
      </c>
      <c r="AT11" s="32">
        <f t="shared" si="25"/>
        <v>2050.132</v>
      </c>
      <c r="AU11" s="49">
        <f t="shared" si="26"/>
        <v>2050.132</v>
      </c>
      <c r="AV11" s="49">
        <f t="shared" si="27"/>
        <v>806.2251765</v>
      </c>
      <c r="AW11" s="49">
        <f t="shared" si="28"/>
        <v>16.310609</v>
      </c>
      <c r="AY11" s="49">
        <f>C11*$AZ$6</f>
        <v>0</v>
      </c>
      <c r="AZ11" s="32">
        <f t="shared" si="29"/>
        <v>2194.1696</v>
      </c>
      <c r="BA11" s="49">
        <f t="shared" si="30"/>
        <v>2194.1696</v>
      </c>
      <c r="BB11" s="49">
        <f t="shared" si="31"/>
        <v>862.8687192</v>
      </c>
      <c r="BC11" s="49">
        <f t="shared" si="32"/>
        <v>17.4565552</v>
      </c>
      <c r="BE11" s="32">
        <f>C11*$BF$6</f>
        <v>0</v>
      </c>
      <c r="BF11" s="32">
        <f t="shared" si="33"/>
        <v>2223.9671999999996</v>
      </c>
      <c r="BG11" s="32">
        <f t="shared" si="34"/>
        <v>2223.9671999999996</v>
      </c>
      <c r="BH11" s="49">
        <f t="shared" si="35"/>
        <v>874.5867818999999</v>
      </c>
      <c r="BI11" s="49">
        <f t="shared" si="36"/>
        <v>17.693621399999998</v>
      </c>
      <c r="BK11" s="32">
        <f>C11*$BL$6</f>
        <v>0</v>
      </c>
      <c r="BL11" s="32">
        <f t="shared" si="37"/>
        <v>442.0136</v>
      </c>
      <c r="BM11" s="49">
        <f t="shared" si="38"/>
        <v>442.0136</v>
      </c>
      <c r="BN11" s="49">
        <f t="shared" si="39"/>
        <v>173.8241697</v>
      </c>
      <c r="BO11" s="49">
        <f t="shared" si="40"/>
        <v>3.5166082000000003</v>
      </c>
      <c r="BQ11" s="32">
        <f>C11*$BR$6</f>
        <v>0</v>
      </c>
      <c r="BR11" s="32">
        <f t="shared" si="41"/>
        <v>3587.2311999999997</v>
      </c>
      <c r="BS11" s="49">
        <f t="shared" si="42"/>
        <v>3587.2311999999997</v>
      </c>
      <c r="BT11" s="49">
        <f t="shared" si="43"/>
        <v>1410.6975099</v>
      </c>
      <c r="BU11" s="49">
        <f t="shared" si="44"/>
        <v>28.5395894</v>
      </c>
      <c r="BW11" s="32">
        <f t="shared" si="98"/>
        <v>0</v>
      </c>
      <c r="BX11" s="32">
        <f t="shared" si="45"/>
        <v>109.28960000000008</v>
      </c>
      <c r="BY11" s="49">
        <f t="shared" si="46"/>
        <v>109.28960000000008</v>
      </c>
      <c r="BZ11" s="32">
        <f t="shared" si="47"/>
        <v>42.97870920000003</v>
      </c>
      <c r="CA11" s="49">
        <f t="shared" si="48"/>
        <v>0.8694952000000006</v>
      </c>
      <c r="CC11" s="49">
        <f t="shared" si="99"/>
        <v>0</v>
      </c>
      <c r="CD11" s="49">
        <f t="shared" si="49"/>
        <v>3142.1711999999998</v>
      </c>
      <c r="CE11" s="32">
        <f t="shared" si="50"/>
        <v>3142.1711999999998</v>
      </c>
      <c r="CF11" s="49">
        <f t="shared" si="51"/>
        <v>1235.6753274</v>
      </c>
      <c r="CG11" s="49">
        <f t="shared" si="52"/>
        <v>24.9987444</v>
      </c>
      <c r="CI11" s="49">
        <f t="shared" si="100"/>
        <v>0</v>
      </c>
      <c r="CJ11" s="49">
        <f t="shared" si="53"/>
        <v>1977.9704</v>
      </c>
      <c r="CK11" s="32">
        <f t="shared" si="54"/>
        <v>1977.9704</v>
      </c>
      <c r="CL11" s="49">
        <f t="shared" si="55"/>
        <v>777.8472483</v>
      </c>
      <c r="CM11" s="49">
        <f t="shared" si="56"/>
        <v>15.7364998</v>
      </c>
      <c r="CO11" s="32">
        <f t="shared" si="101"/>
        <v>0</v>
      </c>
      <c r="CP11" s="32">
        <f t="shared" si="57"/>
        <v>75756.5424</v>
      </c>
      <c r="CQ11" s="49">
        <f t="shared" si="58"/>
        <v>75756.5424</v>
      </c>
      <c r="CR11" s="49">
        <f t="shared" si="59"/>
        <v>29791.6581798</v>
      </c>
      <c r="CS11" s="49">
        <f t="shared" si="60"/>
        <v>602.7101388</v>
      </c>
      <c r="CU11" s="32">
        <f t="shared" si="102"/>
        <v>0</v>
      </c>
      <c r="CV11" s="32">
        <f t="shared" si="61"/>
        <v>864.6064</v>
      </c>
      <c r="CW11" s="32">
        <f t="shared" si="62"/>
        <v>864.6064</v>
      </c>
      <c r="CX11" s="49">
        <f t="shared" si="63"/>
        <v>340.01100779999996</v>
      </c>
      <c r="CY11" s="49">
        <f t="shared" si="64"/>
        <v>6.8787068</v>
      </c>
      <c r="DA11" s="32">
        <f t="shared" si="103"/>
        <v>0</v>
      </c>
      <c r="DB11" s="32">
        <f t="shared" si="65"/>
        <v>105618.30720000001</v>
      </c>
      <c r="DC11" s="49">
        <f t="shared" si="66"/>
        <v>105618.30720000001</v>
      </c>
      <c r="DD11" s="49">
        <f t="shared" si="67"/>
        <v>41534.9540244</v>
      </c>
      <c r="DE11" s="49">
        <f t="shared" si="68"/>
        <v>840.2868264</v>
      </c>
      <c r="DG11" s="32">
        <f t="shared" si="104"/>
        <v>0</v>
      </c>
      <c r="DH11" s="32">
        <f t="shared" si="69"/>
        <v>1018.64</v>
      </c>
      <c r="DI11" s="49">
        <f t="shared" si="70"/>
        <v>1018.64</v>
      </c>
      <c r="DJ11" s="49">
        <f t="shared" si="71"/>
        <v>400.58553</v>
      </c>
      <c r="DK11" s="49">
        <f t="shared" si="72"/>
        <v>8.10418</v>
      </c>
      <c r="DM11" s="32">
        <f t="shared" si="105"/>
        <v>0</v>
      </c>
      <c r="DN11" s="32">
        <f t="shared" si="73"/>
        <v>704.5752</v>
      </c>
      <c r="DO11" s="49">
        <f t="shared" si="74"/>
        <v>704.5752</v>
      </c>
      <c r="DP11" s="49">
        <f t="shared" si="75"/>
        <v>277.07789790000004</v>
      </c>
      <c r="DQ11" s="49">
        <f t="shared" si="76"/>
        <v>5.6055174</v>
      </c>
      <c r="DS11" s="32">
        <f t="shared" si="106"/>
        <v>0</v>
      </c>
      <c r="DT11" s="49">
        <f t="shared" si="77"/>
        <v>434.4928</v>
      </c>
      <c r="DU11" s="49">
        <f t="shared" si="78"/>
        <v>434.4928</v>
      </c>
      <c r="DV11" s="49">
        <f t="shared" si="79"/>
        <v>170.8665756</v>
      </c>
      <c r="DW11" s="49">
        <f t="shared" si="80"/>
        <v>3.4567736</v>
      </c>
      <c r="DY11" s="32">
        <f t="shared" si="107"/>
        <v>0</v>
      </c>
      <c r="DZ11" s="32">
        <f t="shared" si="81"/>
        <v>10.852799999999998</v>
      </c>
      <c r="EA11" s="49">
        <f t="shared" si="82"/>
        <v>10.852799999999998</v>
      </c>
      <c r="EB11" s="49">
        <f t="shared" si="83"/>
        <v>4.2679206</v>
      </c>
      <c r="EC11" s="49">
        <f t="shared" si="84"/>
        <v>0.08634359999999999</v>
      </c>
      <c r="EE11" s="32">
        <f t="shared" si="108"/>
        <v>0</v>
      </c>
      <c r="EF11" s="32">
        <f t="shared" si="85"/>
        <v>2674.4536</v>
      </c>
      <c r="EG11" s="32">
        <f t="shared" si="86"/>
        <v>2674.4536</v>
      </c>
      <c r="EH11" s="49">
        <f t="shared" si="87"/>
        <v>1051.7429247</v>
      </c>
      <c r="EI11" s="49">
        <f t="shared" si="88"/>
        <v>21.2776382</v>
      </c>
      <c r="EK11" s="32">
        <f t="shared" si="109"/>
        <v>0</v>
      </c>
      <c r="EL11" s="32">
        <f t="shared" si="89"/>
        <v>6431.5216</v>
      </c>
      <c r="EM11" s="49">
        <f t="shared" si="90"/>
        <v>6431.5216</v>
      </c>
      <c r="EN11" s="49">
        <f t="shared" si="91"/>
        <v>2529.2296482</v>
      </c>
      <c r="EO11" s="49">
        <f t="shared" si="92"/>
        <v>51.1684292</v>
      </c>
      <c r="EQ11" s="32">
        <f t="shared" si="110"/>
        <v>0</v>
      </c>
      <c r="ER11" s="32">
        <f t="shared" si="93"/>
        <v>1834.3136</v>
      </c>
      <c r="ES11" s="49">
        <f t="shared" si="94"/>
        <v>1834.3136</v>
      </c>
      <c r="ET11" s="49">
        <f t="shared" si="95"/>
        <v>721.3534572</v>
      </c>
      <c r="EU11" s="49">
        <f t="shared" si="96"/>
        <v>14.5935832</v>
      </c>
      <c r="EV11"/>
    </row>
    <row r="12" spans="1:152" ht="12.75">
      <c r="A12" s="76">
        <v>44835</v>
      </c>
      <c r="D12" s="34">
        <v>952000</v>
      </c>
      <c r="E12" s="34">
        <f t="shared" si="0"/>
        <v>952000</v>
      </c>
      <c r="F12" s="34">
        <v>374379</v>
      </c>
      <c r="G12" s="34">
        <v>7574</v>
      </c>
      <c r="I12" s="69"/>
      <c r="J12" s="69">
        <f t="shared" si="1"/>
        <v>306118.932</v>
      </c>
      <c r="K12" s="69">
        <f t="shared" si="2"/>
        <v>306118.932</v>
      </c>
      <c r="L12" s="69">
        <f t="shared" si="3"/>
        <v>120382.8777765</v>
      </c>
      <c r="M12" s="69">
        <f t="shared" si="4"/>
        <v>2435.4462089999997</v>
      </c>
      <c r="P12" s="32">
        <f t="shared" si="5"/>
        <v>42069.832</v>
      </c>
      <c r="Q12" s="32">
        <f t="shared" si="6"/>
        <v>42069.832</v>
      </c>
      <c r="R12" s="49">
        <f t="shared" si="7"/>
        <v>16544.182389</v>
      </c>
      <c r="S12" s="49">
        <f t="shared" si="8"/>
        <v>334.702634</v>
      </c>
      <c r="V12" s="49">
        <f t="shared" si="9"/>
        <v>42925.68</v>
      </c>
      <c r="W12" s="49">
        <f t="shared" si="10"/>
        <v>42925.68</v>
      </c>
      <c r="X12" s="49">
        <f t="shared" si="11"/>
        <v>16880.74911</v>
      </c>
      <c r="Y12" s="49">
        <f t="shared" si="12"/>
        <v>341.51166</v>
      </c>
      <c r="AB12" s="49">
        <f t="shared" si="13"/>
        <v>1435.3304</v>
      </c>
      <c r="AC12" s="49">
        <f t="shared" si="14"/>
        <v>1435.3304</v>
      </c>
      <c r="AD12" s="49">
        <f t="shared" si="15"/>
        <v>564.4512183</v>
      </c>
      <c r="AE12" s="49">
        <f t="shared" si="16"/>
        <v>11.4193198</v>
      </c>
      <c r="AH12" s="32">
        <f t="shared" si="17"/>
        <v>533.12</v>
      </c>
      <c r="AI12" s="32">
        <f t="shared" si="18"/>
        <v>533.12</v>
      </c>
      <c r="AJ12" s="49">
        <f t="shared" si="19"/>
        <v>209.65223999999998</v>
      </c>
      <c r="AK12" s="49">
        <f t="shared" si="20"/>
        <v>4.24144</v>
      </c>
      <c r="AN12" s="32">
        <f t="shared" si="21"/>
        <v>8079.7192</v>
      </c>
      <c r="AO12" s="32">
        <f t="shared" si="22"/>
        <v>8079.7192</v>
      </c>
      <c r="AP12" s="49">
        <f t="shared" si="23"/>
        <v>3177.3920108999996</v>
      </c>
      <c r="AQ12" s="49">
        <f t="shared" si="24"/>
        <v>64.28129539999999</v>
      </c>
      <c r="AS12" s="49"/>
      <c r="AT12" s="32">
        <f t="shared" si="25"/>
        <v>2050.132</v>
      </c>
      <c r="AU12" s="49">
        <f t="shared" si="26"/>
        <v>2050.132</v>
      </c>
      <c r="AV12" s="49">
        <f t="shared" si="27"/>
        <v>806.2251765</v>
      </c>
      <c r="AW12" s="49">
        <f t="shared" si="28"/>
        <v>16.310609</v>
      </c>
      <c r="AY12" s="49"/>
      <c r="AZ12" s="32">
        <f t="shared" si="29"/>
        <v>2194.1696</v>
      </c>
      <c r="BA12" s="49">
        <f t="shared" si="30"/>
        <v>2194.1696</v>
      </c>
      <c r="BB12" s="49">
        <f t="shared" si="31"/>
        <v>862.8687192</v>
      </c>
      <c r="BC12" s="49">
        <f t="shared" si="32"/>
        <v>17.4565552</v>
      </c>
      <c r="BF12" s="32">
        <f t="shared" si="33"/>
        <v>2223.9671999999996</v>
      </c>
      <c r="BG12" s="32">
        <f t="shared" si="34"/>
        <v>2223.9671999999996</v>
      </c>
      <c r="BH12" s="49">
        <f t="shared" si="35"/>
        <v>874.5867818999999</v>
      </c>
      <c r="BI12" s="49">
        <f t="shared" si="36"/>
        <v>17.693621399999998</v>
      </c>
      <c r="BL12" s="32">
        <f t="shared" si="37"/>
        <v>442.0136</v>
      </c>
      <c r="BM12" s="49">
        <f t="shared" si="38"/>
        <v>442.0136</v>
      </c>
      <c r="BN12" s="49">
        <f t="shared" si="39"/>
        <v>173.8241697</v>
      </c>
      <c r="BO12" s="49">
        <f t="shared" si="40"/>
        <v>3.5166082000000003</v>
      </c>
      <c r="BR12" s="32">
        <f t="shared" si="41"/>
        <v>3587.2311999999997</v>
      </c>
      <c r="BS12" s="49">
        <f t="shared" si="42"/>
        <v>3587.2311999999997</v>
      </c>
      <c r="BT12" s="49">
        <f t="shared" si="43"/>
        <v>1410.6975099</v>
      </c>
      <c r="BU12" s="49">
        <f t="shared" si="44"/>
        <v>28.5395894</v>
      </c>
      <c r="BX12" s="32">
        <f t="shared" si="45"/>
        <v>109.28960000000008</v>
      </c>
      <c r="BY12" s="49">
        <f t="shared" si="46"/>
        <v>109.28960000000008</v>
      </c>
      <c r="BZ12" s="32">
        <f t="shared" si="47"/>
        <v>42.97870920000003</v>
      </c>
      <c r="CA12" s="49">
        <f t="shared" si="48"/>
        <v>0.8694952000000006</v>
      </c>
      <c r="CC12" s="49"/>
      <c r="CD12" s="49">
        <f t="shared" si="49"/>
        <v>3142.1711999999998</v>
      </c>
      <c r="CE12" s="32">
        <f t="shared" si="50"/>
        <v>3142.1711999999998</v>
      </c>
      <c r="CF12" s="49">
        <f t="shared" si="51"/>
        <v>1235.6753274</v>
      </c>
      <c r="CG12" s="49">
        <f t="shared" si="52"/>
        <v>24.9987444</v>
      </c>
      <c r="CI12" s="49"/>
      <c r="CJ12" s="49">
        <f t="shared" si="53"/>
        <v>1977.9704</v>
      </c>
      <c r="CK12" s="32">
        <f t="shared" si="54"/>
        <v>1977.9704</v>
      </c>
      <c r="CL12" s="49">
        <f t="shared" si="55"/>
        <v>777.8472483</v>
      </c>
      <c r="CM12" s="49">
        <f t="shared" si="56"/>
        <v>15.7364998</v>
      </c>
      <c r="CP12" s="32">
        <f t="shared" si="57"/>
        <v>75756.5424</v>
      </c>
      <c r="CQ12" s="49">
        <f t="shared" si="58"/>
        <v>75756.5424</v>
      </c>
      <c r="CR12" s="49">
        <f t="shared" si="59"/>
        <v>29791.6581798</v>
      </c>
      <c r="CS12" s="49">
        <f t="shared" si="60"/>
        <v>602.7101388</v>
      </c>
      <c r="CV12" s="32">
        <f t="shared" si="61"/>
        <v>864.6064</v>
      </c>
      <c r="CW12" s="32">
        <f t="shared" si="62"/>
        <v>864.6064</v>
      </c>
      <c r="CX12" s="49">
        <f t="shared" si="63"/>
        <v>340.01100779999996</v>
      </c>
      <c r="CY12" s="49">
        <f t="shared" si="64"/>
        <v>6.8787068</v>
      </c>
      <c r="DB12" s="32">
        <f t="shared" si="65"/>
        <v>105618.30720000001</v>
      </c>
      <c r="DC12" s="49">
        <f t="shared" si="66"/>
        <v>105618.30720000001</v>
      </c>
      <c r="DD12" s="49">
        <f t="shared" si="67"/>
        <v>41534.9540244</v>
      </c>
      <c r="DE12" s="49">
        <f t="shared" si="68"/>
        <v>840.2868264</v>
      </c>
      <c r="DH12" s="32">
        <f t="shared" si="69"/>
        <v>1018.64</v>
      </c>
      <c r="DI12" s="49">
        <f t="shared" si="70"/>
        <v>1018.64</v>
      </c>
      <c r="DJ12" s="49">
        <f t="shared" si="71"/>
        <v>400.58553</v>
      </c>
      <c r="DK12" s="49">
        <f t="shared" si="72"/>
        <v>8.10418</v>
      </c>
      <c r="DN12" s="32">
        <f t="shared" si="73"/>
        <v>704.5752</v>
      </c>
      <c r="DO12" s="49">
        <f t="shared" si="74"/>
        <v>704.5752</v>
      </c>
      <c r="DP12" s="49">
        <f t="shared" si="75"/>
        <v>277.07789790000004</v>
      </c>
      <c r="DQ12" s="49">
        <f t="shared" si="76"/>
        <v>5.6055174</v>
      </c>
      <c r="DT12" s="49">
        <f t="shared" si="77"/>
        <v>434.4928</v>
      </c>
      <c r="DU12" s="49">
        <f t="shared" si="78"/>
        <v>434.4928</v>
      </c>
      <c r="DV12" s="49">
        <f t="shared" si="79"/>
        <v>170.8665756</v>
      </c>
      <c r="DW12" s="49">
        <f t="shared" si="80"/>
        <v>3.4567736</v>
      </c>
      <c r="DZ12" s="32">
        <f t="shared" si="81"/>
        <v>10.852799999999998</v>
      </c>
      <c r="EA12" s="49">
        <f t="shared" si="82"/>
        <v>10.852799999999998</v>
      </c>
      <c r="EB12" s="49">
        <f t="shared" si="83"/>
        <v>4.2679206</v>
      </c>
      <c r="EC12" s="49">
        <f t="shared" si="84"/>
        <v>0.08634359999999999</v>
      </c>
      <c r="EF12" s="32">
        <f t="shared" si="85"/>
        <v>2674.4536</v>
      </c>
      <c r="EG12" s="32">
        <f t="shared" si="86"/>
        <v>2674.4536</v>
      </c>
      <c r="EH12" s="49">
        <f t="shared" si="87"/>
        <v>1051.7429247</v>
      </c>
      <c r="EI12" s="49">
        <f t="shared" si="88"/>
        <v>21.2776382</v>
      </c>
      <c r="EL12" s="32">
        <f t="shared" si="89"/>
        <v>6431.5216</v>
      </c>
      <c r="EM12" s="49">
        <f t="shared" si="90"/>
        <v>6431.5216</v>
      </c>
      <c r="EN12" s="49">
        <f t="shared" si="91"/>
        <v>2529.2296482</v>
      </c>
      <c r="EO12" s="49">
        <f t="shared" si="92"/>
        <v>51.1684292</v>
      </c>
      <c r="ER12" s="32">
        <f t="shared" si="93"/>
        <v>1834.3136</v>
      </c>
      <c r="ES12" s="49">
        <f t="shared" si="94"/>
        <v>1834.3136</v>
      </c>
      <c r="ET12" s="49">
        <f t="shared" si="95"/>
        <v>721.3534572</v>
      </c>
      <c r="EU12" s="49">
        <f t="shared" si="96"/>
        <v>14.5935832</v>
      </c>
      <c r="EV12"/>
    </row>
    <row r="13" spans="1:152" ht="12.75">
      <c r="A13" s="76">
        <v>45017</v>
      </c>
      <c r="C13" s="34">
        <v>5015000</v>
      </c>
      <c r="D13" s="34">
        <v>952000</v>
      </c>
      <c r="E13" s="34">
        <f t="shared" si="0"/>
        <v>5967000</v>
      </c>
      <c r="F13" s="34">
        <v>374379</v>
      </c>
      <c r="G13" s="34">
        <v>7574</v>
      </c>
      <c r="I13" s="69">
        <f>O13+U13+AM13+AY13+AG13+BE13+BK13+BQ13+CC13+CI13+CO13+CU13+DA13+DM13+DY13+EE13+EK13+EQ13+AA13+AS13+DG13+DS13+BW13</f>
        <v>1612590.8025000002</v>
      </c>
      <c r="J13" s="69">
        <f t="shared" si="1"/>
        <v>306118.932</v>
      </c>
      <c r="K13" s="69">
        <f t="shared" si="2"/>
        <v>1918709.7345000003</v>
      </c>
      <c r="L13" s="69">
        <f t="shared" si="3"/>
        <v>120382.8777765</v>
      </c>
      <c r="M13" s="69">
        <f t="shared" si="4"/>
        <v>2435.4462089999997</v>
      </c>
      <c r="O13" s="32">
        <f>C13*$P$6</f>
        <v>221617.86500000002</v>
      </c>
      <c r="P13" s="32">
        <f t="shared" si="5"/>
        <v>42069.832</v>
      </c>
      <c r="Q13" s="32">
        <f t="shared" si="6"/>
        <v>263687.69700000004</v>
      </c>
      <c r="R13" s="49">
        <f t="shared" si="7"/>
        <v>16544.182389</v>
      </c>
      <c r="S13" s="49">
        <f t="shared" si="8"/>
        <v>334.702634</v>
      </c>
      <c r="U13" s="32">
        <f>C13*$V$6</f>
        <v>226126.34999999998</v>
      </c>
      <c r="V13" s="49">
        <f t="shared" si="9"/>
        <v>42925.68</v>
      </c>
      <c r="W13" s="49">
        <f t="shared" si="10"/>
        <v>269052.02999999997</v>
      </c>
      <c r="X13" s="49">
        <f t="shared" si="11"/>
        <v>16880.74911</v>
      </c>
      <c r="Y13" s="49">
        <f t="shared" si="12"/>
        <v>341.51166</v>
      </c>
      <c r="AA13" s="32">
        <f>C13*$AB$6</f>
        <v>7561.1155</v>
      </c>
      <c r="AB13" s="49">
        <f t="shared" si="13"/>
        <v>1435.3304</v>
      </c>
      <c r="AC13" s="49">
        <f t="shared" si="14"/>
        <v>8996.4459</v>
      </c>
      <c r="AD13" s="49">
        <f t="shared" si="15"/>
        <v>564.4512183</v>
      </c>
      <c r="AE13" s="49">
        <f t="shared" si="16"/>
        <v>11.4193198</v>
      </c>
      <c r="AG13" s="32">
        <f t="shared" si="97"/>
        <v>2808.3999999999996</v>
      </c>
      <c r="AH13" s="32">
        <f t="shared" si="17"/>
        <v>533.12</v>
      </c>
      <c r="AI13" s="32">
        <f t="shared" si="18"/>
        <v>3341.5199999999995</v>
      </c>
      <c r="AJ13" s="49">
        <f t="shared" si="19"/>
        <v>209.65223999999998</v>
      </c>
      <c r="AK13" s="49">
        <f t="shared" si="20"/>
        <v>4.24144</v>
      </c>
      <c r="AM13" s="32">
        <f>C13*$AN$6</f>
        <v>42562.8065</v>
      </c>
      <c r="AN13" s="32">
        <f t="shared" si="21"/>
        <v>8079.7192</v>
      </c>
      <c r="AO13" s="32">
        <f t="shared" si="22"/>
        <v>50642.5257</v>
      </c>
      <c r="AP13" s="49">
        <f t="shared" si="23"/>
        <v>3177.3920108999996</v>
      </c>
      <c r="AQ13" s="49">
        <f t="shared" si="24"/>
        <v>64.28129539999999</v>
      </c>
      <c r="AS13" s="49">
        <f>C13*$AT$6</f>
        <v>10799.8025</v>
      </c>
      <c r="AT13" s="32">
        <f t="shared" si="25"/>
        <v>2050.132</v>
      </c>
      <c r="AU13" s="49">
        <f t="shared" si="26"/>
        <v>12849.9345</v>
      </c>
      <c r="AV13" s="49">
        <f t="shared" si="27"/>
        <v>806.2251765</v>
      </c>
      <c r="AW13" s="49">
        <f t="shared" si="28"/>
        <v>16.310609</v>
      </c>
      <c r="AY13" s="49">
        <f>C13*$AZ$6</f>
        <v>11558.572</v>
      </c>
      <c r="AZ13" s="32">
        <f t="shared" si="29"/>
        <v>2194.1696</v>
      </c>
      <c r="BA13" s="49">
        <f t="shared" si="30"/>
        <v>13752.741600000001</v>
      </c>
      <c r="BB13" s="49">
        <f t="shared" si="31"/>
        <v>862.8687192</v>
      </c>
      <c r="BC13" s="49">
        <f t="shared" si="32"/>
        <v>17.4565552</v>
      </c>
      <c r="BE13" s="32">
        <f>C13*$BF$6</f>
        <v>11715.5415</v>
      </c>
      <c r="BF13" s="32">
        <f t="shared" si="33"/>
        <v>2223.9671999999996</v>
      </c>
      <c r="BG13" s="32">
        <f t="shared" si="34"/>
        <v>13939.508699999998</v>
      </c>
      <c r="BH13" s="49">
        <f t="shared" si="35"/>
        <v>874.5867818999999</v>
      </c>
      <c r="BI13" s="49">
        <f t="shared" si="36"/>
        <v>17.693621399999998</v>
      </c>
      <c r="BK13" s="32">
        <f>C13*$BL$6</f>
        <v>2328.4645</v>
      </c>
      <c r="BL13" s="32">
        <f t="shared" si="37"/>
        <v>442.0136</v>
      </c>
      <c r="BM13" s="49">
        <f t="shared" si="38"/>
        <v>2770.4781000000003</v>
      </c>
      <c r="BN13" s="49">
        <f t="shared" si="39"/>
        <v>173.8241697</v>
      </c>
      <c r="BO13" s="49">
        <f t="shared" si="40"/>
        <v>3.5166082000000003</v>
      </c>
      <c r="BQ13" s="32">
        <f>C13*$BR$6</f>
        <v>18897.0215</v>
      </c>
      <c r="BR13" s="32">
        <f t="shared" si="41"/>
        <v>3587.2311999999997</v>
      </c>
      <c r="BS13" s="49">
        <f t="shared" si="42"/>
        <v>22484.252699999997</v>
      </c>
      <c r="BT13" s="49">
        <f t="shared" si="43"/>
        <v>1410.6975099</v>
      </c>
      <c r="BU13" s="49">
        <f t="shared" si="44"/>
        <v>28.5395894</v>
      </c>
      <c r="BW13" s="32">
        <f t="shared" si="98"/>
        <v>575.7220000000004</v>
      </c>
      <c r="BX13" s="32">
        <f t="shared" si="45"/>
        <v>109.28960000000008</v>
      </c>
      <c r="BY13" s="49">
        <f t="shared" si="46"/>
        <v>685.0116000000005</v>
      </c>
      <c r="BZ13" s="32">
        <f t="shared" si="47"/>
        <v>42.97870920000003</v>
      </c>
      <c r="CA13" s="49">
        <f t="shared" si="48"/>
        <v>0.8694952000000006</v>
      </c>
      <c r="CC13" s="49">
        <f t="shared" si="99"/>
        <v>16552.509</v>
      </c>
      <c r="CD13" s="49">
        <f t="shared" si="49"/>
        <v>3142.1711999999998</v>
      </c>
      <c r="CE13" s="32">
        <f t="shared" si="50"/>
        <v>19694.6802</v>
      </c>
      <c r="CF13" s="49">
        <f t="shared" si="51"/>
        <v>1235.6753274</v>
      </c>
      <c r="CG13" s="49">
        <f t="shared" si="52"/>
        <v>24.9987444</v>
      </c>
      <c r="CI13" s="49">
        <f t="shared" si="100"/>
        <v>10419.665500000001</v>
      </c>
      <c r="CJ13" s="49">
        <f t="shared" si="53"/>
        <v>1977.9704</v>
      </c>
      <c r="CK13" s="32">
        <f t="shared" si="54"/>
        <v>12397.635900000001</v>
      </c>
      <c r="CL13" s="49">
        <f t="shared" si="55"/>
        <v>777.8472483</v>
      </c>
      <c r="CM13" s="49">
        <f t="shared" si="56"/>
        <v>15.7364998</v>
      </c>
      <c r="CO13" s="32">
        <f t="shared" si="101"/>
        <v>399074.643</v>
      </c>
      <c r="CP13" s="32">
        <f t="shared" si="57"/>
        <v>75756.5424</v>
      </c>
      <c r="CQ13" s="49">
        <f t="shared" si="58"/>
        <v>474831.18539999996</v>
      </c>
      <c r="CR13" s="49">
        <f t="shared" si="59"/>
        <v>29791.6581798</v>
      </c>
      <c r="CS13" s="49">
        <f t="shared" si="60"/>
        <v>602.7101388</v>
      </c>
      <c r="CU13" s="32">
        <f t="shared" si="102"/>
        <v>4554.623</v>
      </c>
      <c r="CV13" s="32">
        <f t="shared" si="61"/>
        <v>864.6064</v>
      </c>
      <c r="CW13" s="32">
        <f t="shared" si="62"/>
        <v>5419.229399999999</v>
      </c>
      <c r="CX13" s="49">
        <f t="shared" si="63"/>
        <v>340.01100779999996</v>
      </c>
      <c r="CY13" s="49">
        <f t="shared" si="64"/>
        <v>6.8787068</v>
      </c>
      <c r="DA13" s="32">
        <f t="shared" si="103"/>
        <v>556382.154</v>
      </c>
      <c r="DB13" s="32">
        <f t="shared" si="65"/>
        <v>105618.30720000001</v>
      </c>
      <c r="DC13" s="49">
        <f t="shared" si="66"/>
        <v>662000.4612</v>
      </c>
      <c r="DD13" s="49">
        <f t="shared" si="67"/>
        <v>41534.9540244</v>
      </c>
      <c r="DE13" s="49">
        <f t="shared" si="68"/>
        <v>840.2868264</v>
      </c>
      <c r="DG13" s="32">
        <f t="shared" si="104"/>
        <v>5366.05</v>
      </c>
      <c r="DH13" s="32">
        <f t="shared" si="69"/>
        <v>1018.64</v>
      </c>
      <c r="DI13" s="49">
        <f t="shared" si="70"/>
        <v>6384.6900000000005</v>
      </c>
      <c r="DJ13" s="49">
        <f t="shared" si="71"/>
        <v>400.58553</v>
      </c>
      <c r="DK13" s="49">
        <f t="shared" si="72"/>
        <v>8.10418</v>
      </c>
      <c r="DM13" s="32">
        <f t="shared" si="105"/>
        <v>3711.6015</v>
      </c>
      <c r="DN13" s="32">
        <f t="shared" si="73"/>
        <v>704.5752</v>
      </c>
      <c r="DO13" s="49">
        <f t="shared" si="74"/>
        <v>4416.1767</v>
      </c>
      <c r="DP13" s="49">
        <f t="shared" si="75"/>
        <v>277.07789790000004</v>
      </c>
      <c r="DQ13" s="49">
        <f t="shared" si="76"/>
        <v>5.6055174</v>
      </c>
      <c r="DS13" s="32">
        <f t="shared" si="106"/>
        <v>2288.846</v>
      </c>
      <c r="DT13" s="49">
        <f t="shared" si="77"/>
        <v>434.4928</v>
      </c>
      <c r="DU13" s="49">
        <f t="shared" si="78"/>
        <v>2723.3388</v>
      </c>
      <c r="DV13" s="49">
        <f t="shared" si="79"/>
        <v>170.8665756</v>
      </c>
      <c r="DW13" s="49">
        <f t="shared" si="80"/>
        <v>3.4567736</v>
      </c>
      <c r="DY13" s="32">
        <f t="shared" si="107"/>
        <v>57.171</v>
      </c>
      <c r="DZ13" s="32">
        <f t="shared" si="81"/>
        <v>10.852799999999998</v>
      </c>
      <c r="EA13" s="49">
        <f t="shared" si="82"/>
        <v>68.0238</v>
      </c>
      <c r="EB13" s="49">
        <f t="shared" si="83"/>
        <v>4.2679206</v>
      </c>
      <c r="EC13" s="49">
        <f t="shared" si="84"/>
        <v>0.08634359999999999</v>
      </c>
      <c r="EE13" s="32">
        <f t="shared" si="108"/>
        <v>14088.6395</v>
      </c>
      <c r="EF13" s="32">
        <f t="shared" si="85"/>
        <v>2674.4536</v>
      </c>
      <c r="EG13" s="32">
        <f t="shared" si="86"/>
        <v>16763.0931</v>
      </c>
      <c r="EH13" s="49">
        <f t="shared" si="87"/>
        <v>1051.7429247</v>
      </c>
      <c r="EI13" s="49">
        <f t="shared" si="88"/>
        <v>21.2776382</v>
      </c>
      <c r="EK13" s="32">
        <f t="shared" si="109"/>
        <v>33880.337</v>
      </c>
      <c r="EL13" s="32">
        <f t="shared" si="89"/>
        <v>6431.5216</v>
      </c>
      <c r="EM13" s="49">
        <f t="shared" si="90"/>
        <v>40311.8586</v>
      </c>
      <c r="EN13" s="49">
        <f t="shared" si="91"/>
        <v>2529.2296482</v>
      </c>
      <c r="EO13" s="49">
        <f t="shared" si="92"/>
        <v>51.1684292</v>
      </c>
      <c r="EQ13" s="32">
        <f t="shared" si="110"/>
        <v>9662.902</v>
      </c>
      <c r="ER13" s="32">
        <f t="shared" si="93"/>
        <v>1834.3136</v>
      </c>
      <c r="ES13" s="49">
        <f t="shared" si="94"/>
        <v>11497.2156</v>
      </c>
      <c r="ET13" s="49">
        <f t="shared" si="95"/>
        <v>721.3534572</v>
      </c>
      <c r="EU13" s="49">
        <f t="shared" si="96"/>
        <v>14.5935832</v>
      </c>
      <c r="EV13"/>
    </row>
    <row r="14" spans="1:152" ht="12.75">
      <c r="A14" s="76">
        <v>45200</v>
      </c>
      <c r="D14" s="34">
        <v>826625</v>
      </c>
      <c r="E14" s="34">
        <f t="shared" si="0"/>
        <v>826625</v>
      </c>
      <c r="F14" s="34">
        <v>374379</v>
      </c>
      <c r="G14" s="34">
        <v>7574</v>
      </c>
      <c r="I14" s="69"/>
      <c r="J14" s="69">
        <f t="shared" si="1"/>
        <v>265804.16193750006</v>
      </c>
      <c r="K14" s="69">
        <f t="shared" si="2"/>
        <v>265804.16193750006</v>
      </c>
      <c r="L14" s="69">
        <f t="shared" si="3"/>
        <v>120382.8777765</v>
      </c>
      <c r="M14" s="69">
        <f t="shared" si="4"/>
        <v>2435.4462089999997</v>
      </c>
      <c r="P14" s="32">
        <f t="shared" si="5"/>
        <v>36529.385375</v>
      </c>
      <c r="Q14" s="32">
        <f t="shared" si="6"/>
        <v>36529.385375</v>
      </c>
      <c r="R14" s="49">
        <f t="shared" si="7"/>
        <v>16544.182389</v>
      </c>
      <c r="S14" s="49">
        <f t="shared" si="8"/>
        <v>334.702634</v>
      </c>
      <c r="V14" s="49">
        <f t="shared" si="9"/>
        <v>37272.52125</v>
      </c>
      <c r="W14" s="49">
        <f t="shared" si="10"/>
        <v>37272.52125</v>
      </c>
      <c r="X14" s="49">
        <f t="shared" si="11"/>
        <v>16880.74911</v>
      </c>
      <c r="Y14" s="49">
        <f t="shared" si="12"/>
        <v>341.51166</v>
      </c>
      <c r="AB14" s="49">
        <f t="shared" si="13"/>
        <v>1246.3025125000001</v>
      </c>
      <c r="AC14" s="49">
        <f t="shared" si="14"/>
        <v>1246.3025125000001</v>
      </c>
      <c r="AD14" s="49">
        <f t="shared" si="15"/>
        <v>564.4512183</v>
      </c>
      <c r="AE14" s="49">
        <f t="shared" si="16"/>
        <v>11.4193198</v>
      </c>
      <c r="AH14" s="32">
        <f t="shared" si="17"/>
        <v>462.90999999999997</v>
      </c>
      <c r="AI14" s="32">
        <f t="shared" si="18"/>
        <v>462.90999999999997</v>
      </c>
      <c r="AJ14" s="49">
        <f t="shared" si="19"/>
        <v>209.65223999999998</v>
      </c>
      <c r="AK14" s="49">
        <f t="shared" si="20"/>
        <v>4.24144</v>
      </c>
      <c r="AN14" s="32">
        <f t="shared" si="21"/>
        <v>7015.649037499999</v>
      </c>
      <c r="AO14" s="32">
        <f t="shared" si="22"/>
        <v>7015.649037499999</v>
      </c>
      <c r="AP14" s="49">
        <f t="shared" si="23"/>
        <v>3177.3920108999996</v>
      </c>
      <c r="AQ14" s="49">
        <f t="shared" si="24"/>
        <v>64.28129539999999</v>
      </c>
      <c r="AS14" s="49"/>
      <c r="AT14" s="32">
        <f t="shared" si="25"/>
        <v>1780.1369375</v>
      </c>
      <c r="AU14" s="49">
        <f t="shared" si="26"/>
        <v>1780.1369375</v>
      </c>
      <c r="AV14" s="49">
        <f t="shared" si="27"/>
        <v>806.2251765</v>
      </c>
      <c r="AW14" s="49">
        <f t="shared" si="28"/>
        <v>16.310609</v>
      </c>
      <c r="AY14" s="49"/>
      <c r="AZ14" s="32">
        <f t="shared" si="29"/>
        <v>1905.2053</v>
      </c>
      <c r="BA14" s="49">
        <f t="shared" si="30"/>
        <v>1905.2053</v>
      </c>
      <c r="BB14" s="49">
        <f t="shared" si="31"/>
        <v>862.8687192</v>
      </c>
      <c r="BC14" s="49">
        <f t="shared" si="32"/>
        <v>17.4565552</v>
      </c>
      <c r="BF14" s="32">
        <f t="shared" si="33"/>
        <v>1931.0786624999998</v>
      </c>
      <c r="BG14" s="32">
        <f t="shared" si="34"/>
        <v>1931.0786624999998</v>
      </c>
      <c r="BH14" s="49">
        <f t="shared" si="35"/>
        <v>874.5867818999999</v>
      </c>
      <c r="BI14" s="49">
        <f t="shared" si="36"/>
        <v>17.693621399999998</v>
      </c>
      <c r="BL14" s="32">
        <f t="shared" si="37"/>
        <v>383.8019875</v>
      </c>
      <c r="BM14" s="49">
        <f t="shared" si="38"/>
        <v>383.8019875</v>
      </c>
      <c r="BN14" s="49">
        <f t="shared" si="39"/>
        <v>173.8241697</v>
      </c>
      <c r="BO14" s="49">
        <f t="shared" si="40"/>
        <v>3.5166082000000003</v>
      </c>
      <c r="BR14" s="32">
        <f t="shared" si="41"/>
        <v>3114.8056625</v>
      </c>
      <c r="BS14" s="49">
        <f t="shared" si="42"/>
        <v>3114.8056625</v>
      </c>
      <c r="BT14" s="49">
        <f t="shared" si="43"/>
        <v>1410.6975099</v>
      </c>
      <c r="BU14" s="49">
        <f t="shared" si="44"/>
        <v>28.5395894</v>
      </c>
      <c r="BX14" s="32">
        <f t="shared" si="45"/>
        <v>94.89655000000006</v>
      </c>
      <c r="BY14" s="49">
        <f t="shared" si="46"/>
        <v>94.89655000000006</v>
      </c>
      <c r="BZ14" s="32">
        <f t="shared" si="47"/>
        <v>42.97870920000003</v>
      </c>
      <c r="CA14" s="49">
        <f t="shared" si="48"/>
        <v>0.8694952000000006</v>
      </c>
      <c r="CC14" s="49"/>
      <c r="CD14" s="49">
        <f t="shared" si="49"/>
        <v>2728.358475</v>
      </c>
      <c r="CE14" s="32">
        <f t="shared" si="50"/>
        <v>2728.358475</v>
      </c>
      <c r="CF14" s="49">
        <f t="shared" si="51"/>
        <v>1235.6753274</v>
      </c>
      <c r="CG14" s="49">
        <f t="shared" si="52"/>
        <v>24.9987444</v>
      </c>
      <c r="CI14" s="49"/>
      <c r="CJ14" s="49">
        <f t="shared" si="53"/>
        <v>1717.4787625000001</v>
      </c>
      <c r="CK14" s="32">
        <f t="shared" si="54"/>
        <v>1717.4787625000001</v>
      </c>
      <c r="CL14" s="49">
        <f t="shared" si="55"/>
        <v>777.8472483</v>
      </c>
      <c r="CM14" s="49">
        <f t="shared" si="56"/>
        <v>15.7364998</v>
      </c>
      <c r="CP14" s="32">
        <f t="shared" si="57"/>
        <v>65779.676325</v>
      </c>
      <c r="CQ14" s="49">
        <f t="shared" si="58"/>
        <v>65779.676325</v>
      </c>
      <c r="CR14" s="49">
        <f t="shared" si="59"/>
        <v>29791.6581798</v>
      </c>
      <c r="CS14" s="49">
        <f t="shared" si="60"/>
        <v>602.7101388</v>
      </c>
      <c r="CV14" s="32">
        <f t="shared" si="61"/>
        <v>750.740825</v>
      </c>
      <c r="CW14" s="32">
        <f t="shared" si="62"/>
        <v>750.740825</v>
      </c>
      <c r="CX14" s="49">
        <f t="shared" si="63"/>
        <v>340.01100779999996</v>
      </c>
      <c r="CY14" s="49">
        <f t="shared" si="64"/>
        <v>6.8787068</v>
      </c>
      <c r="DB14" s="32">
        <f t="shared" si="65"/>
        <v>91708.75335</v>
      </c>
      <c r="DC14" s="49">
        <f t="shared" si="66"/>
        <v>91708.75335</v>
      </c>
      <c r="DD14" s="49">
        <f t="shared" si="67"/>
        <v>41534.9540244</v>
      </c>
      <c r="DE14" s="49">
        <f t="shared" si="68"/>
        <v>840.2868264</v>
      </c>
      <c r="DH14" s="32">
        <f t="shared" si="69"/>
        <v>884.48875</v>
      </c>
      <c r="DI14" s="49">
        <f t="shared" si="70"/>
        <v>884.48875</v>
      </c>
      <c r="DJ14" s="49">
        <f t="shared" si="71"/>
        <v>400.58553</v>
      </c>
      <c r="DK14" s="49">
        <f t="shared" si="72"/>
        <v>8.10418</v>
      </c>
      <c r="DN14" s="32">
        <f t="shared" si="73"/>
        <v>611.7851625000001</v>
      </c>
      <c r="DO14" s="49">
        <f t="shared" si="74"/>
        <v>611.7851625000001</v>
      </c>
      <c r="DP14" s="49">
        <f t="shared" si="75"/>
        <v>277.07789790000004</v>
      </c>
      <c r="DQ14" s="49">
        <f t="shared" si="76"/>
        <v>5.6055174</v>
      </c>
      <c r="DT14" s="49">
        <f t="shared" si="77"/>
        <v>377.27164999999997</v>
      </c>
      <c r="DU14" s="49">
        <f t="shared" si="78"/>
        <v>377.27164999999997</v>
      </c>
      <c r="DV14" s="49">
        <f t="shared" si="79"/>
        <v>170.8665756</v>
      </c>
      <c r="DW14" s="49">
        <f t="shared" si="80"/>
        <v>3.4567736</v>
      </c>
      <c r="DZ14" s="32">
        <f t="shared" si="81"/>
        <v>9.423525</v>
      </c>
      <c r="EA14" s="49">
        <f t="shared" si="82"/>
        <v>9.423525</v>
      </c>
      <c r="EB14" s="49">
        <f t="shared" si="83"/>
        <v>4.2679206</v>
      </c>
      <c r="EC14" s="49">
        <f t="shared" si="84"/>
        <v>0.08634359999999999</v>
      </c>
      <c r="EF14" s="32">
        <f t="shared" si="85"/>
        <v>2322.2376125</v>
      </c>
      <c r="EG14" s="32">
        <f t="shared" si="86"/>
        <v>2322.2376125</v>
      </c>
      <c r="EH14" s="49">
        <f t="shared" si="87"/>
        <v>1051.7429247</v>
      </c>
      <c r="EI14" s="49">
        <f t="shared" si="88"/>
        <v>21.2776382</v>
      </c>
      <c r="EL14" s="32">
        <f t="shared" si="89"/>
        <v>5584.513175</v>
      </c>
      <c r="EM14" s="49">
        <f t="shared" si="90"/>
        <v>5584.513175</v>
      </c>
      <c r="EN14" s="49">
        <f t="shared" si="91"/>
        <v>2529.2296482</v>
      </c>
      <c r="EO14" s="49">
        <f t="shared" si="92"/>
        <v>51.1684292</v>
      </c>
      <c r="ER14" s="32">
        <f t="shared" si="93"/>
        <v>1592.74105</v>
      </c>
      <c r="ES14" s="49">
        <f t="shared" si="94"/>
        <v>1592.74105</v>
      </c>
      <c r="ET14" s="49">
        <f t="shared" si="95"/>
        <v>721.3534572</v>
      </c>
      <c r="EU14" s="49">
        <f t="shared" si="96"/>
        <v>14.5935832</v>
      </c>
      <c r="EV14"/>
    </row>
    <row r="15" spans="1:152" ht="12.75">
      <c r="A15" s="76">
        <v>45383</v>
      </c>
      <c r="C15" s="34">
        <v>5155000</v>
      </c>
      <c r="D15" s="34">
        <v>826625</v>
      </c>
      <c r="E15" s="34">
        <f t="shared" si="0"/>
        <v>5981625</v>
      </c>
      <c r="F15" s="34">
        <v>374379</v>
      </c>
      <c r="G15" s="34">
        <v>7574</v>
      </c>
      <c r="I15" s="69">
        <f>O15+U15+AM15+AY15+AG15+BE15+BK15+BQ15+CC15+CI15+CO15+CU15+DA15+DM15+DY15+EE15+EK15+EQ15+AA15+AS15+DG15+DS15+BW15</f>
        <v>1657608.2925000002</v>
      </c>
      <c r="J15" s="69">
        <f t="shared" si="1"/>
        <v>265804.16193750006</v>
      </c>
      <c r="K15" s="69">
        <f t="shared" si="2"/>
        <v>1923412.4544375003</v>
      </c>
      <c r="L15" s="69">
        <f t="shared" si="3"/>
        <v>120382.8777765</v>
      </c>
      <c r="M15" s="69">
        <f t="shared" si="4"/>
        <v>2435.4462089999997</v>
      </c>
      <c r="O15" s="32">
        <f>C15*$P$6</f>
        <v>227804.605</v>
      </c>
      <c r="P15" s="32">
        <f t="shared" si="5"/>
        <v>36529.385375</v>
      </c>
      <c r="Q15" s="32">
        <f t="shared" si="6"/>
        <v>264333.990375</v>
      </c>
      <c r="R15" s="49">
        <f t="shared" si="7"/>
        <v>16544.182389</v>
      </c>
      <c r="S15" s="49">
        <f t="shared" si="8"/>
        <v>334.702634</v>
      </c>
      <c r="U15" s="32">
        <f>C15*$V$6</f>
        <v>232438.94999999998</v>
      </c>
      <c r="V15" s="49">
        <f t="shared" si="9"/>
        <v>37272.52125</v>
      </c>
      <c r="W15" s="49">
        <f t="shared" si="10"/>
        <v>269711.47125</v>
      </c>
      <c r="X15" s="49">
        <f t="shared" si="11"/>
        <v>16880.74911</v>
      </c>
      <c r="Y15" s="49">
        <f t="shared" si="12"/>
        <v>341.51166</v>
      </c>
      <c r="AA15" s="32">
        <f>C15*$AB$6</f>
        <v>7772.1935</v>
      </c>
      <c r="AB15" s="49">
        <f t="shared" si="13"/>
        <v>1246.3025125000001</v>
      </c>
      <c r="AC15" s="49">
        <f t="shared" si="14"/>
        <v>9018.4960125</v>
      </c>
      <c r="AD15" s="49">
        <f t="shared" si="15"/>
        <v>564.4512183</v>
      </c>
      <c r="AE15" s="49">
        <f t="shared" si="16"/>
        <v>11.4193198</v>
      </c>
      <c r="AG15" s="32">
        <f t="shared" si="97"/>
        <v>2886.7999999999997</v>
      </c>
      <c r="AH15" s="32">
        <f t="shared" si="17"/>
        <v>462.90999999999997</v>
      </c>
      <c r="AI15" s="32">
        <f t="shared" si="18"/>
        <v>3349.7099999999996</v>
      </c>
      <c r="AJ15" s="49">
        <f t="shared" si="19"/>
        <v>209.65223999999998</v>
      </c>
      <c r="AK15" s="49">
        <f t="shared" si="20"/>
        <v>4.24144</v>
      </c>
      <c r="AM15" s="32">
        <f>C15*$AN$6</f>
        <v>43751.000499999995</v>
      </c>
      <c r="AN15" s="32">
        <f t="shared" si="21"/>
        <v>7015.649037499999</v>
      </c>
      <c r="AO15" s="32">
        <f t="shared" si="22"/>
        <v>50766.649537499994</v>
      </c>
      <c r="AP15" s="49">
        <f t="shared" si="23"/>
        <v>3177.3920108999996</v>
      </c>
      <c r="AQ15" s="49">
        <f t="shared" si="24"/>
        <v>64.28129539999999</v>
      </c>
      <c r="AS15" s="49">
        <f>C15*$AT$6</f>
        <v>11101.2925</v>
      </c>
      <c r="AT15" s="32">
        <f t="shared" si="25"/>
        <v>1780.1369375</v>
      </c>
      <c r="AU15" s="49">
        <f t="shared" si="26"/>
        <v>12881.429437499999</v>
      </c>
      <c r="AV15" s="49">
        <f t="shared" si="27"/>
        <v>806.2251765</v>
      </c>
      <c r="AW15" s="49">
        <f t="shared" si="28"/>
        <v>16.310609</v>
      </c>
      <c r="AY15" s="49">
        <f>C15*$AZ$6</f>
        <v>11881.244</v>
      </c>
      <c r="AZ15" s="32">
        <f t="shared" si="29"/>
        <v>1905.2053</v>
      </c>
      <c r="BA15" s="49">
        <f t="shared" si="30"/>
        <v>13786.4493</v>
      </c>
      <c r="BB15" s="49">
        <f t="shared" si="31"/>
        <v>862.8687192</v>
      </c>
      <c r="BC15" s="49">
        <f t="shared" si="32"/>
        <v>17.4565552</v>
      </c>
      <c r="BE15" s="32">
        <f>C15*$BF$6</f>
        <v>12042.5955</v>
      </c>
      <c r="BF15" s="32">
        <f t="shared" si="33"/>
        <v>1931.0786624999998</v>
      </c>
      <c r="BG15" s="32">
        <f t="shared" si="34"/>
        <v>13973.6741625</v>
      </c>
      <c r="BH15" s="49">
        <f t="shared" si="35"/>
        <v>874.5867818999999</v>
      </c>
      <c r="BI15" s="49">
        <f t="shared" si="36"/>
        <v>17.693621399999998</v>
      </c>
      <c r="BK15" s="32">
        <f>C15*$BL$6</f>
        <v>2393.4665</v>
      </c>
      <c r="BL15" s="32">
        <f t="shared" si="37"/>
        <v>383.8019875</v>
      </c>
      <c r="BM15" s="49">
        <f t="shared" si="38"/>
        <v>2777.2684875</v>
      </c>
      <c r="BN15" s="49">
        <f t="shared" si="39"/>
        <v>173.8241697</v>
      </c>
      <c r="BO15" s="49">
        <f t="shared" si="40"/>
        <v>3.5166082000000003</v>
      </c>
      <c r="BQ15" s="32">
        <f>C15*$BR$6</f>
        <v>19424.5555</v>
      </c>
      <c r="BR15" s="32">
        <f t="shared" si="41"/>
        <v>3114.8056625</v>
      </c>
      <c r="BS15" s="49">
        <f t="shared" si="42"/>
        <v>22539.361162499998</v>
      </c>
      <c r="BT15" s="49">
        <f t="shared" si="43"/>
        <v>1410.6975099</v>
      </c>
      <c r="BU15" s="49">
        <f t="shared" si="44"/>
        <v>28.5395894</v>
      </c>
      <c r="BW15" s="32">
        <f t="shared" si="98"/>
        <v>591.7940000000004</v>
      </c>
      <c r="BX15" s="32">
        <f t="shared" si="45"/>
        <v>94.89655000000006</v>
      </c>
      <c r="BY15" s="49">
        <f t="shared" si="46"/>
        <v>686.6905500000005</v>
      </c>
      <c r="BZ15" s="32">
        <f t="shared" si="47"/>
        <v>42.97870920000003</v>
      </c>
      <c r="CA15" s="49">
        <f t="shared" si="48"/>
        <v>0.8694952000000006</v>
      </c>
      <c r="CC15" s="49">
        <f t="shared" si="99"/>
        <v>17014.593</v>
      </c>
      <c r="CD15" s="49">
        <f t="shared" si="49"/>
        <v>2728.358475</v>
      </c>
      <c r="CE15" s="32">
        <f t="shared" si="50"/>
        <v>19742.951475</v>
      </c>
      <c r="CF15" s="49">
        <f t="shared" si="51"/>
        <v>1235.6753274</v>
      </c>
      <c r="CG15" s="49">
        <f t="shared" si="52"/>
        <v>24.9987444</v>
      </c>
      <c r="CI15" s="49">
        <f t="shared" si="100"/>
        <v>10710.5435</v>
      </c>
      <c r="CJ15" s="49">
        <f t="shared" si="53"/>
        <v>1717.4787625000001</v>
      </c>
      <c r="CK15" s="32">
        <f t="shared" si="54"/>
        <v>12428.0222625</v>
      </c>
      <c r="CL15" s="49">
        <f t="shared" si="55"/>
        <v>777.8472483</v>
      </c>
      <c r="CM15" s="49">
        <f t="shared" si="56"/>
        <v>15.7364998</v>
      </c>
      <c r="CO15" s="32">
        <f t="shared" si="101"/>
        <v>410215.311</v>
      </c>
      <c r="CP15" s="32">
        <f t="shared" si="57"/>
        <v>65779.676325</v>
      </c>
      <c r="CQ15" s="49">
        <f t="shared" si="58"/>
        <v>475994.987325</v>
      </c>
      <c r="CR15" s="49">
        <f t="shared" si="59"/>
        <v>29791.6581798</v>
      </c>
      <c r="CS15" s="49">
        <f t="shared" si="60"/>
        <v>602.7101388</v>
      </c>
      <c r="CU15" s="32">
        <f t="shared" si="102"/>
        <v>4681.771</v>
      </c>
      <c r="CV15" s="32">
        <f t="shared" si="61"/>
        <v>750.740825</v>
      </c>
      <c r="CW15" s="32">
        <f t="shared" si="62"/>
        <v>5432.511825</v>
      </c>
      <c r="CX15" s="49">
        <f t="shared" si="63"/>
        <v>340.01100779999996</v>
      </c>
      <c r="CY15" s="49">
        <f t="shared" si="64"/>
        <v>6.8787068</v>
      </c>
      <c r="DA15" s="32">
        <f t="shared" si="103"/>
        <v>571914.258</v>
      </c>
      <c r="DB15" s="32">
        <f t="shared" si="65"/>
        <v>91708.75335</v>
      </c>
      <c r="DC15" s="49">
        <f t="shared" si="66"/>
        <v>663623.01135</v>
      </c>
      <c r="DD15" s="49">
        <f t="shared" si="67"/>
        <v>41534.9540244</v>
      </c>
      <c r="DE15" s="49">
        <f t="shared" si="68"/>
        <v>840.2868264</v>
      </c>
      <c r="DG15" s="32">
        <f t="shared" si="104"/>
        <v>5515.85</v>
      </c>
      <c r="DH15" s="32">
        <f t="shared" si="69"/>
        <v>884.48875</v>
      </c>
      <c r="DI15" s="49">
        <f t="shared" si="70"/>
        <v>6400.338750000001</v>
      </c>
      <c r="DJ15" s="49">
        <f t="shared" si="71"/>
        <v>400.58553</v>
      </c>
      <c r="DK15" s="49">
        <f t="shared" si="72"/>
        <v>8.10418</v>
      </c>
      <c r="DM15" s="32">
        <f t="shared" si="105"/>
        <v>3815.2155000000002</v>
      </c>
      <c r="DN15" s="32">
        <f t="shared" si="73"/>
        <v>611.7851625000001</v>
      </c>
      <c r="DO15" s="49">
        <f t="shared" si="74"/>
        <v>4427.0006625000005</v>
      </c>
      <c r="DP15" s="49">
        <f t="shared" si="75"/>
        <v>277.07789790000004</v>
      </c>
      <c r="DQ15" s="49">
        <f t="shared" si="76"/>
        <v>5.6055174</v>
      </c>
      <c r="DS15" s="32">
        <f t="shared" si="106"/>
        <v>2352.7419999999997</v>
      </c>
      <c r="DT15" s="49">
        <f t="shared" si="77"/>
        <v>377.27164999999997</v>
      </c>
      <c r="DU15" s="49">
        <f t="shared" si="78"/>
        <v>2730.01365</v>
      </c>
      <c r="DV15" s="49">
        <f t="shared" si="79"/>
        <v>170.8665756</v>
      </c>
      <c r="DW15" s="49">
        <f t="shared" si="80"/>
        <v>3.4567736</v>
      </c>
      <c r="DY15" s="32">
        <f t="shared" si="107"/>
        <v>58.766999999999996</v>
      </c>
      <c r="DZ15" s="32">
        <f t="shared" si="81"/>
        <v>9.423525</v>
      </c>
      <c r="EA15" s="49">
        <f t="shared" si="82"/>
        <v>68.190525</v>
      </c>
      <c r="EB15" s="49">
        <f t="shared" si="83"/>
        <v>4.2679206</v>
      </c>
      <c r="EC15" s="49">
        <f t="shared" si="84"/>
        <v>0.08634359999999999</v>
      </c>
      <c r="EE15" s="32">
        <f t="shared" si="108"/>
        <v>14481.941499999999</v>
      </c>
      <c r="EF15" s="32">
        <f t="shared" si="85"/>
        <v>2322.2376125</v>
      </c>
      <c r="EG15" s="32">
        <f t="shared" si="86"/>
        <v>16804.179112499998</v>
      </c>
      <c r="EH15" s="49">
        <f t="shared" si="87"/>
        <v>1051.7429247</v>
      </c>
      <c r="EI15" s="49">
        <f t="shared" si="88"/>
        <v>21.2776382</v>
      </c>
      <c r="EK15" s="32">
        <f t="shared" si="109"/>
        <v>34826.149</v>
      </c>
      <c r="EL15" s="32">
        <f t="shared" si="89"/>
        <v>5584.513175</v>
      </c>
      <c r="EM15" s="49">
        <f t="shared" si="90"/>
        <v>40410.662175</v>
      </c>
      <c r="EN15" s="49">
        <f t="shared" si="91"/>
        <v>2529.2296482</v>
      </c>
      <c r="EO15" s="49">
        <f t="shared" si="92"/>
        <v>51.1684292</v>
      </c>
      <c r="EQ15" s="32">
        <f t="shared" si="110"/>
        <v>9932.654</v>
      </c>
      <c r="ER15" s="32">
        <f t="shared" si="93"/>
        <v>1592.74105</v>
      </c>
      <c r="ES15" s="49">
        <f t="shared" si="94"/>
        <v>11525.395050000001</v>
      </c>
      <c r="ET15" s="49">
        <f t="shared" si="95"/>
        <v>721.3534572</v>
      </c>
      <c r="EU15" s="49">
        <f t="shared" si="96"/>
        <v>14.5935832</v>
      </c>
      <c r="EV15"/>
    </row>
    <row r="16" spans="1:152" ht="12.75">
      <c r="A16" s="76">
        <v>45566</v>
      </c>
      <c r="D16" s="34">
        <v>697750</v>
      </c>
      <c r="E16" s="34">
        <f t="shared" si="0"/>
        <v>697750</v>
      </c>
      <c r="F16" s="34">
        <v>374379</v>
      </c>
      <c r="G16" s="34">
        <v>7574</v>
      </c>
      <c r="I16" s="69"/>
      <c r="J16" s="69">
        <f t="shared" si="1"/>
        <v>224363.954625</v>
      </c>
      <c r="K16" s="69">
        <f t="shared" si="2"/>
        <v>224363.954625</v>
      </c>
      <c r="L16" s="69">
        <f t="shared" si="3"/>
        <v>120382.8777765</v>
      </c>
      <c r="M16" s="69">
        <f t="shared" si="4"/>
        <v>2435.4462089999997</v>
      </c>
      <c r="P16" s="32">
        <f t="shared" si="5"/>
        <v>30834.27025</v>
      </c>
      <c r="Q16" s="32">
        <f t="shared" si="6"/>
        <v>30834.27025</v>
      </c>
      <c r="R16" s="49">
        <f t="shared" si="7"/>
        <v>16544.182389</v>
      </c>
      <c r="S16" s="49">
        <f t="shared" si="8"/>
        <v>334.702634</v>
      </c>
      <c r="V16" s="49">
        <f t="shared" si="9"/>
        <v>31461.547499999997</v>
      </c>
      <c r="W16" s="49">
        <f t="shared" si="10"/>
        <v>31461.547499999997</v>
      </c>
      <c r="X16" s="49">
        <f t="shared" si="11"/>
        <v>16880.74911</v>
      </c>
      <c r="Y16" s="49">
        <f t="shared" si="12"/>
        <v>341.51166</v>
      </c>
      <c r="AB16" s="49">
        <f t="shared" si="13"/>
        <v>1051.997675</v>
      </c>
      <c r="AC16" s="49">
        <f t="shared" si="14"/>
        <v>1051.997675</v>
      </c>
      <c r="AD16" s="49">
        <f t="shared" si="15"/>
        <v>564.4512183</v>
      </c>
      <c r="AE16" s="49">
        <f t="shared" si="16"/>
        <v>11.4193198</v>
      </c>
      <c r="AH16" s="32">
        <f t="shared" si="17"/>
        <v>390.73999999999995</v>
      </c>
      <c r="AI16" s="32">
        <f t="shared" si="18"/>
        <v>390.73999999999995</v>
      </c>
      <c r="AJ16" s="49">
        <f t="shared" si="19"/>
        <v>209.65223999999998</v>
      </c>
      <c r="AK16" s="49">
        <f t="shared" si="20"/>
        <v>4.24144</v>
      </c>
      <c r="AN16" s="32">
        <f t="shared" si="21"/>
        <v>5921.874024999999</v>
      </c>
      <c r="AO16" s="32">
        <f t="shared" si="22"/>
        <v>5921.874024999999</v>
      </c>
      <c r="AP16" s="49">
        <f t="shared" si="23"/>
        <v>3177.3920108999996</v>
      </c>
      <c r="AQ16" s="49">
        <f t="shared" si="24"/>
        <v>64.28129539999999</v>
      </c>
      <c r="AS16" s="49"/>
      <c r="AT16" s="32">
        <f t="shared" si="25"/>
        <v>1502.604625</v>
      </c>
      <c r="AU16" s="49">
        <f t="shared" si="26"/>
        <v>1502.604625</v>
      </c>
      <c r="AV16" s="49">
        <f t="shared" si="27"/>
        <v>806.2251765</v>
      </c>
      <c r="AW16" s="49">
        <f t="shared" si="28"/>
        <v>16.310609</v>
      </c>
      <c r="AY16" s="49"/>
      <c r="AZ16" s="32">
        <f t="shared" si="29"/>
        <v>1608.1742000000002</v>
      </c>
      <c r="BA16" s="49">
        <f t="shared" si="30"/>
        <v>1608.1742000000002</v>
      </c>
      <c r="BB16" s="49">
        <f t="shared" si="31"/>
        <v>862.8687192</v>
      </c>
      <c r="BC16" s="49">
        <f t="shared" si="32"/>
        <v>17.4565552</v>
      </c>
      <c r="BF16" s="32">
        <f t="shared" si="33"/>
        <v>1630.013775</v>
      </c>
      <c r="BG16" s="32">
        <f t="shared" si="34"/>
        <v>1630.013775</v>
      </c>
      <c r="BH16" s="49">
        <f t="shared" si="35"/>
        <v>874.5867818999999</v>
      </c>
      <c r="BI16" s="49">
        <f t="shared" si="36"/>
        <v>17.693621399999998</v>
      </c>
      <c r="BL16" s="32">
        <f t="shared" si="37"/>
        <v>323.965325</v>
      </c>
      <c r="BM16" s="49">
        <f t="shared" si="38"/>
        <v>323.965325</v>
      </c>
      <c r="BN16" s="49">
        <f t="shared" si="39"/>
        <v>173.8241697</v>
      </c>
      <c r="BO16" s="49">
        <f t="shared" si="40"/>
        <v>3.5166082000000003</v>
      </c>
      <c r="BR16" s="32">
        <f t="shared" si="41"/>
        <v>2629.191775</v>
      </c>
      <c r="BS16" s="49">
        <f t="shared" si="42"/>
        <v>2629.191775</v>
      </c>
      <c r="BT16" s="49">
        <f t="shared" si="43"/>
        <v>1410.6975099</v>
      </c>
      <c r="BU16" s="49">
        <f t="shared" si="44"/>
        <v>28.5395894</v>
      </c>
      <c r="BX16" s="32">
        <f t="shared" si="45"/>
        <v>80.10170000000005</v>
      </c>
      <c r="BY16" s="49">
        <f t="shared" si="46"/>
        <v>80.10170000000005</v>
      </c>
      <c r="BZ16" s="32">
        <f t="shared" si="47"/>
        <v>42.97870920000003</v>
      </c>
      <c r="CA16" s="49">
        <f t="shared" si="48"/>
        <v>0.8694952000000006</v>
      </c>
      <c r="CC16" s="49"/>
      <c r="CD16" s="49">
        <f t="shared" si="49"/>
        <v>2302.99365</v>
      </c>
      <c r="CE16" s="32">
        <f t="shared" si="50"/>
        <v>2302.99365</v>
      </c>
      <c r="CF16" s="49">
        <f t="shared" si="51"/>
        <v>1235.6753274</v>
      </c>
      <c r="CG16" s="49">
        <f t="shared" si="52"/>
        <v>24.9987444</v>
      </c>
      <c r="CI16" s="49"/>
      <c r="CJ16" s="49">
        <f t="shared" si="53"/>
        <v>1449.715175</v>
      </c>
      <c r="CK16" s="32">
        <f t="shared" si="54"/>
        <v>1449.715175</v>
      </c>
      <c r="CL16" s="49">
        <f t="shared" si="55"/>
        <v>777.8472483</v>
      </c>
      <c r="CM16" s="49">
        <f t="shared" si="56"/>
        <v>15.7364998</v>
      </c>
      <c r="CP16" s="32">
        <f t="shared" si="57"/>
        <v>55524.29355</v>
      </c>
      <c r="CQ16" s="49">
        <f t="shared" si="58"/>
        <v>55524.29355</v>
      </c>
      <c r="CR16" s="49">
        <f t="shared" si="59"/>
        <v>29791.6581798</v>
      </c>
      <c r="CS16" s="49">
        <f t="shared" si="60"/>
        <v>602.7101388</v>
      </c>
      <c r="CV16" s="32">
        <f t="shared" si="61"/>
        <v>633.69655</v>
      </c>
      <c r="CW16" s="32">
        <f t="shared" si="62"/>
        <v>633.69655</v>
      </c>
      <c r="CX16" s="49">
        <f t="shared" si="63"/>
        <v>340.01100779999996</v>
      </c>
      <c r="CY16" s="49">
        <f t="shared" si="64"/>
        <v>6.8787068</v>
      </c>
      <c r="DB16" s="32">
        <f t="shared" si="65"/>
        <v>77410.8969</v>
      </c>
      <c r="DC16" s="49">
        <f t="shared" si="66"/>
        <v>77410.8969</v>
      </c>
      <c r="DD16" s="49">
        <f t="shared" si="67"/>
        <v>41534.9540244</v>
      </c>
      <c r="DE16" s="49">
        <f t="shared" si="68"/>
        <v>840.2868264</v>
      </c>
      <c r="DH16" s="32">
        <f t="shared" si="69"/>
        <v>746.5925</v>
      </c>
      <c r="DI16" s="49">
        <f t="shared" si="70"/>
        <v>746.5925</v>
      </c>
      <c r="DJ16" s="49">
        <f t="shared" si="71"/>
        <v>400.58553</v>
      </c>
      <c r="DK16" s="49">
        <f t="shared" si="72"/>
        <v>8.10418</v>
      </c>
      <c r="DN16" s="32">
        <f t="shared" si="73"/>
        <v>516.4047750000001</v>
      </c>
      <c r="DO16" s="49">
        <f t="shared" si="74"/>
        <v>516.4047750000001</v>
      </c>
      <c r="DP16" s="49">
        <f t="shared" si="75"/>
        <v>277.07789790000004</v>
      </c>
      <c r="DQ16" s="49">
        <f t="shared" si="76"/>
        <v>5.6055174</v>
      </c>
      <c r="DT16" s="49">
        <f t="shared" si="77"/>
        <v>318.4531</v>
      </c>
      <c r="DU16" s="49">
        <f t="shared" si="78"/>
        <v>318.4531</v>
      </c>
      <c r="DV16" s="49">
        <f t="shared" si="79"/>
        <v>170.8665756</v>
      </c>
      <c r="DW16" s="49">
        <f t="shared" si="80"/>
        <v>3.4567736</v>
      </c>
      <c r="DZ16" s="32">
        <f t="shared" si="81"/>
        <v>7.95435</v>
      </c>
      <c r="EA16" s="49">
        <f t="shared" si="82"/>
        <v>7.95435</v>
      </c>
      <c r="EB16" s="49">
        <f t="shared" si="83"/>
        <v>4.2679206</v>
      </c>
      <c r="EC16" s="49">
        <f t="shared" si="84"/>
        <v>0.08634359999999999</v>
      </c>
      <c r="EF16" s="32">
        <f t="shared" si="85"/>
        <v>1960.1890749999998</v>
      </c>
      <c r="EG16" s="32">
        <f t="shared" si="86"/>
        <v>1960.1890749999998</v>
      </c>
      <c r="EH16" s="49">
        <f t="shared" si="87"/>
        <v>1051.7429247</v>
      </c>
      <c r="EI16" s="49">
        <f t="shared" si="88"/>
        <v>21.2776382</v>
      </c>
      <c r="EL16" s="32">
        <f t="shared" si="89"/>
        <v>4713.85945</v>
      </c>
      <c r="EM16" s="49">
        <f t="shared" si="90"/>
        <v>4713.85945</v>
      </c>
      <c r="EN16" s="49">
        <f t="shared" si="91"/>
        <v>2529.2296482</v>
      </c>
      <c r="EO16" s="49">
        <f t="shared" si="92"/>
        <v>51.1684292</v>
      </c>
      <c r="ER16" s="32">
        <f t="shared" si="93"/>
        <v>1344.4247</v>
      </c>
      <c r="ES16" s="49">
        <f t="shared" si="94"/>
        <v>1344.4247</v>
      </c>
      <c r="ET16" s="49">
        <f t="shared" si="95"/>
        <v>721.3534572</v>
      </c>
      <c r="EU16" s="49">
        <f t="shared" si="96"/>
        <v>14.5935832</v>
      </c>
      <c r="EV16"/>
    </row>
    <row r="17" spans="1:152" ht="12.75">
      <c r="A17" s="76">
        <v>45748</v>
      </c>
      <c r="C17" s="34">
        <v>5295000</v>
      </c>
      <c r="D17" s="34">
        <v>697750</v>
      </c>
      <c r="E17" s="34">
        <f t="shared" si="0"/>
        <v>5992750</v>
      </c>
      <c r="F17" s="34">
        <v>374379</v>
      </c>
      <c r="G17" s="34">
        <v>7574</v>
      </c>
      <c r="I17" s="69">
        <f>O17+U17+AM17+AY17+AG17+BE17+BK17+BQ17+CC17+CI17+CO17+CU17+DA17+DM17+DY17+EE17+EK17+EQ17+AA17+AS17+DG17+DS17+BW17</f>
        <v>1702625.7824999997</v>
      </c>
      <c r="J17" s="69">
        <f t="shared" si="1"/>
        <v>224363.954625</v>
      </c>
      <c r="K17" s="69">
        <f t="shared" si="2"/>
        <v>1926989.7371249998</v>
      </c>
      <c r="L17" s="69">
        <f t="shared" si="3"/>
        <v>120382.8777765</v>
      </c>
      <c r="M17" s="69">
        <f t="shared" si="4"/>
        <v>2435.4462089999997</v>
      </c>
      <c r="O17" s="32">
        <f>C17*$P$6</f>
        <v>233991.345</v>
      </c>
      <c r="P17" s="32">
        <f t="shared" si="5"/>
        <v>30834.27025</v>
      </c>
      <c r="Q17" s="32">
        <f t="shared" si="6"/>
        <v>264825.61525000003</v>
      </c>
      <c r="R17" s="49">
        <f t="shared" si="7"/>
        <v>16544.182389</v>
      </c>
      <c r="S17" s="49">
        <f t="shared" si="8"/>
        <v>334.702634</v>
      </c>
      <c r="U17" s="32">
        <f>C17*$V$6</f>
        <v>238751.55</v>
      </c>
      <c r="V17" s="49">
        <f t="shared" si="9"/>
        <v>31461.547499999997</v>
      </c>
      <c r="W17" s="49">
        <f t="shared" si="10"/>
        <v>270213.0975</v>
      </c>
      <c r="X17" s="49">
        <f t="shared" si="11"/>
        <v>16880.74911</v>
      </c>
      <c r="Y17" s="49">
        <f t="shared" si="12"/>
        <v>341.51166</v>
      </c>
      <c r="AA17" s="32">
        <f>C17*$AB$6</f>
        <v>7983.271500000001</v>
      </c>
      <c r="AB17" s="49">
        <f t="shared" si="13"/>
        <v>1051.997675</v>
      </c>
      <c r="AC17" s="49">
        <f t="shared" si="14"/>
        <v>9035.269175000001</v>
      </c>
      <c r="AD17" s="49">
        <f t="shared" si="15"/>
        <v>564.4512183</v>
      </c>
      <c r="AE17" s="49">
        <f t="shared" si="16"/>
        <v>11.4193198</v>
      </c>
      <c r="AG17" s="32">
        <f t="shared" si="97"/>
        <v>2965.2</v>
      </c>
      <c r="AH17" s="32">
        <f t="shared" si="17"/>
        <v>390.73999999999995</v>
      </c>
      <c r="AI17" s="32">
        <f t="shared" si="18"/>
        <v>3355.9399999999996</v>
      </c>
      <c r="AJ17" s="49">
        <f t="shared" si="19"/>
        <v>209.65223999999998</v>
      </c>
      <c r="AK17" s="49">
        <f t="shared" si="20"/>
        <v>4.24144</v>
      </c>
      <c r="AM17" s="32">
        <f>C17*$AN$6</f>
        <v>44939.1945</v>
      </c>
      <c r="AN17" s="32">
        <f t="shared" si="21"/>
        <v>5921.874024999999</v>
      </c>
      <c r="AO17" s="32">
        <f t="shared" si="22"/>
        <v>50861.068524999995</v>
      </c>
      <c r="AP17" s="49">
        <f t="shared" si="23"/>
        <v>3177.3920108999996</v>
      </c>
      <c r="AQ17" s="49">
        <f t="shared" si="24"/>
        <v>64.28129539999999</v>
      </c>
      <c r="AS17" s="49">
        <f>C17*$AT$6</f>
        <v>11402.7825</v>
      </c>
      <c r="AT17" s="32">
        <f t="shared" si="25"/>
        <v>1502.604625</v>
      </c>
      <c r="AU17" s="49">
        <f t="shared" si="26"/>
        <v>12905.387125</v>
      </c>
      <c r="AV17" s="49">
        <f t="shared" si="27"/>
        <v>806.2251765</v>
      </c>
      <c r="AW17" s="49">
        <f t="shared" si="28"/>
        <v>16.310609</v>
      </c>
      <c r="AY17" s="49">
        <f>C17*$AZ$6</f>
        <v>12203.916000000001</v>
      </c>
      <c r="AZ17" s="32">
        <f t="shared" si="29"/>
        <v>1608.1742000000002</v>
      </c>
      <c r="BA17" s="49">
        <f t="shared" si="30"/>
        <v>13812.0902</v>
      </c>
      <c r="BB17" s="49">
        <f t="shared" si="31"/>
        <v>862.8687192</v>
      </c>
      <c r="BC17" s="49">
        <f t="shared" si="32"/>
        <v>17.4565552</v>
      </c>
      <c r="BE17" s="32">
        <f>C17*$BF$6</f>
        <v>12369.6495</v>
      </c>
      <c r="BF17" s="32">
        <f t="shared" si="33"/>
        <v>1630.013775</v>
      </c>
      <c r="BG17" s="32">
        <f t="shared" si="34"/>
        <v>13999.663274999999</v>
      </c>
      <c r="BH17" s="49">
        <f t="shared" si="35"/>
        <v>874.5867818999999</v>
      </c>
      <c r="BI17" s="49">
        <f t="shared" si="36"/>
        <v>17.693621399999998</v>
      </c>
      <c r="BK17" s="32">
        <f>C17*$BL$6</f>
        <v>2458.4685</v>
      </c>
      <c r="BL17" s="32">
        <f t="shared" si="37"/>
        <v>323.965325</v>
      </c>
      <c r="BM17" s="49">
        <f t="shared" si="38"/>
        <v>2782.433825</v>
      </c>
      <c r="BN17" s="49">
        <f t="shared" si="39"/>
        <v>173.8241697</v>
      </c>
      <c r="BO17" s="49">
        <f t="shared" si="40"/>
        <v>3.5166082000000003</v>
      </c>
      <c r="BQ17" s="32">
        <f>C17*$BR$6</f>
        <v>19952.0895</v>
      </c>
      <c r="BR17" s="32">
        <f t="shared" si="41"/>
        <v>2629.191775</v>
      </c>
      <c r="BS17" s="49">
        <f t="shared" si="42"/>
        <v>22581.281274999998</v>
      </c>
      <c r="BT17" s="49">
        <f t="shared" si="43"/>
        <v>1410.6975099</v>
      </c>
      <c r="BU17" s="49">
        <f t="shared" si="44"/>
        <v>28.5395894</v>
      </c>
      <c r="BW17" s="32">
        <f t="shared" si="98"/>
        <v>607.8660000000004</v>
      </c>
      <c r="BX17" s="32">
        <f t="shared" si="45"/>
        <v>80.10170000000005</v>
      </c>
      <c r="BY17" s="49">
        <f t="shared" si="46"/>
        <v>687.9677000000005</v>
      </c>
      <c r="BZ17" s="32">
        <f t="shared" si="47"/>
        <v>42.97870920000003</v>
      </c>
      <c r="CA17" s="49">
        <f t="shared" si="48"/>
        <v>0.8694952000000006</v>
      </c>
      <c r="CC17" s="49">
        <f t="shared" si="99"/>
        <v>17476.677</v>
      </c>
      <c r="CD17" s="49">
        <f t="shared" si="49"/>
        <v>2302.99365</v>
      </c>
      <c r="CE17" s="32">
        <f t="shared" si="50"/>
        <v>19779.67065</v>
      </c>
      <c r="CF17" s="49">
        <f t="shared" si="51"/>
        <v>1235.6753274</v>
      </c>
      <c r="CG17" s="49">
        <f t="shared" si="52"/>
        <v>24.9987444</v>
      </c>
      <c r="CI17" s="49">
        <f t="shared" si="100"/>
        <v>11001.4215</v>
      </c>
      <c r="CJ17" s="49">
        <f t="shared" si="53"/>
        <v>1449.715175</v>
      </c>
      <c r="CK17" s="32">
        <f t="shared" si="54"/>
        <v>12451.136675</v>
      </c>
      <c r="CL17" s="49">
        <f t="shared" si="55"/>
        <v>777.8472483</v>
      </c>
      <c r="CM17" s="49">
        <f t="shared" si="56"/>
        <v>15.7364998</v>
      </c>
      <c r="CO17" s="32">
        <f t="shared" si="101"/>
        <v>421355.979</v>
      </c>
      <c r="CP17" s="32">
        <f t="shared" si="57"/>
        <v>55524.29355</v>
      </c>
      <c r="CQ17" s="49">
        <f t="shared" si="58"/>
        <v>476880.27255</v>
      </c>
      <c r="CR17" s="49">
        <f t="shared" si="59"/>
        <v>29791.6581798</v>
      </c>
      <c r="CS17" s="49">
        <f t="shared" si="60"/>
        <v>602.7101388</v>
      </c>
      <c r="CU17" s="32">
        <f t="shared" si="102"/>
        <v>4808.919</v>
      </c>
      <c r="CV17" s="32">
        <f t="shared" si="61"/>
        <v>633.69655</v>
      </c>
      <c r="CW17" s="32">
        <f t="shared" si="62"/>
        <v>5442.6155499999995</v>
      </c>
      <c r="CX17" s="49">
        <f t="shared" si="63"/>
        <v>340.01100779999996</v>
      </c>
      <c r="CY17" s="49">
        <f t="shared" si="64"/>
        <v>6.8787068</v>
      </c>
      <c r="DA17" s="32">
        <f t="shared" si="103"/>
        <v>587446.362</v>
      </c>
      <c r="DB17" s="32">
        <f t="shared" si="65"/>
        <v>77410.8969</v>
      </c>
      <c r="DC17" s="49">
        <f t="shared" si="66"/>
        <v>664857.2589</v>
      </c>
      <c r="DD17" s="49">
        <f t="shared" si="67"/>
        <v>41534.9540244</v>
      </c>
      <c r="DE17" s="49">
        <f t="shared" si="68"/>
        <v>840.2868264</v>
      </c>
      <c r="DG17" s="32">
        <f t="shared" si="104"/>
        <v>5665.65</v>
      </c>
      <c r="DH17" s="32">
        <f t="shared" si="69"/>
        <v>746.5925</v>
      </c>
      <c r="DI17" s="49">
        <f t="shared" si="70"/>
        <v>6412.242499999999</v>
      </c>
      <c r="DJ17" s="49">
        <f t="shared" si="71"/>
        <v>400.58553</v>
      </c>
      <c r="DK17" s="49">
        <f t="shared" si="72"/>
        <v>8.10418</v>
      </c>
      <c r="DM17" s="32">
        <f t="shared" si="105"/>
        <v>3918.8295000000003</v>
      </c>
      <c r="DN17" s="32">
        <f t="shared" si="73"/>
        <v>516.4047750000001</v>
      </c>
      <c r="DO17" s="49">
        <f t="shared" si="74"/>
        <v>4435.234275000001</v>
      </c>
      <c r="DP17" s="49">
        <f t="shared" si="75"/>
        <v>277.07789790000004</v>
      </c>
      <c r="DQ17" s="49">
        <f t="shared" si="76"/>
        <v>5.6055174</v>
      </c>
      <c r="DS17" s="32">
        <f t="shared" si="106"/>
        <v>2416.638</v>
      </c>
      <c r="DT17" s="49">
        <f t="shared" si="77"/>
        <v>318.4531</v>
      </c>
      <c r="DU17" s="49">
        <f t="shared" si="78"/>
        <v>2735.0911</v>
      </c>
      <c r="DV17" s="49">
        <f t="shared" si="79"/>
        <v>170.8665756</v>
      </c>
      <c r="DW17" s="49">
        <f t="shared" si="80"/>
        <v>3.4567736</v>
      </c>
      <c r="DY17" s="32">
        <f t="shared" si="107"/>
        <v>60.363</v>
      </c>
      <c r="DZ17" s="32">
        <f t="shared" si="81"/>
        <v>7.95435</v>
      </c>
      <c r="EA17" s="49">
        <f t="shared" si="82"/>
        <v>68.31735</v>
      </c>
      <c r="EB17" s="49">
        <f t="shared" si="83"/>
        <v>4.2679206</v>
      </c>
      <c r="EC17" s="49">
        <f t="shared" si="84"/>
        <v>0.08634359999999999</v>
      </c>
      <c r="EE17" s="32">
        <f t="shared" si="108"/>
        <v>14875.243499999999</v>
      </c>
      <c r="EF17" s="32">
        <f t="shared" si="85"/>
        <v>1960.1890749999998</v>
      </c>
      <c r="EG17" s="32">
        <f t="shared" si="86"/>
        <v>16835.432575</v>
      </c>
      <c r="EH17" s="49">
        <f t="shared" si="87"/>
        <v>1051.7429247</v>
      </c>
      <c r="EI17" s="49">
        <f t="shared" si="88"/>
        <v>21.2776382</v>
      </c>
      <c r="EK17" s="32">
        <f t="shared" si="109"/>
        <v>35771.961</v>
      </c>
      <c r="EL17" s="32">
        <f t="shared" si="89"/>
        <v>4713.85945</v>
      </c>
      <c r="EM17" s="49">
        <f t="shared" si="90"/>
        <v>40485.82045</v>
      </c>
      <c r="EN17" s="49">
        <f t="shared" si="91"/>
        <v>2529.2296482</v>
      </c>
      <c r="EO17" s="49">
        <f t="shared" si="92"/>
        <v>51.1684292</v>
      </c>
      <c r="EQ17" s="32">
        <f t="shared" si="110"/>
        <v>10202.406</v>
      </c>
      <c r="ER17" s="32">
        <f t="shared" si="93"/>
        <v>1344.4247</v>
      </c>
      <c r="ES17" s="49">
        <f t="shared" si="94"/>
        <v>11546.8307</v>
      </c>
      <c r="ET17" s="49">
        <f t="shared" si="95"/>
        <v>721.3534572</v>
      </c>
      <c r="EU17" s="49">
        <f t="shared" si="96"/>
        <v>14.5935832</v>
      </c>
      <c r="EV17"/>
    </row>
    <row r="18" spans="1:152" ht="12.75">
      <c r="A18" s="76">
        <v>45931</v>
      </c>
      <c r="D18" s="34">
        <v>565375</v>
      </c>
      <c r="E18" s="34">
        <f t="shared" si="0"/>
        <v>565375</v>
      </c>
      <c r="F18" s="34">
        <v>374379</v>
      </c>
      <c r="G18" s="34">
        <v>7574</v>
      </c>
      <c r="I18" s="69"/>
      <c r="J18" s="69">
        <f t="shared" si="1"/>
        <v>181798.31006250004</v>
      </c>
      <c r="K18" s="69">
        <f t="shared" si="2"/>
        <v>181798.31006250004</v>
      </c>
      <c r="L18" s="69">
        <f t="shared" si="3"/>
        <v>120382.8777765</v>
      </c>
      <c r="M18" s="69">
        <f t="shared" si="4"/>
        <v>2435.4462089999997</v>
      </c>
      <c r="P18" s="32">
        <f t="shared" si="5"/>
        <v>24984.486625</v>
      </c>
      <c r="Q18" s="32">
        <f t="shared" si="6"/>
        <v>24984.486625</v>
      </c>
      <c r="R18" s="49">
        <f t="shared" si="7"/>
        <v>16544.182389</v>
      </c>
      <c r="S18" s="49">
        <f t="shared" si="8"/>
        <v>334.702634</v>
      </c>
      <c r="V18" s="49">
        <f t="shared" si="9"/>
        <v>25492.758749999997</v>
      </c>
      <c r="W18" s="49">
        <f t="shared" si="10"/>
        <v>25492.758749999997</v>
      </c>
      <c r="X18" s="49">
        <f t="shared" si="11"/>
        <v>16880.74911</v>
      </c>
      <c r="Y18" s="49">
        <f t="shared" si="12"/>
        <v>341.51166</v>
      </c>
      <c r="AB18" s="49">
        <f t="shared" si="13"/>
        <v>852.4158875</v>
      </c>
      <c r="AC18" s="49">
        <f t="shared" si="14"/>
        <v>852.4158875</v>
      </c>
      <c r="AD18" s="49">
        <f t="shared" si="15"/>
        <v>564.4512183</v>
      </c>
      <c r="AE18" s="49">
        <f t="shared" si="16"/>
        <v>11.4193198</v>
      </c>
      <c r="AH18" s="32">
        <f t="shared" si="17"/>
        <v>316.60999999999996</v>
      </c>
      <c r="AI18" s="32">
        <f t="shared" si="18"/>
        <v>316.60999999999996</v>
      </c>
      <c r="AJ18" s="49">
        <f t="shared" si="19"/>
        <v>209.65223999999998</v>
      </c>
      <c r="AK18" s="49">
        <f t="shared" si="20"/>
        <v>4.24144</v>
      </c>
      <c r="AN18" s="32">
        <f t="shared" si="21"/>
        <v>4798.3941625</v>
      </c>
      <c r="AO18" s="32">
        <f t="shared" si="22"/>
        <v>4798.3941625</v>
      </c>
      <c r="AP18" s="49">
        <f t="shared" si="23"/>
        <v>3177.3920108999996</v>
      </c>
      <c r="AQ18" s="49">
        <f t="shared" si="24"/>
        <v>64.28129539999999</v>
      </c>
      <c r="AS18" s="49"/>
      <c r="AT18" s="32">
        <f t="shared" si="25"/>
        <v>1217.5350625</v>
      </c>
      <c r="AU18" s="49">
        <f t="shared" si="26"/>
        <v>1217.5350625</v>
      </c>
      <c r="AV18" s="49">
        <f t="shared" si="27"/>
        <v>806.2251765</v>
      </c>
      <c r="AW18" s="49">
        <f t="shared" si="28"/>
        <v>16.310609</v>
      </c>
      <c r="AY18" s="49"/>
      <c r="AZ18" s="32">
        <f t="shared" si="29"/>
        <v>1303.0763</v>
      </c>
      <c r="BA18" s="49">
        <f t="shared" si="30"/>
        <v>1303.0763</v>
      </c>
      <c r="BB18" s="49">
        <f t="shared" si="31"/>
        <v>862.8687192</v>
      </c>
      <c r="BC18" s="49">
        <f t="shared" si="32"/>
        <v>17.4565552</v>
      </c>
      <c r="BF18" s="32">
        <f t="shared" si="33"/>
        <v>1320.7725375</v>
      </c>
      <c r="BG18" s="32">
        <f t="shared" si="34"/>
        <v>1320.7725375</v>
      </c>
      <c r="BH18" s="49">
        <f t="shared" si="35"/>
        <v>874.5867818999999</v>
      </c>
      <c r="BI18" s="49">
        <f t="shared" si="36"/>
        <v>17.693621399999998</v>
      </c>
      <c r="BL18" s="32">
        <f t="shared" si="37"/>
        <v>262.50361250000003</v>
      </c>
      <c r="BM18" s="49">
        <f t="shared" si="38"/>
        <v>262.50361250000003</v>
      </c>
      <c r="BN18" s="49">
        <f t="shared" si="39"/>
        <v>173.8241697</v>
      </c>
      <c r="BO18" s="49">
        <f t="shared" si="40"/>
        <v>3.5166082000000003</v>
      </c>
      <c r="BR18" s="32">
        <f t="shared" si="41"/>
        <v>2130.3895374999997</v>
      </c>
      <c r="BS18" s="49">
        <f t="shared" si="42"/>
        <v>2130.3895374999997</v>
      </c>
      <c r="BT18" s="49">
        <f t="shared" si="43"/>
        <v>1410.6975099</v>
      </c>
      <c r="BU18" s="49">
        <f t="shared" si="44"/>
        <v>28.5395894</v>
      </c>
      <c r="BX18" s="32">
        <f t="shared" si="45"/>
        <v>64.90505000000005</v>
      </c>
      <c r="BY18" s="49">
        <f t="shared" si="46"/>
        <v>64.90505000000005</v>
      </c>
      <c r="BZ18" s="32">
        <f t="shared" si="47"/>
        <v>42.97870920000003</v>
      </c>
      <c r="CA18" s="49">
        <f t="shared" si="48"/>
        <v>0.8694952000000006</v>
      </c>
      <c r="CC18" s="49"/>
      <c r="CD18" s="49">
        <f t="shared" si="49"/>
        <v>1866.076725</v>
      </c>
      <c r="CE18" s="32">
        <f t="shared" si="50"/>
        <v>1866.076725</v>
      </c>
      <c r="CF18" s="49">
        <f t="shared" si="51"/>
        <v>1235.6753274</v>
      </c>
      <c r="CG18" s="49">
        <f t="shared" si="52"/>
        <v>24.9987444</v>
      </c>
      <c r="CI18" s="49"/>
      <c r="CJ18" s="49">
        <f t="shared" si="53"/>
        <v>1174.6796375000001</v>
      </c>
      <c r="CK18" s="32">
        <f t="shared" si="54"/>
        <v>1174.6796375000001</v>
      </c>
      <c r="CL18" s="49">
        <f t="shared" si="55"/>
        <v>777.8472483</v>
      </c>
      <c r="CM18" s="49">
        <f t="shared" si="56"/>
        <v>15.7364998</v>
      </c>
      <c r="CP18" s="32">
        <f t="shared" si="57"/>
        <v>44990.394075</v>
      </c>
      <c r="CQ18" s="49">
        <f t="shared" si="58"/>
        <v>44990.394075</v>
      </c>
      <c r="CR18" s="49">
        <f t="shared" si="59"/>
        <v>29791.6581798</v>
      </c>
      <c r="CS18" s="49">
        <f t="shared" si="60"/>
        <v>602.7101388</v>
      </c>
      <c r="CV18" s="32">
        <f t="shared" si="61"/>
        <v>513.473575</v>
      </c>
      <c r="CW18" s="32">
        <f t="shared" si="62"/>
        <v>513.473575</v>
      </c>
      <c r="CX18" s="49">
        <f t="shared" si="63"/>
        <v>340.01100779999996</v>
      </c>
      <c r="CY18" s="49">
        <f t="shared" si="64"/>
        <v>6.8787068</v>
      </c>
      <c r="DB18" s="32">
        <f t="shared" si="65"/>
        <v>62724.737850000005</v>
      </c>
      <c r="DC18" s="49">
        <f t="shared" si="66"/>
        <v>62724.737850000005</v>
      </c>
      <c r="DD18" s="49">
        <f t="shared" si="67"/>
        <v>41534.9540244</v>
      </c>
      <c r="DE18" s="49">
        <f t="shared" si="68"/>
        <v>840.2868264</v>
      </c>
      <c r="DH18" s="32">
        <f t="shared" si="69"/>
        <v>604.95125</v>
      </c>
      <c r="DI18" s="49">
        <f t="shared" si="70"/>
        <v>604.95125</v>
      </c>
      <c r="DJ18" s="49">
        <f t="shared" si="71"/>
        <v>400.58553</v>
      </c>
      <c r="DK18" s="49">
        <f t="shared" si="72"/>
        <v>8.10418</v>
      </c>
      <c r="DN18" s="32">
        <f t="shared" si="73"/>
        <v>418.43403750000004</v>
      </c>
      <c r="DO18" s="49">
        <f t="shared" si="74"/>
        <v>418.43403750000004</v>
      </c>
      <c r="DP18" s="49">
        <f t="shared" si="75"/>
        <v>277.07789790000004</v>
      </c>
      <c r="DQ18" s="49">
        <f t="shared" si="76"/>
        <v>5.6055174</v>
      </c>
      <c r="DT18" s="49">
        <f t="shared" si="77"/>
        <v>258.03715</v>
      </c>
      <c r="DU18" s="49">
        <f t="shared" si="78"/>
        <v>258.03715</v>
      </c>
      <c r="DV18" s="49">
        <f t="shared" si="79"/>
        <v>170.8665756</v>
      </c>
      <c r="DW18" s="49">
        <f t="shared" si="80"/>
        <v>3.4567736</v>
      </c>
      <c r="DZ18" s="32">
        <f t="shared" si="81"/>
        <v>6.445275</v>
      </c>
      <c r="EA18" s="49">
        <f t="shared" si="82"/>
        <v>6.445275</v>
      </c>
      <c r="EB18" s="49">
        <f t="shared" si="83"/>
        <v>4.2679206</v>
      </c>
      <c r="EC18" s="49">
        <f t="shared" si="84"/>
        <v>0.08634359999999999</v>
      </c>
      <c r="EF18" s="32">
        <f t="shared" si="85"/>
        <v>1588.3079874999999</v>
      </c>
      <c r="EG18" s="32">
        <f t="shared" si="86"/>
        <v>1588.3079874999999</v>
      </c>
      <c r="EH18" s="49">
        <f t="shared" si="87"/>
        <v>1051.7429247</v>
      </c>
      <c r="EI18" s="49">
        <f t="shared" si="88"/>
        <v>21.2776382</v>
      </c>
      <c r="EL18" s="32">
        <f t="shared" si="89"/>
        <v>3819.560425</v>
      </c>
      <c r="EM18" s="49">
        <f t="shared" si="90"/>
        <v>3819.560425</v>
      </c>
      <c r="EN18" s="49">
        <f t="shared" si="91"/>
        <v>2529.2296482</v>
      </c>
      <c r="EO18" s="49">
        <f t="shared" si="92"/>
        <v>51.1684292</v>
      </c>
      <c r="ER18" s="32">
        <f t="shared" si="93"/>
        <v>1089.36455</v>
      </c>
      <c r="ES18" s="49">
        <f t="shared" si="94"/>
        <v>1089.36455</v>
      </c>
      <c r="ET18" s="49">
        <f t="shared" si="95"/>
        <v>721.3534572</v>
      </c>
      <c r="EU18" s="49">
        <f t="shared" si="96"/>
        <v>14.5935832</v>
      </c>
      <c r="EV18"/>
    </row>
    <row r="19" spans="1:152" ht="12.75">
      <c r="A19" s="76">
        <v>46113</v>
      </c>
      <c r="C19" s="34">
        <v>5435000</v>
      </c>
      <c r="D19" s="34">
        <v>565375</v>
      </c>
      <c r="E19" s="34">
        <f t="shared" si="0"/>
        <v>6000375</v>
      </c>
      <c r="F19" s="34">
        <v>374379</v>
      </c>
      <c r="G19" s="34">
        <v>7574</v>
      </c>
      <c r="I19" s="69">
        <f>O19+U19+AM19+AY19+AG19+BE19+BK19+BQ19+CC19+CI19+CO19+CU19+DA19+DM19+DY19+EE19+EK19+EQ19+AA19+AS19+DG19+DS19+BW19</f>
        <v>1747643.2725</v>
      </c>
      <c r="J19" s="69">
        <f t="shared" si="1"/>
        <v>181798.31006250004</v>
      </c>
      <c r="K19" s="69">
        <f t="shared" si="2"/>
        <v>1929441.5825625</v>
      </c>
      <c r="L19" s="69">
        <f t="shared" si="3"/>
        <v>120382.8777765</v>
      </c>
      <c r="M19" s="69">
        <f t="shared" si="4"/>
        <v>2435.4462089999997</v>
      </c>
      <c r="O19" s="32">
        <f>C19*$P$6</f>
        <v>240178.085</v>
      </c>
      <c r="P19" s="32">
        <f t="shared" si="5"/>
        <v>24984.486625</v>
      </c>
      <c r="Q19" s="32">
        <f t="shared" si="6"/>
        <v>265162.571625</v>
      </c>
      <c r="R19" s="49">
        <f t="shared" si="7"/>
        <v>16544.182389</v>
      </c>
      <c r="S19" s="49">
        <f t="shared" si="8"/>
        <v>334.702634</v>
      </c>
      <c r="U19" s="32">
        <f>C19*$V$6</f>
        <v>245064.15</v>
      </c>
      <c r="V19" s="49">
        <f t="shared" si="9"/>
        <v>25492.758749999997</v>
      </c>
      <c r="W19" s="49">
        <f t="shared" si="10"/>
        <v>270556.90875</v>
      </c>
      <c r="X19" s="49">
        <f t="shared" si="11"/>
        <v>16880.74911</v>
      </c>
      <c r="Y19" s="49">
        <f t="shared" si="12"/>
        <v>341.51166</v>
      </c>
      <c r="AA19" s="32">
        <f>C19*$AB$6</f>
        <v>8194.3495</v>
      </c>
      <c r="AB19" s="49">
        <f t="shared" si="13"/>
        <v>852.4158875</v>
      </c>
      <c r="AC19" s="49">
        <f t="shared" si="14"/>
        <v>9046.7653875</v>
      </c>
      <c r="AD19" s="49">
        <f t="shared" si="15"/>
        <v>564.4512183</v>
      </c>
      <c r="AE19" s="49">
        <f t="shared" si="16"/>
        <v>11.4193198</v>
      </c>
      <c r="AG19" s="32">
        <f t="shared" si="97"/>
        <v>3043.6</v>
      </c>
      <c r="AH19" s="32">
        <f t="shared" si="17"/>
        <v>316.60999999999996</v>
      </c>
      <c r="AI19" s="32">
        <f t="shared" si="18"/>
        <v>3360.21</v>
      </c>
      <c r="AJ19" s="49">
        <f t="shared" si="19"/>
        <v>209.65223999999998</v>
      </c>
      <c r="AK19" s="49">
        <f t="shared" si="20"/>
        <v>4.24144</v>
      </c>
      <c r="AM19" s="32">
        <f>C19*$AN$6</f>
        <v>46127.388499999994</v>
      </c>
      <c r="AN19" s="32">
        <f t="shared" si="21"/>
        <v>4798.3941625</v>
      </c>
      <c r="AO19" s="32">
        <f t="shared" si="22"/>
        <v>50925.782662499994</v>
      </c>
      <c r="AP19" s="49">
        <f t="shared" si="23"/>
        <v>3177.3920108999996</v>
      </c>
      <c r="AQ19" s="49">
        <f t="shared" si="24"/>
        <v>64.28129539999999</v>
      </c>
      <c r="AS19" s="49">
        <f>C19*$AT$6</f>
        <v>11704.272500000001</v>
      </c>
      <c r="AT19" s="32">
        <f t="shared" si="25"/>
        <v>1217.5350625</v>
      </c>
      <c r="AU19" s="49">
        <f t="shared" si="26"/>
        <v>12921.807562500002</v>
      </c>
      <c r="AV19" s="49">
        <f t="shared" si="27"/>
        <v>806.2251765</v>
      </c>
      <c r="AW19" s="49">
        <f t="shared" si="28"/>
        <v>16.310609</v>
      </c>
      <c r="AY19" s="49">
        <f>C19*$AZ$6</f>
        <v>12526.588</v>
      </c>
      <c r="AZ19" s="32">
        <f t="shared" si="29"/>
        <v>1303.0763</v>
      </c>
      <c r="BA19" s="49">
        <f t="shared" si="30"/>
        <v>13829.6643</v>
      </c>
      <c r="BB19" s="49">
        <f t="shared" si="31"/>
        <v>862.8687192</v>
      </c>
      <c r="BC19" s="49">
        <f t="shared" si="32"/>
        <v>17.4565552</v>
      </c>
      <c r="BE19" s="32">
        <f>C19*$BF$6</f>
        <v>12696.7035</v>
      </c>
      <c r="BF19" s="32">
        <f t="shared" si="33"/>
        <v>1320.7725375</v>
      </c>
      <c r="BG19" s="32">
        <f t="shared" si="34"/>
        <v>14017.4760375</v>
      </c>
      <c r="BH19" s="49">
        <f t="shared" si="35"/>
        <v>874.5867818999999</v>
      </c>
      <c r="BI19" s="49">
        <f t="shared" si="36"/>
        <v>17.693621399999998</v>
      </c>
      <c r="BK19" s="32">
        <f>C19*$BL$6</f>
        <v>2523.4705</v>
      </c>
      <c r="BL19" s="32">
        <f t="shared" si="37"/>
        <v>262.50361250000003</v>
      </c>
      <c r="BM19" s="49">
        <f t="shared" si="38"/>
        <v>2785.9741125</v>
      </c>
      <c r="BN19" s="49">
        <f t="shared" si="39"/>
        <v>173.8241697</v>
      </c>
      <c r="BO19" s="49">
        <f t="shared" si="40"/>
        <v>3.5166082000000003</v>
      </c>
      <c r="BQ19" s="32">
        <f>C19*$BR$6</f>
        <v>20479.623499999998</v>
      </c>
      <c r="BR19" s="32">
        <f t="shared" si="41"/>
        <v>2130.3895374999997</v>
      </c>
      <c r="BS19" s="49">
        <f t="shared" si="42"/>
        <v>22610.013037499997</v>
      </c>
      <c r="BT19" s="49">
        <f t="shared" si="43"/>
        <v>1410.6975099</v>
      </c>
      <c r="BU19" s="49">
        <f t="shared" si="44"/>
        <v>28.5395894</v>
      </c>
      <c r="BW19" s="32">
        <f t="shared" si="98"/>
        <v>623.9380000000004</v>
      </c>
      <c r="BX19" s="32">
        <f t="shared" si="45"/>
        <v>64.90505000000005</v>
      </c>
      <c r="BY19" s="49">
        <f t="shared" si="46"/>
        <v>688.8430500000005</v>
      </c>
      <c r="BZ19" s="32">
        <f t="shared" si="47"/>
        <v>42.97870920000003</v>
      </c>
      <c r="CA19" s="49">
        <f t="shared" si="48"/>
        <v>0.8694952000000006</v>
      </c>
      <c r="CC19" s="49">
        <f t="shared" si="99"/>
        <v>17938.761</v>
      </c>
      <c r="CD19" s="49">
        <f t="shared" si="49"/>
        <v>1866.076725</v>
      </c>
      <c r="CE19" s="32">
        <f t="shared" si="50"/>
        <v>19804.837724999998</v>
      </c>
      <c r="CF19" s="49">
        <f t="shared" si="51"/>
        <v>1235.6753274</v>
      </c>
      <c r="CG19" s="49">
        <f t="shared" si="52"/>
        <v>24.9987444</v>
      </c>
      <c r="CI19" s="49">
        <f t="shared" si="100"/>
        <v>11292.299500000001</v>
      </c>
      <c r="CJ19" s="49">
        <f t="shared" si="53"/>
        <v>1174.6796375000001</v>
      </c>
      <c r="CK19" s="32">
        <f t="shared" si="54"/>
        <v>12466.9791375</v>
      </c>
      <c r="CL19" s="49">
        <f t="shared" si="55"/>
        <v>777.8472483</v>
      </c>
      <c r="CM19" s="49">
        <f t="shared" si="56"/>
        <v>15.7364998</v>
      </c>
      <c r="CO19" s="32">
        <f t="shared" si="101"/>
        <v>432496.647</v>
      </c>
      <c r="CP19" s="32">
        <f t="shared" si="57"/>
        <v>44990.394075</v>
      </c>
      <c r="CQ19" s="49">
        <f t="shared" si="58"/>
        <v>477487.041075</v>
      </c>
      <c r="CR19" s="49">
        <f t="shared" si="59"/>
        <v>29791.6581798</v>
      </c>
      <c r="CS19" s="49">
        <f t="shared" si="60"/>
        <v>602.7101388</v>
      </c>
      <c r="CU19" s="32">
        <f t="shared" si="102"/>
        <v>4936.067</v>
      </c>
      <c r="CV19" s="32">
        <f t="shared" si="61"/>
        <v>513.473575</v>
      </c>
      <c r="CW19" s="32">
        <f t="shared" si="62"/>
        <v>5449.540575</v>
      </c>
      <c r="CX19" s="49">
        <f t="shared" si="63"/>
        <v>340.01100779999996</v>
      </c>
      <c r="CY19" s="49">
        <f t="shared" si="64"/>
        <v>6.8787068</v>
      </c>
      <c r="DA19" s="32">
        <f t="shared" si="103"/>
        <v>602978.466</v>
      </c>
      <c r="DB19" s="32">
        <f t="shared" si="65"/>
        <v>62724.737850000005</v>
      </c>
      <c r="DC19" s="49">
        <f t="shared" si="66"/>
        <v>665703.20385</v>
      </c>
      <c r="DD19" s="49">
        <f t="shared" si="67"/>
        <v>41534.9540244</v>
      </c>
      <c r="DE19" s="49">
        <f t="shared" si="68"/>
        <v>840.2868264</v>
      </c>
      <c r="DG19" s="32">
        <f t="shared" si="104"/>
        <v>5815.45</v>
      </c>
      <c r="DH19" s="32">
        <f t="shared" si="69"/>
        <v>604.95125</v>
      </c>
      <c r="DI19" s="49">
        <f t="shared" si="70"/>
        <v>6420.40125</v>
      </c>
      <c r="DJ19" s="49">
        <f t="shared" si="71"/>
        <v>400.58553</v>
      </c>
      <c r="DK19" s="49">
        <f t="shared" si="72"/>
        <v>8.10418</v>
      </c>
      <c r="DM19" s="32">
        <f t="shared" si="105"/>
        <v>4022.4435000000003</v>
      </c>
      <c r="DN19" s="32">
        <f t="shared" si="73"/>
        <v>418.43403750000004</v>
      </c>
      <c r="DO19" s="49">
        <f t="shared" si="74"/>
        <v>4440.8775375000005</v>
      </c>
      <c r="DP19" s="49">
        <f t="shared" si="75"/>
        <v>277.07789790000004</v>
      </c>
      <c r="DQ19" s="49">
        <f t="shared" si="76"/>
        <v>5.6055174</v>
      </c>
      <c r="DS19" s="32">
        <f t="shared" si="106"/>
        <v>2480.534</v>
      </c>
      <c r="DT19" s="49">
        <f t="shared" si="77"/>
        <v>258.03715</v>
      </c>
      <c r="DU19" s="49">
        <f t="shared" si="78"/>
        <v>2738.57115</v>
      </c>
      <c r="DV19" s="49">
        <f t="shared" si="79"/>
        <v>170.8665756</v>
      </c>
      <c r="DW19" s="49">
        <f t="shared" si="80"/>
        <v>3.4567736</v>
      </c>
      <c r="DY19" s="32">
        <f t="shared" si="107"/>
        <v>61.958999999999996</v>
      </c>
      <c r="DZ19" s="32">
        <f t="shared" si="81"/>
        <v>6.445275</v>
      </c>
      <c r="EA19" s="49">
        <f t="shared" si="82"/>
        <v>68.404275</v>
      </c>
      <c r="EB19" s="49">
        <f t="shared" si="83"/>
        <v>4.2679206</v>
      </c>
      <c r="EC19" s="49">
        <f t="shared" si="84"/>
        <v>0.08634359999999999</v>
      </c>
      <c r="EE19" s="32">
        <f t="shared" si="108"/>
        <v>15268.545499999998</v>
      </c>
      <c r="EF19" s="32">
        <f t="shared" si="85"/>
        <v>1588.3079874999999</v>
      </c>
      <c r="EG19" s="32">
        <f t="shared" si="86"/>
        <v>16856.853487499997</v>
      </c>
      <c r="EH19" s="49">
        <f t="shared" si="87"/>
        <v>1051.7429247</v>
      </c>
      <c r="EI19" s="49">
        <f t="shared" si="88"/>
        <v>21.2776382</v>
      </c>
      <c r="EK19" s="32">
        <f t="shared" si="109"/>
        <v>36717.773</v>
      </c>
      <c r="EL19" s="32">
        <f t="shared" si="89"/>
        <v>3819.560425</v>
      </c>
      <c r="EM19" s="49">
        <f t="shared" si="90"/>
        <v>40537.333425000004</v>
      </c>
      <c r="EN19" s="49">
        <f t="shared" si="91"/>
        <v>2529.2296482</v>
      </c>
      <c r="EO19" s="49">
        <f t="shared" si="92"/>
        <v>51.1684292</v>
      </c>
      <c r="EQ19" s="32">
        <f t="shared" si="110"/>
        <v>10472.158</v>
      </c>
      <c r="ER19" s="32">
        <f t="shared" si="93"/>
        <v>1089.36455</v>
      </c>
      <c r="ES19" s="49">
        <f t="shared" si="94"/>
        <v>11561.52255</v>
      </c>
      <c r="ET19" s="49">
        <f t="shared" si="95"/>
        <v>721.3534572</v>
      </c>
      <c r="EU19" s="49">
        <f t="shared" si="96"/>
        <v>14.5935832</v>
      </c>
      <c r="EV19"/>
    </row>
    <row r="20" spans="1:152" ht="12.75">
      <c r="A20" s="76">
        <v>46296</v>
      </c>
      <c r="D20" s="34">
        <v>429500</v>
      </c>
      <c r="E20" s="34">
        <f t="shared" si="0"/>
        <v>429500</v>
      </c>
      <c r="F20" s="34">
        <v>374379</v>
      </c>
      <c r="G20" s="34">
        <v>7574</v>
      </c>
      <c r="I20" s="69"/>
      <c r="J20" s="69">
        <f t="shared" si="1"/>
        <v>138107.22825000004</v>
      </c>
      <c r="K20" s="69">
        <f t="shared" si="2"/>
        <v>138107.22825000004</v>
      </c>
      <c r="L20" s="69">
        <f t="shared" si="3"/>
        <v>120382.8777765</v>
      </c>
      <c r="M20" s="69">
        <f t="shared" si="4"/>
        <v>2435.4462089999997</v>
      </c>
      <c r="P20" s="32">
        <f t="shared" si="5"/>
        <v>18980.0345</v>
      </c>
      <c r="Q20" s="32">
        <f t="shared" si="6"/>
        <v>18980.0345</v>
      </c>
      <c r="R20" s="49">
        <f t="shared" si="7"/>
        <v>16544.182389</v>
      </c>
      <c r="S20" s="49">
        <f t="shared" si="8"/>
        <v>334.702634</v>
      </c>
      <c r="V20" s="49">
        <f t="shared" si="9"/>
        <v>19366.155</v>
      </c>
      <c r="W20" s="49">
        <f t="shared" si="10"/>
        <v>19366.155</v>
      </c>
      <c r="X20" s="49">
        <f t="shared" si="11"/>
        <v>16880.74911</v>
      </c>
      <c r="Y20" s="49">
        <f t="shared" si="12"/>
        <v>341.51166</v>
      </c>
      <c r="AB20" s="49">
        <f t="shared" si="13"/>
        <v>647.55715</v>
      </c>
      <c r="AC20" s="49">
        <f t="shared" si="14"/>
        <v>647.55715</v>
      </c>
      <c r="AD20" s="49">
        <f t="shared" si="15"/>
        <v>564.4512183</v>
      </c>
      <c r="AE20" s="49">
        <f t="shared" si="16"/>
        <v>11.4193198</v>
      </c>
      <c r="AH20" s="32">
        <f t="shared" si="17"/>
        <v>240.51999999999998</v>
      </c>
      <c r="AI20" s="32">
        <f t="shared" si="18"/>
        <v>240.51999999999998</v>
      </c>
      <c r="AJ20" s="49">
        <f t="shared" si="19"/>
        <v>209.65223999999998</v>
      </c>
      <c r="AK20" s="49">
        <f t="shared" si="20"/>
        <v>4.24144</v>
      </c>
      <c r="AN20" s="32">
        <f t="shared" si="21"/>
        <v>3645.20945</v>
      </c>
      <c r="AO20" s="32">
        <f t="shared" si="22"/>
        <v>3645.20945</v>
      </c>
      <c r="AP20" s="49">
        <f t="shared" si="23"/>
        <v>3177.3920108999996</v>
      </c>
      <c r="AQ20" s="49">
        <f t="shared" si="24"/>
        <v>64.28129539999999</v>
      </c>
      <c r="AS20" s="49"/>
      <c r="AT20" s="32">
        <f t="shared" si="25"/>
        <v>924.92825</v>
      </c>
      <c r="AU20" s="49">
        <f t="shared" si="26"/>
        <v>924.92825</v>
      </c>
      <c r="AV20" s="49">
        <f t="shared" si="27"/>
        <v>806.2251765</v>
      </c>
      <c r="AW20" s="49">
        <f t="shared" si="28"/>
        <v>16.310609</v>
      </c>
      <c r="AY20" s="49"/>
      <c r="AZ20" s="32">
        <f t="shared" si="29"/>
        <v>989.9116</v>
      </c>
      <c r="BA20" s="49">
        <f t="shared" si="30"/>
        <v>989.9116</v>
      </c>
      <c r="BB20" s="49">
        <f t="shared" si="31"/>
        <v>862.8687192</v>
      </c>
      <c r="BC20" s="49">
        <f t="shared" si="32"/>
        <v>17.4565552</v>
      </c>
      <c r="BF20" s="32">
        <f t="shared" si="33"/>
        <v>1003.3549499999999</v>
      </c>
      <c r="BG20" s="32">
        <f t="shared" si="34"/>
        <v>1003.3549499999999</v>
      </c>
      <c r="BH20" s="49">
        <f t="shared" si="35"/>
        <v>874.5867818999999</v>
      </c>
      <c r="BI20" s="49">
        <f t="shared" si="36"/>
        <v>17.693621399999998</v>
      </c>
      <c r="BL20" s="32">
        <f t="shared" si="37"/>
        <v>199.41685</v>
      </c>
      <c r="BM20" s="49">
        <f t="shared" si="38"/>
        <v>199.41685</v>
      </c>
      <c r="BN20" s="49">
        <f t="shared" si="39"/>
        <v>173.8241697</v>
      </c>
      <c r="BO20" s="49">
        <f t="shared" si="40"/>
        <v>3.5166082000000003</v>
      </c>
      <c r="BR20" s="32">
        <f t="shared" si="41"/>
        <v>1618.39895</v>
      </c>
      <c r="BS20" s="49">
        <f t="shared" si="42"/>
        <v>1618.39895</v>
      </c>
      <c r="BT20" s="49">
        <f t="shared" si="43"/>
        <v>1410.6975099</v>
      </c>
      <c r="BU20" s="49">
        <f t="shared" si="44"/>
        <v>28.5395894</v>
      </c>
      <c r="BX20" s="32">
        <f t="shared" si="45"/>
        <v>49.30660000000003</v>
      </c>
      <c r="BY20" s="49">
        <f t="shared" si="46"/>
        <v>49.30660000000003</v>
      </c>
      <c r="BZ20" s="32">
        <f t="shared" si="47"/>
        <v>42.97870920000003</v>
      </c>
      <c r="CA20" s="49">
        <f t="shared" si="48"/>
        <v>0.8694952000000006</v>
      </c>
      <c r="CC20" s="49"/>
      <c r="CD20" s="49">
        <f t="shared" si="49"/>
        <v>1417.6077</v>
      </c>
      <c r="CE20" s="32">
        <f t="shared" si="50"/>
        <v>1417.6077</v>
      </c>
      <c r="CF20" s="49">
        <f t="shared" si="51"/>
        <v>1235.6753274</v>
      </c>
      <c r="CG20" s="49">
        <f t="shared" si="52"/>
        <v>24.9987444</v>
      </c>
      <c r="CI20" s="49"/>
      <c r="CJ20" s="49">
        <f t="shared" si="53"/>
        <v>892.37215</v>
      </c>
      <c r="CK20" s="32">
        <f t="shared" si="54"/>
        <v>892.37215</v>
      </c>
      <c r="CL20" s="49">
        <f t="shared" si="55"/>
        <v>777.8472483</v>
      </c>
      <c r="CM20" s="49">
        <f t="shared" si="56"/>
        <v>15.7364998</v>
      </c>
      <c r="CP20" s="32">
        <f t="shared" si="57"/>
        <v>34177.9779</v>
      </c>
      <c r="CQ20" s="49">
        <f t="shared" si="58"/>
        <v>34177.9779</v>
      </c>
      <c r="CR20" s="49">
        <f t="shared" si="59"/>
        <v>29791.6581798</v>
      </c>
      <c r="CS20" s="49">
        <f t="shared" si="60"/>
        <v>602.7101388</v>
      </c>
      <c r="CV20" s="32">
        <f t="shared" si="61"/>
        <v>390.07189999999997</v>
      </c>
      <c r="CW20" s="32">
        <f t="shared" si="62"/>
        <v>390.07189999999997</v>
      </c>
      <c r="CX20" s="49">
        <f t="shared" si="63"/>
        <v>340.01100779999996</v>
      </c>
      <c r="CY20" s="49">
        <f t="shared" si="64"/>
        <v>6.8787068</v>
      </c>
      <c r="DB20" s="32">
        <f t="shared" si="65"/>
        <v>47650.2762</v>
      </c>
      <c r="DC20" s="49">
        <f t="shared" si="66"/>
        <v>47650.2762</v>
      </c>
      <c r="DD20" s="49">
        <f t="shared" si="67"/>
        <v>41534.9540244</v>
      </c>
      <c r="DE20" s="49">
        <f t="shared" si="68"/>
        <v>840.2868264</v>
      </c>
      <c r="DH20" s="32">
        <f t="shared" si="69"/>
        <v>459.565</v>
      </c>
      <c r="DI20" s="49">
        <f t="shared" si="70"/>
        <v>459.565</v>
      </c>
      <c r="DJ20" s="49">
        <f t="shared" si="71"/>
        <v>400.58553</v>
      </c>
      <c r="DK20" s="49">
        <f t="shared" si="72"/>
        <v>8.10418</v>
      </c>
      <c r="DN20" s="32">
        <f t="shared" si="73"/>
        <v>317.87295</v>
      </c>
      <c r="DO20" s="49">
        <f t="shared" si="74"/>
        <v>317.87295</v>
      </c>
      <c r="DP20" s="49">
        <f t="shared" si="75"/>
        <v>277.07789790000004</v>
      </c>
      <c r="DQ20" s="49">
        <f t="shared" si="76"/>
        <v>5.6055174</v>
      </c>
      <c r="DT20" s="49">
        <f t="shared" si="77"/>
        <v>196.0238</v>
      </c>
      <c r="DU20" s="49">
        <f t="shared" si="78"/>
        <v>196.0238</v>
      </c>
      <c r="DV20" s="49">
        <f t="shared" si="79"/>
        <v>170.8665756</v>
      </c>
      <c r="DW20" s="49">
        <f t="shared" si="80"/>
        <v>3.4567736</v>
      </c>
      <c r="DZ20" s="32">
        <f t="shared" si="81"/>
        <v>4.8963</v>
      </c>
      <c r="EA20" s="49">
        <f t="shared" si="82"/>
        <v>4.8963</v>
      </c>
      <c r="EB20" s="49">
        <f t="shared" si="83"/>
        <v>4.2679206</v>
      </c>
      <c r="EC20" s="49">
        <f t="shared" si="84"/>
        <v>0.08634359999999999</v>
      </c>
      <c r="EF20" s="32">
        <f t="shared" si="85"/>
        <v>1206.5943499999998</v>
      </c>
      <c r="EG20" s="32">
        <f t="shared" si="86"/>
        <v>1206.5943499999998</v>
      </c>
      <c r="EH20" s="49">
        <f t="shared" si="87"/>
        <v>1051.7429247</v>
      </c>
      <c r="EI20" s="49">
        <f t="shared" si="88"/>
        <v>21.2776382</v>
      </c>
      <c r="EL20" s="32">
        <f t="shared" si="89"/>
        <v>2901.6161</v>
      </c>
      <c r="EM20" s="49">
        <f t="shared" si="90"/>
        <v>2901.6161</v>
      </c>
      <c r="EN20" s="49">
        <f t="shared" si="91"/>
        <v>2529.2296482</v>
      </c>
      <c r="EO20" s="49">
        <f t="shared" si="92"/>
        <v>51.1684292</v>
      </c>
      <c r="ER20" s="32">
        <f t="shared" si="93"/>
        <v>827.5606</v>
      </c>
      <c r="ES20" s="49">
        <f t="shared" si="94"/>
        <v>827.5606</v>
      </c>
      <c r="ET20" s="49">
        <f t="shared" si="95"/>
        <v>721.3534572</v>
      </c>
      <c r="EU20" s="49">
        <f t="shared" si="96"/>
        <v>14.5935832</v>
      </c>
      <c r="EV20"/>
    </row>
    <row r="21" spans="1:152" ht="12.75">
      <c r="A21" s="76">
        <v>46478</v>
      </c>
      <c r="C21" s="34">
        <v>5580000</v>
      </c>
      <c r="D21" s="34">
        <v>429500</v>
      </c>
      <c r="E21" s="34">
        <f t="shared" si="0"/>
        <v>6009500</v>
      </c>
      <c r="F21" s="34">
        <v>374379</v>
      </c>
      <c r="G21" s="34">
        <v>7574</v>
      </c>
      <c r="I21" s="69">
        <f>O21+U21+AM21+AY21+AG21+BE21+BK21+BQ21+CC21+CI21+CO21+CU21+DA21+DM21+DY21+EE21+EK21+EQ21+AA21+AS21+DG21+DS21+BW21</f>
        <v>1794268.5300000003</v>
      </c>
      <c r="J21" s="69">
        <f t="shared" si="1"/>
        <v>138107.22825000004</v>
      </c>
      <c r="K21" s="69">
        <f t="shared" si="2"/>
        <v>1932375.7582500004</v>
      </c>
      <c r="L21" s="69">
        <f t="shared" si="3"/>
        <v>120382.8777765</v>
      </c>
      <c r="M21" s="69">
        <f t="shared" si="4"/>
        <v>2435.4462089999997</v>
      </c>
      <c r="O21" s="32">
        <f>C21*$P$6</f>
        <v>246585.78</v>
      </c>
      <c r="P21" s="32">
        <f t="shared" si="5"/>
        <v>18980.0345</v>
      </c>
      <c r="Q21" s="32">
        <f t="shared" si="6"/>
        <v>265565.8145</v>
      </c>
      <c r="R21" s="49">
        <f t="shared" si="7"/>
        <v>16544.182389</v>
      </c>
      <c r="S21" s="49">
        <f t="shared" si="8"/>
        <v>334.702634</v>
      </c>
      <c r="U21" s="32">
        <f>C21*$V$6</f>
        <v>251602.19999999998</v>
      </c>
      <c r="V21" s="49">
        <f t="shared" si="9"/>
        <v>19366.155</v>
      </c>
      <c r="W21" s="49">
        <f t="shared" si="10"/>
        <v>270968.355</v>
      </c>
      <c r="X21" s="49">
        <f t="shared" si="11"/>
        <v>16880.74911</v>
      </c>
      <c r="Y21" s="49">
        <f t="shared" si="12"/>
        <v>341.51166</v>
      </c>
      <c r="AA21" s="32">
        <f>C21*$AB$6</f>
        <v>8412.966</v>
      </c>
      <c r="AB21" s="49">
        <f t="shared" si="13"/>
        <v>647.55715</v>
      </c>
      <c r="AC21" s="49">
        <f t="shared" si="14"/>
        <v>9060.52315</v>
      </c>
      <c r="AD21" s="49">
        <f t="shared" si="15"/>
        <v>564.4512183</v>
      </c>
      <c r="AE21" s="49">
        <f t="shared" si="16"/>
        <v>11.4193198</v>
      </c>
      <c r="AG21" s="32">
        <f t="shared" si="97"/>
        <v>3124.7999999999997</v>
      </c>
      <c r="AH21" s="32">
        <f t="shared" si="17"/>
        <v>240.51999999999998</v>
      </c>
      <c r="AI21" s="32">
        <f t="shared" si="18"/>
        <v>3365.3199999999997</v>
      </c>
      <c r="AJ21" s="49">
        <f t="shared" si="19"/>
        <v>209.65223999999998</v>
      </c>
      <c r="AK21" s="49">
        <f t="shared" si="20"/>
        <v>4.24144</v>
      </c>
      <c r="AM21" s="32">
        <f>C21*$AN$6</f>
        <v>47358.018</v>
      </c>
      <c r="AN21" s="32">
        <f t="shared" si="21"/>
        <v>3645.20945</v>
      </c>
      <c r="AO21" s="32">
        <f t="shared" si="22"/>
        <v>51003.22745</v>
      </c>
      <c r="AP21" s="49">
        <f t="shared" si="23"/>
        <v>3177.3920108999996</v>
      </c>
      <c r="AQ21" s="49">
        <f t="shared" si="24"/>
        <v>64.28129539999999</v>
      </c>
      <c r="AS21" s="49">
        <f>C21*$AT$6</f>
        <v>12016.53</v>
      </c>
      <c r="AT21" s="32">
        <f t="shared" si="25"/>
        <v>924.92825</v>
      </c>
      <c r="AU21" s="49">
        <f t="shared" si="26"/>
        <v>12941.458250000001</v>
      </c>
      <c r="AV21" s="49">
        <f t="shared" si="27"/>
        <v>806.2251765</v>
      </c>
      <c r="AW21" s="49">
        <f t="shared" si="28"/>
        <v>16.310609</v>
      </c>
      <c r="AY21" s="49">
        <f>C21*$AZ$6</f>
        <v>12860.784</v>
      </c>
      <c r="AZ21" s="32">
        <f t="shared" si="29"/>
        <v>989.9116</v>
      </c>
      <c r="BA21" s="49">
        <f t="shared" si="30"/>
        <v>13850.6956</v>
      </c>
      <c r="BB21" s="49">
        <f t="shared" si="31"/>
        <v>862.8687192</v>
      </c>
      <c r="BC21" s="49">
        <f t="shared" si="32"/>
        <v>17.4565552</v>
      </c>
      <c r="BE21" s="32">
        <f>C21*$BF$6</f>
        <v>13035.437999999998</v>
      </c>
      <c r="BF21" s="32">
        <f t="shared" si="33"/>
        <v>1003.3549499999999</v>
      </c>
      <c r="BG21" s="32">
        <f t="shared" si="34"/>
        <v>14038.79295</v>
      </c>
      <c r="BH21" s="49">
        <f t="shared" si="35"/>
        <v>874.5867818999999</v>
      </c>
      <c r="BI21" s="49">
        <f t="shared" si="36"/>
        <v>17.693621399999998</v>
      </c>
      <c r="BK21" s="32">
        <f>C21*$BL$6</f>
        <v>2590.794</v>
      </c>
      <c r="BL21" s="32">
        <f t="shared" si="37"/>
        <v>199.41685</v>
      </c>
      <c r="BM21" s="49">
        <f t="shared" si="38"/>
        <v>2790.21085</v>
      </c>
      <c r="BN21" s="49">
        <f t="shared" si="39"/>
        <v>173.8241697</v>
      </c>
      <c r="BO21" s="49">
        <f t="shared" si="40"/>
        <v>3.5166082000000003</v>
      </c>
      <c r="BQ21" s="32">
        <f>C21*$BR$6</f>
        <v>21025.998</v>
      </c>
      <c r="BR21" s="32">
        <f t="shared" si="41"/>
        <v>1618.39895</v>
      </c>
      <c r="BS21" s="49">
        <f t="shared" si="42"/>
        <v>22644.39695</v>
      </c>
      <c r="BT21" s="49">
        <f t="shared" si="43"/>
        <v>1410.6975099</v>
      </c>
      <c r="BU21" s="49">
        <f t="shared" si="44"/>
        <v>28.5395894</v>
      </c>
      <c r="BW21" s="32">
        <f t="shared" si="98"/>
        <v>640.5840000000004</v>
      </c>
      <c r="BX21" s="32">
        <f t="shared" si="45"/>
        <v>49.30660000000003</v>
      </c>
      <c r="BY21" s="49">
        <f t="shared" si="46"/>
        <v>689.8906000000004</v>
      </c>
      <c r="BZ21" s="32">
        <f t="shared" si="47"/>
        <v>42.97870920000003</v>
      </c>
      <c r="CA21" s="49">
        <f t="shared" si="48"/>
        <v>0.8694952000000006</v>
      </c>
      <c r="CC21" s="49">
        <f t="shared" si="99"/>
        <v>18417.347999999998</v>
      </c>
      <c r="CD21" s="49">
        <f t="shared" si="49"/>
        <v>1417.6077</v>
      </c>
      <c r="CE21" s="32">
        <f t="shared" si="50"/>
        <v>19834.9557</v>
      </c>
      <c r="CF21" s="49">
        <f t="shared" si="51"/>
        <v>1235.6753274</v>
      </c>
      <c r="CG21" s="49">
        <f t="shared" si="52"/>
        <v>24.9987444</v>
      </c>
      <c r="CI21" s="49">
        <f t="shared" si="100"/>
        <v>11593.566</v>
      </c>
      <c r="CJ21" s="49">
        <f t="shared" si="53"/>
        <v>892.37215</v>
      </c>
      <c r="CK21" s="32">
        <f t="shared" si="54"/>
        <v>12485.93815</v>
      </c>
      <c r="CL21" s="49">
        <f t="shared" si="55"/>
        <v>777.8472483</v>
      </c>
      <c r="CM21" s="49">
        <f t="shared" si="56"/>
        <v>15.7364998</v>
      </c>
      <c r="CO21" s="32">
        <f t="shared" si="101"/>
        <v>444035.196</v>
      </c>
      <c r="CP21" s="32">
        <f t="shared" si="57"/>
        <v>34177.9779</v>
      </c>
      <c r="CQ21" s="49">
        <f t="shared" si="58"/>
        <v>478213.1739</v>
      </c>
      <c r="CR21" s="49">
        <f t="shared" si="59"/>
        <v>29791.6581798</v>
      </c>
      <c r="CS21" s="49">
        <f t="shared" si="60"/>
        <v>602.7101388</v>
      </c>
      <c r="CU21" s="32">
        <f t="shared" si="102"/>
        <v>5067.755999999999</v>
      </c>
      <c r="CV21" s="32">
        <f t="shared" si="61"/>
        <v>390.07189999999997</v>
      </c>
      <c r="CW21" s="32">
        <f t="shared" si="62"/>
        <v>5457.827899999999</v>
      </c>
      <c r="CX21" s="49">
        <f t="shared" si="63"/>
        <v>340.01100779999996</v>
      </c>
      <c r="CY21" s="49">
        <f t="shared" si="64"/>
        <v>6.8787068</v>
      </c>
      <c r="DA21" s="32">
        <f t="shared" si="103"/>
        <v>619065.2880000001</v>
      </c>
      <c r="DB21" s="32">
        <f t="shared" si="65"/>
        <v>47650.2762</v>
      </c>
      <c r="DC21" s="49">
        <f t="shared" si="66"/>
        <v>666715.5642</v>
      </c>
      <c r="DD21" s="49">
        <f t="shared" si="67"/>
        <v>41534.9540244</v>
      </c>
      <c r="DE21" s="49">
        <f t="shared" si="68"/>
        <v>840.2868264</v>
      </c>
      <c r="DG21" s="32">
        <f t="shared" si="104"/>
        <v>5970.6</v>
      </c>
      <c r="DH21" s="32">
        <f t="shared" si="69"/>
        <v>459.565</v>
      </c>
      <c r="DI21" s="49">
        <f t="shared" si="70"/>
        <v>6430.165</v>
      </c>
      <c r="DJ21" s="49">
        <f t="shared" si="71"/>
        <v>400.58553</v>
      </c>
      <c r="DK21" s="49">
        <f t="shared" si="72"/>
        <v>8.10418</v>
      </c>
      <c r="DM21" s="32">
        <f t="shared" si="105"/>
        <v>4129.758</v>
      </c>
      <c r="DN21" s="32">
        <f t="shared" si="73"/>
        <v>317.87295</v>
      </c>
      <c r="DO21" s="49">
        <f t="shared" si="74"/>
        <v>4447.63095</v>
      </c>
      <c r="DP21" s="49">
        <f t="shared" si="75"/>
        <v>277.07789790000004</v>
      </c>
      <c r="DQ21" s="49">
        <f t="shared" si="76"/>
        <v>5.6055174</v>
      </c>
      <c r="DS21" s="32">
        <f t="shared" si="106"/>
        <v>2546.712</v>
      </c>
      <c r="DT21" s="49">
        <f t="shared" si="77"/>
        <v>196.0238</v>
      </c>
      <c r="DU21" s="49">
        <f t="shared" si="78"/>
        <v>2742.7358</v>
      </c>
      <c r="DV21" s="49">
        <f t="shared" si="79"/>
        <v>170.8665756</v>
      </c>
      <c r="DW21" s="49">
        <f t="shared" si="80"/>
        <v>3.4567736</v>
      </c>
      <c r="DY21" s="32">
        <f t="shared" si="107"/>
        <v>63.611999999999995</v>
      </c>
      <c r="DZ21" s="32">
        <f t="shared" si="81"/>
        <v>4.8963</v>
      </c>
      <c r="EA21" s="49">
        <f t="shared" si="82"/>
        <v>68.50829999999999</v>
      </c>
      <c r="EB21" s="49">
        <f t="shared" si="83"/>
        <v>4.2679206</v>
      </c>
      <c r="EC21" s="49">
        <f t="shared" si="84"/>
        <v>0.08634359999999999</v>
      </c>
      <c r="EE21" s="32">
        <f t="shared" si="108"/>
        <v>15675.893999999998</v>
      </c>
      <c r="EF21" s="32">
        <f t="shared" si="85"/>
        <v>1206.5943499999998</v>
      </c>
      <c r="EG21" s="32">
        <f t="shared" si="86"/>
        <v>16882.48835</v>
      </c>
      <c r="EH21" s="49">
        <f t="shared" si="87"/>
        <v>1051.7429247</v>
      </c>
      <c r="EI21" s="49">
        <f t="shared" si="88"/>
        <v>21.2776382</v>
      </c>
      <c r="EK21" s="32">
        <f t="shared" si="109"/>
        <v>37697.364</v>
      </c>
      <c r="EL21" s="32">
        <f t="shared" si="89"/>
        <v>2901.6161</v>
      </c>
      <c r="EM21" s="49">
        <f t="shared" si="90"/>
        <v>40598.9801</v>
      </c>
      <c r="EN21" s="49">
        <f t="shared" si="91"/>
        <v>2529.2296482</v>
      </c>
      <c r="EO21" s="49">
        <f t="shared" si="92"/>
        <v>51.1684292</v>
      </c>
      <c r="EQ21" s="32">
        <f t="shared" si="110"/>
        <v>10751.544</v>
      </c>
      <c r="ER21" s="32">
        <f t="shared" si="93"/>
        <v>827.5606</v>
      </c>
      <c r="ES21" s="49">
        <f t="shared" si="94"/>
        <v>11579.1046</v>
      </c>
      <c r="ET21" s="49">
        <f t="shared" si="95"/>
        <v>721.3534572</v>
      </c>
      <c r="EU21" s="49">
        <f t="shared" si="96"/>
        <v>14.5935832</v>
      </c>
      <c r="EV21"/>
    </row>
    <row r="22" spans="1:152" ht="12.75">
      <c r="A22" s="76">
        <v>46661</v>
      </c>
      <c r="D22" s="34">
        <v>290000</v>
      </c>
      <c r="E22" s="34">
        <f t="shared" si="0"/>
        <v>290000</v>
      </c>
      <c r="F22" s="34">
        <v>374379</v>
      </c>
      <c r="G22" s="34">
        <v>7574</v>
      </c>
      <c r="H22"/>
      <c r="I22" s="69"/>
      <c r="J22" s="69">
        <f t="shared" si="1"/>
        <v>93250.51499999998</v>
      </c>
      <c r="K22" s="69">
        <f t="shared" si="2"/>
        <v>93250.51499999998</v>
      </c>
      <c r="L22" s="69">
        <f t="shared" si="3"/>
        <v>120382.8777765</v>
      </c>
      <c r="M22" s="69">
        <f t="shared" si="4"/>
        <v>2435.4462089999997</v>
      </c>
      <c r="P22" s="32">
        <f t="shared" si="5"/>
        <v>12815.39</v>
      </c>
      <c r="Q22" s="32">
        <f t="shared" si="6"/>
        <v>12815.39</v>
      </c>
      <c r="R22" s="49">
        <f t="shared" si="7"/>
        <v>16544.182389</v>
      </c>
      <c r="S22" s="49">
        <f t="shared" si="8"/>
        <v>334.702634</v>
      </c>
      <c r="V22" s="49">
        <f t="shared" si="9"/>
        <v>13076.1</v>
      </c>
      <c r="W22" s="49">
        <f t="shared" si="10"/>
        <v>13076.1</v>
      </c>
      <c r="X22" s="49">
        <f t="shared" si="11"/>
        <v>16880.74911</v>
      </c>
      <c r="Y22" s="49">
        <f t="shared" si="12"/>
        <v>341.51166</v>
      </c>
      <c r="AB22" s="49">
        <f t="shared" si="13"/>
        <v>437.233</v>
      </c>
      <c r="AC22" s="49">
        <f t="shared" si="14"/>
        <v>437.233</v>
      </c>
      <c r="AD22" s="49">
        <f t="shared" si="15"/>
        <v>564.4512183</v>
      </c>
      <c r="AE22" s="49">
        <f t="shared" si="16"/>
        <v>11.4193198</v>
      </c>
      <c r="AH22" s="32">
        <f t="shared" si="17"/>
        <v>162.39999999999998</v>
      </c>
      <c r="AI22" s="32">
        <f t="shared" si="18"/>
        <v>162.39999999999998</v>
      </c>
      <c r="AJ22" s="49">
        <f t="shared" si="19"/>
        <v>209.65223999999998</v>
      </c>
      <c r="AK22" s="49">
        <f t="shared" si="20"/>
        <v>4.24144</v>
      </c>
      <c r="AN22" s="32">
        <f t="shared" si="21"/>
        <v>2461.2589999999996</v>
      </c>
      <c r="AO22" s="32">
        <f t="shared" si="22"/>
        <v>2461.2589999999996</v>
      </c>
      <c r="AP22" s="49">
        <f t="shared" si="23"/>
        <v>3177.3920108999996</v>
      </c>
      <c r="AQ22" s="49">
        <f t="shared" si="24"/>
        <v>64.28129539999999</v>
      </c>
      <c r="AS22" s="49"/>
      <c r="AT22" s="32">
        <f t="shared" si="25"/>
        <v>624.515</v>
      </c>
      <c r="AU22" s="49">
        <f t="shared" si="26"/>
        <v>624.515</v>
      </c>
      <c r="AV22" s="49">
        <f t="shared" si="27"/>
        <v>806.2251765</v>
      </c>
      <c r="AW22" s="49">
        <f t="shared" si="28"/>
        <v>16.310609</v>
      </c>
      <c r="AY22" s="49"/>
      <c r="AZ22" s="32">
        <f t="shared" si="29"/>
        <v>668.392</v>
      </c>
      <c r="BA22" s="49">
        <f t="shared" si="30"/>
        <v>668.392</v>
      </c>
      <c r="BB22" s="49">
        <f t="shared" si="31"/>
        <v>862.8687192</v>
      </c>
      <c r="BC22" s="49">
        <f t="shared" si="32"/>
        <v>17.4565552</v>
      </c>
      <c r="BF22" s="32">
        <f t="shared" si="33"/>
        <v>677.4689999999999</v>
      </c>
      <c r="BG22" s="32">
        <f t="shared" si="34"/>
        <v>677.4689999999999</v>
      </c>
      <c r="BH22" s="49">
        <f t="shared" si="35"/>
        <v>874.5867818999999</v>
      </c>
      <c r="BI22" s="49">
        <f t="shared" si="36"/>
        <v>17.693621399999998</v>
      </c>
      <c r="BL22" s="32">
        <f t="shared" si="37"/>
        <v>134.647</v>
      </c>
      <c r="BM22" s="49">
        <f t="shared" si="38"/>
        <v>134.647</v>
      </c>
      <c r="BN22" s="49">
        <f t="shared" si="39"/>
        <v>173.8241697</v>
      </c>
      <c r="BO22" s="49">
        <f t="shared" si="40"/>
        <v>3.5166082000000003</v>
      </c>
      <c r="BR22" s="32">
        <f t="shared" si="41"/>
        <v>1092.749</v>
      </c>
      <c r="BS22" s="49">
        <f t="shared" si="42"/>
        <v>1092.749</v>
      </c>
      <c r="BT22" s="49">
        <f t="shared" si="43"/>
        <v>1410.6975099</v>
      </c>
      <c r="BU22" s="49">
        <f t="shared" si="44"/>
        <v>28.5395894</v>
      </c>
      <c r="BX22" s="32">
        <f t="shared" si="45"/>
        <v>33.29200000000002</v>
      </c>
      <c r="BY22" s="49">
        <f t="shared" si="46"/>
        <v>33.29200000000002</v>
      </c>
      <c r="BZ22" s="32">
        <f t="shared" si="47"/>
        <v>42.97870920000003</v>
      </c>
      <c r="CA22" s="49">
        <f t="shared" si="48"/>
        <v>0.8694952000000006</v>
      </c>
      <c r="CC22" s="49"/>
      <c r="CD22" s="49">
        <f t="shared" si="49"/>
        <v>957.174</v>
      </c>
      <c r="CE22" s="32">
        <f t="shared" si="50"/>
        <v>957.174</v>
      </c>
      <c r="CF22" s="49">
        <f t="shared" si="51"/>
        <v>1235.6753274</v>
      </c>
      <c r="CG22" s="49">
        <f t="shared" si="52"/>
        <v>24.9987444</v>
      </c>
      <c r="CI22" s="49"/>
      <c r="CJ22" s="49">
        <f t="shared" si="53"/>
        <v>602.533</v>
      </c>
      <c r="CK22" s="32">
        <f t="shared" si="54"/>
        <v>602.533</v>
      </c>
      <c r="CL22" s="49">
        <f t="shared" si="55"/>
        <v>777.8472483</v>
      </c>
      <c r="CM22" s="49">
        <f t="shared" si="56"/>
        <v>15.7364998</v>
      </c>
      <c r="CP22" s="32">
        <f t="shared" si="57"/>
        <v>23077.097999999998</v>
      </c>
      <c r="CQ22" s="49">
        <f t="shared" si="58"/>
        <v>23077.097999999998</v>
      </c>
      <c r="CR22" s="49">
        <f t="shared" si="59"/>
        <v>29791.6581798</v>
      </c>
      <c r="CS22" s="49">
        <f t="shared" si="60"/>
        <v>602.7101388</v>
      </c>
      <c r="CV22" s="32">
        <f t="shared" si="61"/>
        <v>263.378</v>
      </c>
      <c r="CW22" s="32">
        <f t="shared" si="62"/>
        <v>263.378</v>
      </c>
      <c r="CX22" s="49">
        <f t="shared" si="63"/>
        <v>340.01100779999996</v>
      </c>
      <c r="CY22" s="49">
        <f t="shared" si="64"/>
        <v>6.8787068</v>
      </c>
      <c r="DB22" s="32">
        <f t="shared" si="65"/>
        <v>32173.644</v>
      </c>
      <c r="DC22" s="49">
        <f t="shared" si="66"/>
        <v>32173.644</v>
      </c>
      <c r="DD22" s="49">
        <f t="shared" si="67"/>
        <v>41534.9540244</v>
      </c>
      <c r="DE22" s="49">
        <f t="shared" si="68"/>
        <v>840.2868264</v>
      </c>
      <c r="DH22" s="32">
        <f t="shared" si="69"/>
        <v>310.3</v>
      </c>
      <c r="DI22" s="49">
        <f t="shared" si="70"/>
        <v>310.3</v>
      </c>
      <c r="DJ22" s="49">
        <f t="shared" si="71"/>
        <v>400.58553</v>
      </c>
      <c r="DK22" s="49">
        <f t="shared" si="72"/>
        <v>8.10418</v>
      </c>
      <c r="DN22" s="32">
        <f t="shared" si="73"/>
        <v>214.62900000000002</v>
      </c>
      <c r="DO22" s="49">
        <f t="shared" si="74"/>
        <v>214.62900000000002</v>
      </c>
      <c r="DP22" s="49">
        <f t="shared" si="75"/>
        <v>277.07789790000004</v>
      </c>
      <c r="DQ22" s="49">
        <f t="shared" si="76"/>
        <v>5.6055174</v>
      </c>
      <c r="DT22" s="49">
        <f t="shared" si="77"/>
        <v>132.356</v>
      </c>
      <c r="DU22" s="49">
        <f t="shared" si="78"/>
        <v>132.356</v>
      </c>
      <c r="DV22" s="49">
        <f t="shared" si="79"/>
        <v>170.8665756</v>
      </c>
      <c r="DW22" s="49">
        <f t="shared" si="80"/>
        <v>3.4567736</v>
      </c>
      <c r="DZ22" s="32">
        <f t="shared" si="81"/>
        <v>3.3059999999999996</v>
      </c>
      <c r="EA22" s="49">
        <f t="shared" si="82"/>
        <v>3.3059999999999996</v>
      </c>
      <c r="EB22" s="49">
        <f t="shared" si="83"/>
        <v>4.2679206</v>
      </c>
      <c r="EC22" s="49">
        <f t="shared" si="84"/>
        <v>0.08634359999999999</v>
      </c>
      <c r="EF22" s="32">
        <f t="shared" si="85"/>
        <v>814.697</v>
      </c>
      <c r="EG22" s="32">
        <f t="shared" si="86"/>
        <v>814.697</v>
      </c>
      <c r="EH22" s="49">
        <f t="shared" si="87"/>
        <v>1051.7429247</v>
      </c>
      <c r="EI22" s="49">
        <f t="shared" si="88"/>
        <v>21.2776382</v>
      </c>
      <c r="EL22" s="32">
        <f t="shared" si="89"/>
        <v>1959.182</v>
      </c>
      <c r="EM22" s="49">
        <f t="shared" si="90"/>
        <v>1959.182</v>
      </c>
      <c r="EN22" s="49">
        <f t="shared" si="91"/>
        <v>2529.2296482</v>
      </c>
      <c r="EO22" s="49">
        <f t="shared" si="92"/>
        <v>51.1684292</v>
      </c>
      <c r="ER22" s="32">
        <f t="shared" si="93"/>
        <v>558.772</v>
      </c>
      <c r="ES22" s="49">
        <f t="shared" si="94"/>
        <v>558.772</v>
      </c>
      <c r="ET22" s="49">
        <f t="shared" si="95"/>
        <v>721.3534572</v>
      </c>
      <c r="EU22" s="49">
        <f t="shared" si="96"/>
        <v>14.5935832</v>
      </c>
      <c r="EV22"/>
    </row>
    <row r="23" spans="1:152" ht="12.75">
      <c r="A23" s="76">
        <v>46844</v>
      </c>
      <c r="C23" s="34">
        <v>5725000</v>
      </c>
      <c r="D23" s="34">
        <v>290000</v>
      </c>
      <c r="E23" s="34">
        <f t="shared" si="0"/>
        <v>6015000</v>
      </c>
      <c r="F23" s="34">
        <v>374379</v>
      </c>
      <c r="G23" s="34">
        <v>7574</v>
      </c>
      <c r="H23"/>
      <c r="I23" s="69">
        <f>O23+U23+AM23+AY23+AG23+BE23+BK23+BQ23+CC23+CI23+CO23+CU23+DA23+DM23+DY23+EE23+EK23+EQ23+AA23+AS23+DG23+DS23+BW23</f>
        <v>1840893.7874999999</v>
      </c>
      <c r="J23" s="69">
        <f t="shared" si="1"/>
        <v>93250.51499999998</v>
      </c>
      <c r="K23" s="69">
        <f t="shared" si="2"/>
        <v>1934144.3024999998</v>
      </c>
      <c r="L23" s="69">
        <f t="shared" si="3"/>
        <v>120382.8777765</v>
      </c>
      <c r="M23" s="69">
        <f t="shared" si="4"/>
        <v>2435.4462089999997</v>
      </c>
      <c r="O23" s="32">
        <f>C23*$P$6</f>
        <v>252993.475</v>
      </c>
      <c r="P23" s="32">
        <f t="shared" si="5"/>
        <v>12815.39</v>
      </c>
      <c r="Q23" s="32">
        <f t="shared" si="6"/>
        <v>265808.865</v>
      </c>
      <c r="R23" s="49">
        <f t="shared" si="7"/>
        <v>16544.182389</v>
      </c>
      <c r="S23" s="49">
        <f t="shared" si="8"/>
        <v>334.702634</v>
      </c>
      <c r="U23" s="32">
        <f>C23*$V$6</f>
        <v>258140.25</v>
      </c>
      <c r="V23" s="49">
        <f t="shared" si="9"/>
        <v>13076.1</v>
      </c>
      <c r="W23" s="49">
        <f t="shared" si="10"/>
        <v>271216.35</v>
      </c>
      <c r="X23" s="49">
        <f t="shared" si="11"/>
        <v>16880.74911</v>
      </c>
      <c r="Y23" s="49">
        <f t="shared" si="12"/>
        <v>341.51166</v>
      </c>
      <c r="AA23" s="32">
        <f>C23*$AB$6</f>
        <v>8631.5825</v>
      </c>
      <c r="AB23" s="49">
        <f t="shared" si="13"/>
        <v>437.233</v>
      </c>
      <c r="AC23" s="49">
        <f t="shared" si="14"/>
        <v>9068.8155</v>
      </c>
      <c r="AD23" s="49">
        <f t="shared" si="15"/>
        <v>564.4512183</v>
      </c>
      <c r="AE23" s="49">
        <f t="shared" si="16"/>
        <v>11.4193198</v>
      </c>
      <c r="AG23" s="32">
        <f t="shared" si="97"/>
        <v>3205.9999999999995</v>
      </c>
      <c r="AH23" s="32">
        <f t="shared" si="17"/>
        <v>162.39999999999998</v>
      </c>
      <c r="AI23" s="32">
        <f t="shared" si="18"/>
        <v>3368.3999999999996</v>
      </c>
      <c r="AJ23" s="49">
        <f t="shared" si="19"/>
        <v>209.65223999999998</v>
      </c>
      <c r="AK23" s="49">
        <f t="shared" si="20"/>
        <v>4.24144</v>
      </c>
      <c r="AM23" s="32">
        <f>C23*$AN$6</f>
        <v>48588.64749999999</v>
      </c>
      <c r="AN23" s="32">
        <f t="shared" si="21"/>
        <v>2461.2589999999996</v>
      </c>
      <c r="AO23" s="32">
        <f t="shared" si="22"/>
        <v>51049.90649999999</v>
      </c>
      <c r="AP23" s="49">
        <f t="shared" si="23"/>
        <v>3177.3920108999996</v>
      </c>
      <c r="AQ23" s="49">
        <f t="shared" si="24"/>
        <v>64.28129539999999</v>
      </c>
      <c r="AS23" s="49">
        <f>C23*$AT$6</f>
        <v>12328.7875</v>
      </c>
      <c r="AT23" s="32">
        <f t="shared" si="25"/>
        <v>624.515</v>
      </c>
      <c r="AU23" s="49">
        <f t="shared" si="26"/>
        <v>12953.3025</v>
      </c>
      <c r="AV23" s="49">
        <f t="shared" si="27"/>
        <v>806.2251765</v>
      </c>
      <c r="AW23" s="49">
        <f t="shared" si="28"/>
        <v>16.310609</v>
      </c>
      <c r="AY23" s="49">
        <f>C23*$AZ$6</f>
        <v>13194.98</v>
      </c>
      <c r="AZ23" s="32">
        <f t="shared" si="29"/>
        <v>668.392</v>
      </c>
      <c r="BA23" s="49">
        <f t="shared" si="30"/>
        <v>13863.372</v>
      </c>
      <c r="BB23" s="49">
        <f t="shared" si="31"/>
        <v>862.8687192</v>
      </c>
      <c r="BC23" s="49">
        <f t="shared" si="32"/>
        <v>17.4565552</v>
      </c>
      <c r="BE23" s="32">
        <f>C23*$BF$6</f>
        <v>13374.172499999999</v>
      </c>
      <c r="BF23" s="32">
        <f t="shared" si="33"/>
        <v>677.4689999999999</v>
      </c>
      <c r="BG23" s="32">
        <f t="shared" si="34"/>
        <v>14051.641499999998</v>
      </c>
      <c r="BH23" s="49">
        <f t="shared" si="35"/>
        <v>874.5867818999999</v>
      </c>
      <c r="BI23" s="49">
        <f t="shared" si="36"/>
        <v>17.693621399999998</v>
      </c>
      <c r="BK23" s="32">
        <f>C23*$BL$6</f>
        <v>2658.1175</v>
      </c>
      <c r="BL23" s="32">
        <f t="shared" si="37"/>
        <v>134.647</v>
      </c>
      <c r="BM23" s="49">
        <f t="shared" si="38"/>
        <v>2792.7644999999998</v>
      </c>
      <c r="BN23" s="49">
        <f t="shared" si="39"/>
        <v>173.8241697</v>
      </c>
      <c r="BO23" s="49">
        <f t="shared" si="40"/>
        <v>3.5166082000000003</v>
      </c>
      <c r="BQ23" s="32">
        <f>C23*$BR$6</f>
        <v>21572.3725</v>
      </c>
      <c r="BR23" s="32">
        <f t="shared" si="41"/>
        <v>1092.749</v>
      </c>
      <c r="BS23" s="49">
        <f t="shared" si="42"/>
        <v>22665.1215</v>
      </c>
      <c r="BT23" s="49">
        <f t="shared" si="43"/>
        <v>1410.6975099</v>
      </c>
      <c r="BU23" s="49">
        <f t="shared" si="44"/>
        <v>28.5395894</v>
      </c>
      <c r="BW23" s="32">
        <f t="shared" si="98"/>
        <v>657.2300000000005</v>
      </c>
      <c r="BX23" s="32">
        <f t="shared" si="45"/>
        <v>33.29200000000002</v>
      </c>
      <c r="BY23" s="49">
        <f t="shared" si="46"/>
        <v>690.5220000000005</v>
      </c>
      <c r="BZ23" s="32">
        <f t="shared" si="47"/>
        <v>42.97870920000003</v>
      </c>
      <c r="CA23" s="49">
        <f t="shared" si="48"/>
        <v>0.8694952000000006</v>
      </c>
      <c r="CC23" s="49">
        <f t="shared" si="99"/>
        <v>18895.934999999998</v>
      </c>
      <c r="CD23" s="49">
        <f t="shared" si="49"/>
        <v>957.174</v>
      </c>
      <c r="CE23" s="32">
        <f t="shared" si="50"/>
        <v>19853.108999999997</v>
      </c>
      <c r="CF23" s="49">
        <f t="shared" si="51"/>
        <v>1235.6753274</v>
      </c>
      <c r="CG23" s="49">
        <f t="shared" si="52"/>
        <v>24.9987444</v>
      </c>
      <c r="CI23" s="49">
        <f t="shared" si="100"/>
        <v>11894.8325</v>
      </c>
      <c r="CJ23" s="49">
        <f t="shared" si="53"/>
        <v>602.533</v>
      </c>
      <c r="CK23" s="32">
        <f t="shared" si="54"/>
        <v>12497.3655</v>
      </c>
      <c r="CL23" s="49">
        <f t="shared" si="55"/>
        <v>777.8472483</v>
      </c>
      <c r="CM23" s="49">
        <f t="shared" si="56"/>
        <v>15.7364998</v>
      </c>
      <c r="CO23" s="32">
        <f t="shared" si="101"/>
        <v>455573.745</v>
      </c>
      <c r="CP23" s="32">
        <f t="shared" si="57"/>
        <v>23077.097999999998</v>
      </c>
      <c r="CQ23" s="49">
        <f t="shared" si="58"/>
        <v>478650.843</v>
      </c>
      <c r="CR23" s="49">
        <f t="shared" si="59"/>
        <v>29791.6581798</v>
      </c>
      <c r="CS23" s="49">
        <f t="shared" si="60"/>
        <v>602.7101388</v>
      </c>
      <c r="CU23" s="32">
        <f t="shared" si="102"/>
        <v>5199.445</v>
      </c>
      <c r="CV23" s="32">
        <f t="shared" si="61"/>
        <v>263.378</v>
      </c>
      <c r="CW23" s="32">
        <f t="shared" si="62"/>
        <v>5462.822999999999</v>
      </c>
      <c r="CX23" s="49">
        <f t="shared" si="63"/>
        <v>340.01100779999996</v>
      </c>
      <c r="CY23" s="49">
        <f t="shared" si="64"/>
        <v>6.8787068</v>
      </c>
      <c r="DA23" s="32">
        <f t="shared" si="103"/>
        <v>635152.11</v>
      </c>
      <c r="DB23" s="32">
        <f t="shared" si="65"/>
        <v>32173.644</v>
      </c>
      <c r="DC23" s="49">
        <f t="shared" si="66"/>
        <v>667325.754</v>
      </c>
      <c r="DD23" s="49">
        <f t="shared" si="67"/>
        <v>41534.9540244</v>
      </c>
      <c r="DE23" s="49">
        <f t="shared" si="68"/>
        <v>840.2868264</v>
      </c>
      <c r="DG23" s="32">
        <f t="shared" si="104"/>
        <v>6125.75</v>
      </c>
      <c r="DH23" s="32">
        <f t="shared" si="69"/>
        <v>310.3</v>
      </c>
      <c r="DI23" s="49">
        <f t="shared" si="70"/>
        <v>6436.05</v>
      </c>
      <c r="DJ23" s="49">
        <f t="shared" si="71"/>
        <v>400.58553</v>
      </c>
      <c r="DK23" s="49">
        <f t="shared" si="72"/>
        <v>8.10418</v>
      </c>
      <c r="DM23" s="32">
        <f t="shared" si="105"/>
        <v>4237.0725</v>
      </c>
      <c r="DN23" s="32">
        <f t="shared" si="73"/>
        <v>214.62900000000002</v>
      </c>
      <c r="DO23" s="49">
        <f t="shared" si="74"/>
        <v>4451.7015</v>
      </c>
      <c r="DP23" s="49">
        <f t="shared" si="75"/>
        <v>277.07789790000004</v>
      </c>
      <c r="DQ23" s="49">
        <f t="shared" si="76"/>
        <v>5.6055174</v>
      </c>
      <c r="DS23" s="32">
        <f t="shared" si="106"/>
        <v>2612.89</v>
      </c>
      <c r="DT23" s="49">
        <f t="shared" si="77"/>
        <v>132.356</v>
      </c>
      <c r="DU23" s="49">
        <f t="shared" si="78"/>
        <v>2745.246</v>
      </c>
      <c r="DV23" s="49">
        <f t="shared" si="79"/>
        <v>170.8665756</v>
      </c>
      <c r="DW23" s="49">
        <f t="shared" si="80"/>
        <v>3.4567736</v>
      </c>
      <c r="DY23" s="32">
        <f t="shared" si="107"/>
        <v>65.265</v>
      </c>
      <c r="DZ23" s="32">
        <f t="shared" si="81"/>
        <v>3.3059999999999996</v>
      </c>
      <c r="EA23" s="49">
        <f t="shared" si="82"/>
        <v>68.571</v>
      </c>
      <c r="EB23" s="49">
        <f t="shared" si="83"/>
        <v>4.2679206</v>
      </c>
      <c r="EC23" s="49">
        <f t="shared" si="84"/>
        <v>0.08634359999999999</v>
      </c>
      <c r="EE23" s="32">
        <f t="shared" si="108"/>
        <v>16083.242499999998</v>
      </c>
      <c r="EF23" s="32">
        <f t="shared" si="85"/>
        <v>814.697</v>
      </c>
      <c r="EG23" s="32">
        <f t="shared" si="86"/>
        <v>16897.939499999997</v>
      </c>
      <c r="EH23" s="49">
        <f t="shared" si="87"/>
        <v>1051.7429247</v>
      </c>
      <c r="EI23" s="49">
        <f t="shared" si="88"/>
        <v>21.2776382</v>
      </c>
      <c r="EK23" s="32">
        <f t="shared" si="109"/>
        <v>38676.955</v>
      </c>
      <c r="EL23" s="32">
        <f t="shared" si="89"/>
        <v>1959.182</v>
      </c>
      <c r="EM23" s="49">
        <f t="shared" si="90"/>
        <v>40636.137</v>
      </c>
      <c r="EN23" s="49">
        <f t="shared" si="91"/>
        <v>2529.2296482</v>
      </c>
      <c r="EO23" s="49">
        <f t="shared" si="92"/>
        <v>51.1684292</v>
      </c>
      <c r="EQ23" s="32">
        <f t="shared" si="110"/>
        <v>11030.93</v>
      </c>
      <c r="ER23" s="32">
        <f t="shared" si="93"/>
        <v>558.772</v>
      </c>
      <c r="ES23" s="49">
        <f t="shared" si="94"/>
        <v>11589.702000000001</v>
      </c>
      <c r="ET23" s="49">
        <f t="shared" si="95"/>
        <v>721.3534572</v>
      </c>
      <c r="EU23" s="49">
        <f t="shared" si="96"/>
        <v>14.5935832</v>
      </c>
      <c r="EV23"/>
    </row>
    <row r="24" spans="1:152" ht="12.75">
      <c r="A24" s="76">
        <v>47027</v>
      </c>
      <c r="D24" s="34">
        <v>146875</v>
      </c>
      <c r="E24" s="34">
        <f t="shared" si="0"/>
        <v>146875</v>
      </c>
      <c r="F24" s="34">
        <v>374379</v>
      </c>
      <c r="G24" s="34">
        <v>7574</v>
      </c>
      <c r="H24"/>
      <c r="I24" s="69"/>
      <c r="J24" s="69">
        <f t="shared" si="1"/>
        <v>47228.1703125</v>
      </c>
      <c r="K24" s="69">
        <f t="shared" si="2"/>
        <v>47228.1703125</v>
      </c>
      <c r="L24" s="69">
        <f t="shared" si="3"/>
        <v>120382.8777765</v>
      </c>
      <c r="M24" s="69">
        <f t="shared" si="4"/>
        <v>2435.4462089999997</v>
      </c>
      <c r="N24"/>
      <c r="P24" s="32">
        <f t="shared" si="5"/>
        <v>6490.553125</v>
      </c>
      <c r="Q24" s="32">
        <f t="shared" si="6"/>
        <v>6490.553125</v>
      </c>
      <c r="R24" s="49">
        <f t="shared" si="7"/>
        <v>16544.182389</v>
      </c>
      <c r="S24" s="49">
        <f t="shared" si="8"/>
        <v>334.702634</v>
      </c>
      <c r="T24"/>
      <c r="V24" s="49">
        <f t="shared" si="9"/>
        <v>6622.59375</v>
      </c>
      <c r="W24" s="49">
        <f t="shared" si="10"/>
        <v>6622.59375</v>
      </c>
      <c r="X24" s="49">
        <f t="shared" si="11"/>
        <v>16880.74911</v>
      </c>
      <c r="Y24" s="49">
        <f t="shared" si="12"/>
        <v>341.51166</v>
      </c>
      <c r="Z24"/>
      <c r="AB24" s="49">
        <f t="shared" si="13"/>
        <v>221.44343750000002</v>
      </c>
      <c r="AC24" s="49">
        <f t="shared" si="14"/>
        <v>221.44343750000002</v>
      </c>
      <c r="AD24" s="49">
        <f t="shared" si="15"/>
        <v>564.4512183</v>
      </c>
      <c r="AE24" s="49">
        <f t="shared" si="16"/>
        <v>11.4193198</v>
      </c>
      <c r="AF24"/>
      <c r="AH24" s="32">
        <f t="shared" si="17"/>
        <v>82.24999999999999</v>
      </c>
      <c r="AI24" s="32">
        <f t="shared" si="18"/>
        <v>82.24999999999999</v>
      </c>
      <c r="AJ24" s="49">
        <f t="shared" si="19"/>
        <v>209.65223999999998</v>
      </c>
      <c r="AK24" s="49">
        <f t="shared" si="20"/>
        <v>4.24144</v>
      </c>
      <c r="AN24" s="32">
        <f t="shared" si="21"/>
        <v>1246.5428124999999</v>
      </c>
      <c r="AO24" s="32">
        <f t="shared" si="22"/>
        <v>1246.5428124999999</v>
      </c>
      <c r="AP24" s="49">
        <f t="shared" si="23"/>
        <v>3177.3920108999996</v>
      </c>
      <c r="AQ24" s="49">
        <f t="shared" si="24"/>
        <v>64.28129539999999</v>
      </c>
      <c r="AR24"/>
      <c r="AS24" s="49"/>
      <c r="AT24" s="32">
        <f t="shared" si="25"/>
        <v>316.2953125</v>
      </c>
      <c r="AU24" s="49">
        <f t="shared" si="26"/>
        <v>316.2953125</v>
      </c>
      <c r="AV24" s="49">
        <f t="shared" si="27"/>
        <v>806.2251765</v>
      </c>
      <c r="AW24" s="49">
        <f t="shared" si="28"/>
        <v>16.310609</v>
      </c>
      <c r="AX24"/>
      <c r="AY24" s="49"/>
      <c r="AZ24" s="32">
        <f t="shared" si="29"/>
        <v>338.5175</v>
      </c>
      <c r="BA24" s="49">
        <f t="shared" si="30"/>
        <v>338.5175</v>
      </c>
      <c r="BB24" s="49">
        <f t="shared" si="31"/>
        <v>862.8687192</v>
      </c>
      <c r="BC24" s="49">
        <f t="shared" si="32"/>
        <v>17.4565552</v>
      </c>
      <c r="BD24"/>
      <c r="BF24" s="32">
        <f t="shared" si="33"/>
        <v>343.11468749999995</v>
      </c>
      <c r="BG24" s="32">
        <f t="shared" si="34"/>
        <v>343.11468749999995</v>
      </c>
      <c r="BH24" s="49">
        <f t="shared" si="35"/>
        <v>874.5867818999999</v>
      </c>
      <c r="BI24" s="49">
        <f t="shared" si="36"/>
        <v>17.693621399999998</v>
      </c>
      <c r="BJ24"/>
      <c r="BL24" s="32">
        <f t="shared" si="37"/>
        <v>68.1940625</v>
      </c>
      <c r="BM24" s="49">
        <f t="shared" si="38"/>
        <v>68.1940625</v>
      </c>
      <c r="BN24" s="49">
        <f t="shared" si="39"/>
        <v>173.8241697</v>
      </c>
      <c r="BO24" s="49">
        <f t="shared" si="40"/>
        <v>3.5166082000000003</v>
      </c>
      <c r="BR24" s="32">
        <f t="shared" si="41"/>
        <v>553.4396875</v>
      </c>
      <c r="BS24" s="49">
        <f t="shared" si="42"/>
        <v>553.4396875</v>
      </c>
      <c r="BT24" s="49">
        <f t="shared" si="43"/>
        <v>1410.6975099</v>
      </c>
      <c r="BU24" s="49">
        <f t="shared" si="44"/>
        <v>28.5395894</v>
      </c>
      <c r="BX24" s="32">
        <f t="shared" si="45"/>
        <v>16.861250000000013</v>
      </c>
      <c r="BY24" s="49">
        <f t="shared" si="46"/>
        <v>16.861250000000013</v>
      </c>
      <c r="BZ24" s="32">
        <f t="shared" si="47"/>
        <v>42.97870920000003</v>
      </c>
      <c r="CA24" s="49">
        <f t="shared" si="48"/>
        <v>0.8694952000000006</v>
      </c>
      <c r="CC24" s="49"/>
      <c r="CD24" s="49">
        <f t="shared" si="49"/>
        <v>484.775625</v>
      </c>
      <c r="CE24" s="32">
        <f t="shared" si="50"/>
        <v>484.775625</v>
      </c>
      <c r="CF24" s="49">
        <f t="shared" si="51"/>
        <v>1235.6753274</v>
      </c>
      <c r="CG24" s="49">
        <f t="shared" si="52"/>
        <v>24.9987444</v>
      </c>
      <c r="CI24" s="49"/>
      <c r="CJ24" s="49">
        <f t="shared" si="53"/>
        <v>305.1621875</v>
      </c>
      <c r="CK24" s="32">
        <f t="shared" si="54"/>
        <v>305.1621875</v>
      </c>
      <c r="CL24" s="49">
        <f t="shared" si="55"/>
        <v>777.8472483</v>
      </c>
      <c r="CM24" s="49">
        <f t="shared" si="56"/>
        <v>15.7364998</v>
      </c>
      <c r="CP24" s="32">
        <f t="shared" si="57"/>
        <v>11687.754375</v>
      </c>
      <c r="CQ24" s="49">
        <f t="shared" si="58"/>
        <v>11687.754375</v>
      </c>
      <c r="CR24" s="49">
        <f t="shared" si="59"/>
        <v>29791.6581798</v>
      </c>
      <c r="CS24" s="49">
        <f t="shared" si="60"/>
        <v>602.7101388</v>
      </c>
      <c r="CV24" s="32">
        <f t="shared" si="61"/>
        <v>133.391875</v>
      </c>
      <c r="CW24" s="32">
        <f t="shared" si="62"/>
        <v>133.391875</v>
      </c>
      <c r="CX24" s="49">
        <f t="shared" si="63"/>
        <v>340.01100779999996</v>
      </c>
      <c r="CY24" s="49">
        <f t="shared" si="64"/>
        <v>6.8787068</v>
      </c>
      <c r="DB24" s="32">
        <f t="shared" si="65"/>
        <v>16294.841250000001</v>
      </c>
      <c r="DC24" s="49">
        <f t="shared" si="66"/>
        <v>16294.841250000001</v>
      </c>
      <c r="DD24" s="49">
        <f t="shared" si="67"/>
        <v>41534.9540244</v>
      </c>
      <c r="DE24" s="49">
        <f t="shared" si="68"/>
        <v>840.2868264</v>
      </c>
      <c r="DH24" s="32">
        <f t="shared" si="69"/>
        <v>157.15625</v>
      </c>
      <c r="DI24" s="49">
        <f t="shared" si="70"/>
        <v>157.15625</v>
      </c>
      <c r="DJ24" s="49">
        <f t="shared" si="71"/>
        <v>400.58553</v>
      </c>
      <c r="DK24" s="49">
        <f t="shared" si="72"/>
        <v>8.10418</v>
      </c>
      <c r="DN24" s="32">
        <f t="shared" si="73"/>
        <v>108.70218750000001</v>
      </c>
      <c r="DO24" s="49">
        <f t="shared" si="74"/>
        <v>108.70218750000001</v>
      </c>
      <c r="DP24" s="49">
        <f t="shared" si="75"/>
        <v>277.07789790000004</v>
      </c>
      <c r="DQ24" s="49">
        <f t="shared" si="76"/>
        <v>5.6055174</v>
      </c>
      <c r="DT24" s="49">
        <f t="shared" si="77"/>
        <v>67.03375</v>
      </c>
      <c r="DU24" s="49">
        <f t="shared" si="78"/>
        <v>67.03375</v>
      </c>
      <c r="DV24" s="49">
        <f t="shared" si="79"/>
        <v>170.8665756</v>
      </c>
      <c r="DW24" s="49">
        <f t="shared" si="80"/>
        <v>3.4567736</v>
      </c>
      <c r="DZ24" s="32">
        <f t="shared" si="81"/>
        <v>1.674375</v>
      </c>
      <c r="EA24" s="49">
        <f t="shared" si="82"/>
        <v>1.674375</v>
      </c>
      <c r="EB24" s="49">
        <f t="shared" si="83"/>
        <v>4.2679206</v>
      </c>
      <c r="EC24" s="49">
        <f t="shared" si="84"/>
        <v>0.08634359999999999</v>
      </c>
      <c r="EF24" s="32">
        <f t="shared" si="85"/>
        <v>412.6159375</v>
      </c>
      <c r="EG24" s="32">
        <f t="shared" si="86"/>
        <v>412.6159375</v>
      </c>
      <c r="EH24" s="49">
        <f t="shared" si="87"/>
        <v>1051.7429247</v>
      </c>
      <c r="EI24" s="49">
        <f t="shared" si="88"/>
        <v>21.2776382</v>
      </c>
      <c r="EL24" s="32">
        <f t="shared" si="89"/>
        <v>992.2581250000001</v>
      </c>
      <c r="EM24" s="49">
        <f t="shared" si="90"/>
        <v>992.2581250000001</v>
      </c>
      <c r="EN24" s="49">
        <f t="shared" si="91"/>
        <v>2529.2296482</v>
      </c>
      <c r="EO24" s="49">
        <f t="shared" si="92"/>
        <v>51.1684292</v>
      </c>
      <c r="ER24" s="32">
        <f t="shared" si="93"/>
        <v>282.99875</v>
      </c>
      <c r="ES24" s="49">
        <f t="shared" si="94"/>
        <v>282.99875</v>
      </c>
      <c r="ET24" s="49">
        <f t="shared" si="95"/>
        <v>721.3534572</v>
      </c>
      <c r="EU24" s="49">
        <f t="shared" si="96"/>
        <v>14.5935832</v>
      </c>
      <c r="EV24"/>
    </row>
    <row r="25" spans="1:152" ht="12.75">
      <c r="A25" s="76">
        <v>47209</v>
      </c>
      <c r="C25" s="34">
        <v>5875000</v>
      </c>
      <c r="D25" s="34">
        <v>146875</v>
      </c>
      <c r="E25" s="34">
        <f t="shared" si="0"/>
        <v>6021875</v>
      </c>
      <c r="F25" s="34">
        <v>374379</v>
      </c>
      <c r="G25" s="34">
        <v>7574</v>
      </c>
      <c r="H25"/>
      <c r="I25" s="69">
        <f>O25+U25+AM25+AY25+AG25+BE25+BK25+BQ25+CC25+CI25+CO25+CU25+DA25+DM25+DY25+EE25+EK25+EQ25+AA25+AS25+DG25+DS25+BW25</f>
        <v>1889126.8125000002</v>
      </c>
      <c r="J25" s="69">
        <f t="shared" si="1"/>
        <v>47228.1703125</v>
      </c>
      <c r="K25" s="69">
        <f t="shared" si="2"/>
        <v>1936354.9828125003</v>
      </c>
      <c r="L25" s="69">
        <f t="shared" si="3"/>
        <v>120382.8777765</v>
      </c>
      <c r="M25" s="69">
        <f t="shared" si="4"/>
        <v>2435.4462089999997</v>
      </c>
      <c r="N25"/>
      <c r="O25" s="32">
        <f>C25*$P$6</f>
        <v>259622.125</v>
      </c>
      <c r="P25" s="32">
        <f t="shared" si="5"/>
        <v>6490.553125</v>
      </c>
      <c r="Q25" s="32">
        <f t="shared" si="6"/>
        <v>266112.678125</v>
      </c>
      <c r="R25" s="49">
        <f t="shared" si="7"/>
        <v>16544.182389</v>
      </c>
      <c r="S25" s="49">
        <f t="shared" si="8"/>
        <v>334.702634</v>
      </c>
      <c r="T25"/>
      <c r="U25" s="32">
        <f>C25*$V$6</f>
        <v>264903.75</v>
      </c>
      <c r="V25" s="49">
        <f t="shared" si="9"/>
        <v>6622.59375</v>
      </c>
      <c r="W25" s="49">
        <f t="shared" si="10"/>
        <v>271526.34375</v>
      </c>
      <c r="X25" s="49">
        <f t="shared" si="11"/>
        <v>16880.74911</v>
      </c>
      <c r="Y25" s="49">
        <f t="shared" si="12"/>
        <v>341.51166</v>
      </c>
      <c r="Z25"/>
      <c r="AA25" s="32">
        <f>C25*$AB$6</f>
        <v>8857.737500000001</v>
      </c>
      <c r="AB25" s="49">
        <f t="shared" si="13"/>
        <v>221.44343750000002</v>
      </c>
      <c r="AC25" s="49">
        <f t="shared" si="14"/>
        <v>9079.180937500001</v>
      </c>
      <c r="AD25" s="49">
        <f t="shared" si="15"/>
        <v>564.4512183</v>
      </c>
      <c r="AE25" s="49">
        <f t="shared" si="16"/>
        <v>11.4193198</v>
      </c>
      <c r="AF25"/>
      <c r="AG25" s="32">
        <f t="shared" si="97"/>
        <v>3289.9999999999995</v>
      </c>
      <c r="AH25" s="32">
        <f t="shared" si="17"/>
        <v>82.24999999999999</v>
      </c>
      <c r="AI25" s="32">
        <f t="shared" si="18"/>
        <v>3372.2499999999995</v>
      </c>
      <c r="AJ25" s="49">
        <f t="shared" si="19"/>
        <v>209.65223999999998</v>
      </c>
      <c r="AK25" s="49">
        <f t="shared" si="20"/>
        <v>4.24144</v>
      </c>
      <c r="AM25" s="32">
        <f>C25*$AN$6</f>
        <v>49861.712499999994</v>
      </c>
      <c r="AN25" s="32">
        <f t="shared" si="21"/>
        <v>1246.5428124999999</v>
      </c>
      <c r="AO25" s="32">
        <f t="shared" si="22"/>
        <v>51108.2553125</v>
      </c>
      <c r="AP25" s="49">
        <f t="shared" si="23"/>
        <v>3177.3920108999996</v>
      </c>
      <c r="AQ25" s="49">
        <f t="shared" si="24"/>
        <v>64.28129539999999</v>
      </c>
      <c r="AR25"/>
      <c r="AS25" s="49">
        <f>C25*$AT$6</f>
        <v>12651.8125</v>
      </c>
      <c r="AT25" s="32">
        <f t="shared" si="25"/>
        <v>316.2953125</v>
      </c>
      <c r="AU25" s="49">
        <f t="shared" si="26"/>
        <v>12968.1078125</v>
      </c>
      <c r="AV25" s="49">
        <f t="shared" si="27"/>
        <v>806.2251765</v>
      </c>
      <c r="AW25" s="49">
        <f t="shared" si="28"/>
        <v>16.310609</v>
      </c>
      <c r="AX25"/>
      <c r="AY25" s="49">
        <f>C25*$AZ$6</f>
        <v>13540.7</v>
      </c>
      <c r="AZ25" s="32">
        <f t="shared" si="29"/>
        <v>338.5175</v>
      </c>
      <c r="BA25" s="49">
        <f t="shared" si="30"/>
        <v>13879.2175</v>
      </c>
      <c r="BB25" s="49">
        <f t="shared" si="31"/>
        <v>862.8687192</v>
      </c>
      <c r="BC25" s="49">
        <f t="shared" si="32"/>
        <v>17.4565552</v>
      </c>
      <c r="BD25"/>
      <c r="BE25" s="32">
        <f>C25*$BF$6</f>
        <v>13724.5875</v>
      </c>
      <c r="BF25" s="32">
        <f t="shared" si="33"/>
        <v>343.11468749999995</v>
      </c>
      <c r="BG25" s="32">
        <f t="shared" si="34"/>
        <v>14067.7021875</v>
      </c>
      <c r="BH25" s="49">
        <f t="shared" si="35"/>
        <v>874.5867818999999</v>
      </c>
      <c r="BI25" s="49">
        <f t="shared" si="36"/>
        <v>17.693621399999998</v>
      </c>
      <c r="BJ25"/>
      <c r="BK25" s="32">
        <f>C25*$BL$6</f>
        <v>2727.7625000000003</v>
      </c>
      <c r="BL25" s="32">
        <f t="shared" si="37"/>
        <v>68.1940625</v>
      </c>
      <c r="BM25" s="49">
        <f t="shared" si="38"/>
        <v>2795.9565625000005</v>
      </c>
      <c r="BN25" s="49">
        <f t="shared" si="39"/>
        <v>173.8241697</v>
      </c>
      <c r="BO25" s="49">
        <f t="shared" si="40"/>
        <v>3.5166082000000003</v>
      </c>
      <c r="BQ25" s="32">
        <f>C25*$BR$6</f>
        <v>22137.587499999998</v>
      </c>
      <c r="BR25" s="32">
        <f t="shared" si="41"/>
        <v>553.4396875</v>
      </c>
      <c r="BS25" s="49">
        <f t="shared" si="42"/>
        <v>22691.027187499996</v>
      </c>
      <c r="BT25" s="49">
        <f t="shared" si="43"/>
        <v>1410.6975099</v>
      </c>
      <c r="BU25" s="49">
        <f t="shared" si="44"/>
        <v>28.5395894</v>
      </c>
      <c r="BW25" s="32">
        <f t="shared" si="98"/>
        <v>674.4500000000005</v>
      </c>
      <c r="BX25" s="32">
        <f t="shared" si="45"/>
        <v>16.861250000000013</v>
      </c>
      <c r="BY25" s="49">
        <f t="shared" si="46"/>
        <v>691.3112500000005</v>
      </c>
      <c r="BZ25" s="32">
        <f t="shared" si="47"/>
        <v>42.97870920000003</v>
      </c>
      <c r="CA25" s="49">
        <f t="shared" si="48"/>
        <v>0.8694952000000006</v>
      </c>
      <c r="CC25" s="49">
        <f t="shared" si="99"/>
        <v>19391.024999999998</v>
      </c>
      <c r="CD25" s="49">
        <f t="shared" si="49"/>
        <v>484.775625</v>
      </c>
      <c r="CE25" s="32">
        <f t="shared" si="50"/>
        <v>19875.800624999996</v>
      </c>
      <c r="CF25" s="49">
        <f t="shared" si="51"/>
        <v>1235.6753274</v>
      </c>
      <c r="CG25" s="49">
        <f t="shared" si="52"/>
        <v>24.9987444</v>
      </c>
      <c r="CI25" s="49">
        <f t="shared" si="100"/>
        <v>12206.487500000001</v>
      </c>
      <c r="CJ25" s="49">
        <f t="shared" si="53"/>
        <v>305.1621875</v>
      </c>
      <c r="CK25" s="32">
        <f t="shared" si="54"/>
        <v>12511.649687500001</v>
      </c>
      <c r="CL25" s="49">
        <f t="shared" si="55"/>
        <v>777.8472483</v>
      </c>
      <c r="CM25" s="49">
        <f t="shared" si="56"/>
        <v>15.7364998</v>
      </c>
      <c r="CO25" s="32">
        <f t="shared" si="101"/>
        <v>467510.175</v>
      </c>
      <c r="CP25" s="32">
        <f t="shared" si="57"/>
        <v>11687.754375</v>
      </c>
      <c r="CQ25" s="49">
        <f t="shared" si="58"/>
        <v>479197.929375</v>
      </c>
      <c r="CR25" s="49">
        <f t="shared" si="59"/>
        <v>29791.6581798</v>
      </c>
      <c r="CS25" s="49">
        <f t="shared" si="60"/>
        <v>602.7101388</v>
      </c>
      <c r="CU25" s="32">
        <f t="shared" si="102"/>
        <v>5335.675</v>
      </c>
      <c r="CV25" s="32">
        <f t="shared" si="61"/>
        <v>133.391875</v>
      </c>
      <c r="CW25" s="32">
        <f t="shared" si="62"/>
        <v>5469.066875</v>
      </c>
      <c r="CX25" s="49">
        <f t="shared" si="63"/>
        <v>340.01100779999996</v>
      </c>
      <c r="CY25" s="49">
        <f t="shared" si="64"/>
        <v>6.8787068</v>
      </c>
      <c r="DA25" s="32">
        <f t="shared" si="103"/>
        <v>651793.65</v>
      </c>
      <c r="DB25" s="32">
        <f t="shared" si="65"/>
        <v>16294.841250000001</v>
      </c>
      <c r="DC25" s="49">
        <f t="shared" si="66"/>
        <v>668088.4912500001</v>
      </c>
      <c r="DD25" s="49">
        <f t="shared" si="67"/>
        <v>41534.9540244</v>
      </c>
      <c r="DE25" s="49">
        <f t="shared" si="68"/>
        <v>840.2868264</v>
      </c>
      <c r="DG25" s="32">
        <f t="shared" si="104"/>
        <v>6286.25</v>
      </c>
      <c r="DH25" s="32">
        <f t="shared" si="69"/>
        <v>157.15625</v>
      </c>
      <c r="DI25" s="49">
        <f t="shared" si="70"/>
        <v>6443.40625</v>
      </c>
      <c r="DJ25" s="49">
        <f t="shared" si="71"/>
        <v>400.58553</v>
      </c>
      <c r="DK25" s="49">
        <f t="shared" si="72"/>
        <v>8.10418</v>
      </c>
      <c r="DM25" s="32">
        <f t="shared" si="105"/>
        <v>4348.087500000001</v>
      </c>
      <c r="DN25" s="32">
        <f t="shared" si="73"/>
        <v>108.70218750000001</v>
      </c>
      <c r="DO25" s="49">
        <f t="shared" si="74"/>
        <v>4456.789687500001</v>
      </c>
      <c r="DP25" s="49">
        <f t="shared" si="75"/>
        <v>277.07789790000004</v>
      </c>
      <c r="DQ25" s="49">
        <f t="shared" si="76"/>
        <v>5.6055174</v>
      </c>
      <c r="DS25" s="32">
        <f t="shared" si="106"/>
        <v>2681.35</v>
      </c>
      <c r="DT25" s="49">
        <f t="shared" si="77"/>
        <v>67.03375</v>
      </c>
      <c r="DU25" s="49">
        <f t="shared" si="78"/>
        <v>2748.38375</v>
      </c>
      <c r="DV25" s="49">
        <f t="shared" si="79"/>
        <v>170.8665756</v>
      </c>
      <c r="DW25" s="49">
        <f t="shared" si="80"/>
        <v>3.4567736</v>
      </c>
      <c r="DY25" s="32">
        <f t="shared" si="107"/>
        <v>66.975</v>
      </c>
      <c r="DZ25" s="32">
        <f t="shared" si="81"/>
        <v>1.674375</v>
      </c>
      <c r="EA25" s="49">
        <f t="shared" si="82"/>
        <v>68.64937499999999</v>
      </c>
      <c r="EB25" s="49">
        <f t="shared" si="83"/>
        <v>4.2679206</v>
      </c>
      <c r="EC25" s="49">
        <f t="shared" si="84"/>
        <v>0.08634359999999999</v>
      </c>
      <c r="EE25" s="32">
        <f t="shared" si="108"/>
        <v>16504.6375</v>
      </c>
      <c r="EF25" s="32">
        <f t="shared" si="85"/>
        <v>412.6159375</v>
      </c>
      <c r="EG25" s="32">
        <f t="shared" si="86"/>
        <v>16917.2534375</v>
      </c>
      <c r="EH25" s="49">
        <f t="shared" si="87"/>
        <v>1051.7429247</v>
      </c>
      <c r="EI25" s="49">
        <f t="shared" si="88"/>
        <v>21.2776382</v>
      </c>
      <c r="EK25" s="32">
        <f t="shared" si="109"/>
        <v>39690.325000000004</v>
      </c>
      <c r="EL25" s="32">
        <f t="shared" si="89"/>
        <v>992.2581250000001</v>
      </c>
      <c r="EM25" s="49">
        <f t="shared" si="90"/>
        <v>40682.583125000005</v>
      </c>
      <c r="EN25" s="49">
        <f t="shared" si="91"/>
        <v>2529.2296482</v>
      </c>
      <c r="EO25" s="49">
        <f t="shared" si="92"/>
        <v>51.1684292</v>
      </c>
      <c r="EQ25" s="32">
        <f t="shared" si="110"/>
        <v>11319.95</v>
      </c>
      <c r="ER25" s="32">
        <f t="shared" si="93"/>
        <v>282.99875</v>
      </c>
      <c r="ES25" s="49">
        <f t="shared" si="94"/>
        <v>11602.948750000001</v>
      </c>
      <c r="ET25" s="49">
        <f t="shared" si="95"/>
        <v>721.3534572</v>
      </c>
      <c r="EU25" s="49">
        <f t="shared" si="96"/>
        <v>14.5935832</v>
      </c>
      <c r="EV25"/>
    </row>
    <row r="26" spans="3:152" ht="12.75">
      <c r="C26" s="39"/>
      <c r="D26" s="39"/>
      <c r="E26" s="39"/>
      <c r="F26" s="39"/>
      <c r="G26" s="39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N26"/>
      <c r="BO26"/>
      <c r="BT26"/>
      <c r="BU26"/>
      <c r="CA26"/>
      <c r="CF26"/>
      <c r="CG26"/>
      <c r="CL26"/>
      <c r="CM26"/>
      <c r="CR26"/>
      <c r="CS26"/>
      <c r="CX26"/>
      <c r="CY26"/>
      <c r="DD26"/>
      <c r="DE26"/>
      <c r="DJ26"/>
      <c r="DK26"/>
      <c r="DP26"/>
      <c r="DQ26"/>
      <c r="DV26"/>
      <c r="DW26"/>
      <c r="EB26"/>
      <c r="EC26"/>
      <c r="EH26"/>
      <c r="EI26"/>
      <c r="EN26"/>
      <c r="EO26"/>
      <c r="ET26"/>
      <c r="EU26"/>
      <c r="EV26"/>
    </row>
    <row r="27" spans="1:152" ht="13.5" thickBot="1">
      <c r="A27" s="30" t="s">
        <v>4</v>
      </c>
      <c r="C27" s="48">
        <f>SUM(C8:C26)</f>
        <v>38080000</v>
      </c>
      <c r="D27" s="48">
        <f>SUM(D8:D26)</f>
        <v>11624250</v>
      </c>
      <c r="E27" s="48">
        <f>SUM(E8:E26)</f>
        <v>49704250</v>
      </c>
      <c r="F27" s="48">
        <f>SUM(F8:F26)</f>
        <v>6738822</v>
      </c>
      <c r="G27" s="48">
        <f>SUM(G8:G26)</f>
        <v>136332</v>
      </c>
      <c r="H27"/>
      <c r="I27" s="48">
        <f>SUM(I8:I26)</f>
        <v>12244757.28</v>
      </c>
      <c r="J27" s="48">
        <f>SUM(J8:J26)</f>
        <v>3737818.2723750016</v>
      </c>
      <c r="K27" s="48">
        <f>SUM(K8:K26)</f>
        <v>15982575.552375002</v>
      </c>
      <c r="L27" s="48">
        <f>SUM(L8:L26)</f>
        <v>2166891.7999770003</v>
      </c>
      <c r="M27" s="48">
        <f>SUM(M8:M26)</f>
        <v>43838.03176200001</v>
      </c>
      <c r="O27" s="48">
        <f>SUM(O8:O26)</f>
        <v>1682793.28</v>
      </c>
      <c r="P27" s="48">
        <f>SUM(P8:P26)</f>
        <v>513687.23175000004</v>
      </c>
      <c r="Q27" s="48">
        <f>SUM(Q8:Q26)</f>
        <v>2196480.51175</v>
      </c>
      <c r="R27" s="48">
        <f>SUM(R8:R26)</f>
        <v>297795.283002</v>
      </c>
      <c r="S27" s="48">
        <f>SUM(S8:S26)</f>
        <v>6024.647412000002</v>
      </c>
      <c r="T27"/>
      <c r="U27" s="48">
        <f>SUM(U8:U26)</f>
        <v>1717027.2</v>
      </c>
      <c r="V27" s="48">
        <f>SUM(V8:V26)</f>
        <v>524137.4324999999</v>
      </c>
      <c r="W27" s="48">
        <f>SUM(W8:W26)</f>
        <v>2241164.6325</v>
      </c>
      <c r="X27" s="48">
        <f>SUM(X8:X26)</f>
        <v>303853.48397999996</v>
      </c>
      <c r="Y27" s="48">
        <f>SUM(Y8:Y26)</f>
        <v>6147.209880000001</v>
      </c>
      <c r="Z27"/>
      <c r="AA27" s="48">
        <f>SUM(AA8:AA26)</f>
        <v>57413.216000000015</v>
      </c>
      <c r="AB27" s="48">
        <f>SUM(AB8:AB26)</f>
        <v>17525.881725</v>
      </c>
      <c r="AC27" s="48">
        <f>SUM(AC8:AC26)</f>
        <v>74939.097725</v>
      </c>
      <c r="AD27" s="48">
        <f>SUM(AD8:AD26)</f>
        <v>10160.1219294</v>
      </c>
      <c r="AE27" s="48">
        <f>SUM(AE8:AE26)</f>
        <v>205.54775640000005</v>
      </c>
      <c r="AF27"/>
      <c r="AG27" s="48">
        <f>SUM(AG8:AG26)</f>
        <v>21324.799999999996</v>
      </c>
      <c r="AH27" s="48">
        <f>SUM(AH8:AH26)</f>
        <v>6509.579999999998</v>
      </c>
      <c r="AI27" s="48">
        <f>SUM(AI8:AI26)</f>
        <v>27834.379999999997</v>
      </c>
      <c r="AJ27" s="48">
        <f>SUM(AJ8:AJ26)</f>
        <v>3773.7403199999985</v>
      </c>
      <c r="AK27" s="48">
        <f>SUM(AK8:AK26)</f>
        <v>76.34591999999998</v>
      </c>
      <c r="AL27" s="48"/>
      <c r="AM27" s="48">
        <f>SUM(AM8:AM26)</f>
        <v>323188.76800000004</v>
      </c>
      <c r="AN27" s="48">
        <f>SUM(AN8:AN26)</f>
        <v>98656.172175</v>
      </c>
      <c r="AO27" s="48">
        <f>SUM(AO8:AO26)</f>
        <v>421844.94017499994</v>
      </c>
      <c r="AP27" s="48">
        <f>SUM(AP8:AP26)</f>
        <v>57193.056196200014</v>
      </c>
      <c r="AQ27" s="48">
        <f>SUM(AQ8:AQ26)</f>
        <v>1157.0633172</v>
      </c>
      <c r="AR27"/>
      <c r="AS27" s="48">
        <f>SUM(AS8:AS26)</f>
        <v>82005.28</v>
      </c>
      <c r="AT27" s="48">
        <f>SUM(AT8:AT26)</f>
        <v>25032.822374999996</v>
      </c>
      <c r="AU27" s="48">
        <f>SUM(AU8:AU26)</f>
        <v>107038.10237500002</v>
      </c>
      <c r="AV27" s="48">
        <f>SUM(AV8:AV26)</f>
        <v>14512.053177</v>
      </c>
      <c r="AW27" s="48">
        <f>SUM(AW8:AW26)</f>
        <v>293.590962</v>
      </c>
      <c r="AX27"/>
      <c r="AY27" s="48">
        <f>SUM(AY8:AY26)</f>
        <v>87766.784</v>
      </c>
      <c r="AZ27" s="48">
        <f>SUM(AZ8:AZ26)</f>
        <v>26791.571400000008</v>
      </c>
      <c r="BA27" s="48">
        <f>SUM(BA8:BA26)</f>
        <v>114558.35540000003</v>
      </c>
      <c r="BB27" s="48">
        <f>SUM(BB8:BB26)</f>
        <v>15531.636945599997</v>
      </c>
      <c r="BC27" s="48">
        <f>SUM(BC8:BC26)</f>
        <v>314.21799360000006</v>
      </c>
      <c r="BD27"/>
      <c r="BE27" s="48">
        <f>SUM(BE8:BE26)</f>
        <v>88958.688</v>
      </c>
      <c r="BF27" s="48">
        <f>SUM(BF8:BF26)</f>
        <v>27155.410425000002</v>
      </c>
      <c r="BG27" s="48">
        <f>SUM(BG8:BG26)</f>
        <v>116114.09842499997</v>
      </c>
      <c r="BH27" s="48">
        <f>SUM(BH8:BH26)</f>
        <v>15742.562074199994</v>
      </c>
      <c r="BI27" s="48">
        <f>SUM(BI8:BI26)</f>
        <v>318.4851851999998</v>
      </c>
      <c r="BJ27"/>
      <c r="BK27" s="48">
        <f>SUM(BK8:BK26)</f>
        <v>17680.544</v>
      </c>
      <c r="BL27" s="48">
        <f>SUM(BL8:BL26)</f>
        <v>5397.139274999999</v>
      </c>
      <c r="BM27" s="48">
        <f>SUM(BM8:BM26)</f>
        <v>23077.683275</v>
      </c>
      <c r="BN27" s="48">
        <f>SUM(BN8:BN26)</f>
        <v>3128.8350545999997</v>
      </c>
      <c r="BO27" s="48">
        <f>SUM(BO8:BO26)</f>
        <v>63.298947600000005</v>
      </c>
      <c r="BQ27" s="48">
        <f>SUM(BQ8:BQ26)</f>
        <v>143489.248</v>
      </c>
      <c r="BR27" s="48">
        <f>SUM(BR8:BR26)</f>
        <v>43801.33642500001</v>
      </c>
      <c r="BS27" s="48">
        <f>SUM(BS8:BS26)</f>
        <v>187290.58442500004</v>
      </c>
      <c r="BT27" s="48">
        <f>SUM(BT8:BT26)</f>
        <v>25392.5551782</v>
      </c>
      <c r="BU27" s="48">
        <f>SUM(BU8:BU26)</f>
        <v>513.7126092000001</v>
      </c>
      <c r="BW27" s="48">
        <f>SUM(BW8:BW26)</f>
        <v>4371.5840000000035</v>
      </c>
      <c r="BX27" s="48">
        <f>SUM(BX8:BX26)</f>
        <v>1334.4639000000006</v>
      </c>
      <c r="BY27" s="48">
        <f>SUM(BY8:BY26)</f>
        <v>5706.047900000005</v>
      </c>
      <c r="BZ27" s="48">
        <f>SUM(BZ8:BZ26)</f>
        <v>773.6167656000006</v>
      </c>
      <c r="CA27" s="48">
        <f>SUM(CA8:CA26)</f>
        <v>15.650913600000013</v>
      </c>
      <c r="CC27" s="48">
        <f>SUM(CC8:CC26)</f>
        <v>125686.84799999998</v>
      </c>
      <c r="CD27" s="48">
        <f>SUM(CD8:CD26)</f>
        <v>38366.99955</v>
      </c>
      <c r="CE27" s="48">
        <f>SUM(CE8:CE26)</f>
        <v>164053.84755</v>
      </c>
      <c r="CF27" s="48">
        <f>SUM(CF8:CF26)</f>
        <v>22242.1558932</v>
      </c>
      <c r="CG27" s="48">
        <f>SUM(CG8:CG26)</f>
        <v>449.9773992000001</v>
      </c>
      <c r="CI27" s="48">
        <f>SUM(CI8:CI26)</f>
        <v>79118.816</v>
      </c>
      <c r="CJ27" s="48">
        <f>SUM(CJ8:CJ26)</f>
        <v>24151.704224999998</v>
      </c>
      <c r="CK27" s="48">
        <f>SUM(CK8:CK26)</f>
        <v>103270.52022499999</v>
      </c>
      <c r="CL27" s="48">
        <f>SUM(CL8:CL26)</f>
        <v>14001.250469400005</v>
      </c>
      <c r="CM27" s="48">
        <f>SUM(CM8:CM26)</f>
        <v>283.25699639999993</v>
      </c>
      <c r="CO27" s="48">
        <f>SUM(CO8:CO26)</f>
        <v>3030261.696</v>
      </c>
      <c r="CP27" s="48">
        <f>SUM(CP8:CP26)</f>
        <v>925013.6428500002</v>
      </c>
      <c r="CQ27" s="48">
        <f>SUM(CQ8:CQ26)</f>
        <v>3955275.3388499995</v>
      </c>
      <c r="CR27" s="48">
        <f>SUM(CR8:CR26)</f>
        <v>536249.8472364002</v>
      </c>
      <c r="CS27" s="48">
        <f>SUM(CS8:CS26)</f>
        <v>10848.782498399996</v>
      </c>
      <c r="CU27" s="48">
        <f>SUM(CU8:CU26)</f>
        <v>34584.256</v>
      </c>
      <c r="CV27" s="48">
        <f>SUM(CV8:CV26)</f>
        <v>10557.14385</v>
      </c>
      <c r="CW27" s="48">
        <f>SUM(CW8:CW26)</f>
        <v>45141.39984999999</v>
      </c>
      <c r="CX27" s="48">
        <f>SUM(CX8:CX26)</f>
        <v>6120.198140399998</v>
      </c>
      <c r="CY27" s="48">
        <f>SUM(CY8:CY26)</f>
        <v>123.81672240000005</v>
      </c>
      <c r="DA27" s="48">
        <f>SUM(DA8:DA26)</f>
        <v>4224732.288000001</v>
      </c>
      <c r="DB27" s="48">
        <f>SUM(DB8:DB26)</f>
        <v>1289636.1423000004</v>
      </c>
      <c r="DC27" s="48">
        <f>SUM(DC8:DC26)</f>
        <v>5514368.4303</v>
      </c>
      <c r="DD27" s="48">
        <f>SUM(DD8:DD26)</f>
        <v>747629.1724391999</v>
      </c>
      <c r="DE27" s="48">
        <f>SUM(DE8:DE26)</f>
        <v>15125.162875200007</v>
      </c>
      <c r="DG27" s="48">
        <f>SUM(DG8:DG26)</f>
        <v>40745.600000000006</v>
      </c>
      <c r="DH27" s="48">
        <f>SUM(DH8:DH26)</f>
        <v>12437.947500000002</v>
      </c>
      <c r="DI27" s="48">
        <f>SUM(DI8:DI26)</f>
        <v>53183.54750000001</v>
      </c>
      <c r="DJ27" s="48">
        <f>SUM(DJ8:DJ26)</f>
        <v>7210.539540000002</v>
      </c>
      <c r="DK27" s="48">
        <f>SUM(DK8:DK26)</f>
        <v>145.87523999999996</v>
      </c>
      <c r="DM27" s="48">
        <f>SUM(DM8:DM26)</f>
        <v>28183.008</v>
      </c>
      <c r="DN27" s="48">
        <f>SUM(DN8:DN26)</f>
        <v>8603.107425</v>
      </c>
      <c r="DO27" s="48">
        <f>SUM(DO8:DO26)</f>
        <v>36786.115425</v>
      </c>
      <c r="DP27" s="48">
        <f>SUM(DP8:DP26)</f>
        <v>4987.402162200001</v>
      </c>
      <c r="DQ27" s="48">
        <f>SUM(DQ8:DQ26)</f>
        <v>100.89931319999997</v>
      </c>
      <c r="DS27" s="48">
        <f>SUM(DS8:DS26)</f>
        <v>17379.712</v>
      </c>
      <c r="DT27" s="48">
        <f>SUM(DT8:DT26)</f>
        <v>5305.307699999999</v>
      </c>
      <c r="DU27" s="48">
        <f>SUM(DU8:DU26)</f>
        <v>22685.019699999997</v>
      </c>
      <c r="DV27" s="48">
        <f>SUM(DV8:DV26)</f>
        <v>3075.5983608</v>
      </c>
      <c r="DW27" s="48">
        <f>SUM(DW8:DW26)</f>
        <v>62.221924799999975</v>
      </c>
      <c r="DY27" s="48">
        <f>SUM(DY8:DY26)</f>
        <v>434.11199999999997</v>
      </c>
      <c r="DZ27" s="48">
        <f>SUM(DZ8:DZ26)</f>
        <v>132.51645</v>
      </c>
      <c r="EA27" s="48">
        <f>SUM(EA8:EA26)</f>
        <v>566.6284499999999</v>
      </c>
      <c r="EB27" s="48">
        <f>SUM(EB8:EB26)</f>
        <v>76.82257079999997</v>
      </c>
      <c r="EC27" s="48">
        <f>SUM(EC8:EC26)</f>
        <v>1.5541847999999996</v>
      </c>
      <c r="EE27" s="48">
        <f>SUM(EE8:EE26)</f>
        <v>106978.14399999999</v>
      </c>
      <c r="EF27" s="48">
        <f>SUM(EF8:EF26)</f>
        <v>32656.005524999997</v>
      </c>
      <c r="EG27" s="48">
        <f>SUM(EG8:EG26)</f>
        <v>139634.149525</v>
      </c>
      <c r="EH27" s="48">
        <f>SUM(EH8:EH26)</f>
        <v>18931.3726446</v>
      </c>
      <c r="EI27" s="48">
        <f>SUM(EI8:EI26)</f>
        <v>382.9974876000001</v>
      </c>
      <c r="EK27" s="48">
        <f>SUM(EK8:EK26)</f>
        <v>257260.86400000006</v>
      </c>
      <c r="EL27" s="48">
        <f>SUM(EL8:EL26)</f>
        <v>78531.10815</v>
      </c>
      <c r="EM27" s="48">
        <f>SUM(EM8:EM26)</f>
        <v>335791.97215000005</v>
      </c>
      <c r="EN27" s="48">
        <f>SUM(EN8:EN26)</f>
        <v>45526.13366760002</v>
      </c>
      <c r="EO27" s="48">
        <f>SUM(EO8:EO26)</f>
        <v>921.0317256</v>
      </c>
      <c r="EQ27" s="48">
        <f>SUM(EQ8:EQ26)</f>
        <v>73372.544</v>
      </c>
      <c r="ER27" s="48">
        <f>SUM(ER8:ER26)</f>
        <v>22397.6049</v>
      </c>
      <c r="ES27" s="48">
        <f>SUM(ES8:ES26)</f>
        <v>95770.1489</v>
      </c>
      <c r="ET27" s="48">
        <f>SUM(ET8:ET26)</f>
        <v>12984.362229600005</v>
      </c>
      <c r="EU27" s="48">
        <f>SUM(EU8:EU26)</f>
        <v>262.6844976000001</v>
      </c>
      <c r="EV27"/>
    </row>
    <row r="28" spans="8:152" ht="13.5" thickTop="1"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EV28"/>
    </row>
    <row r="29" spans="8:152" ht="12.75"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EV29"/>
    </row>
    <row r="30" spans="8:152" ht="12.75"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EV30"/>
    </row>
    <row r="31" spans="8:152" ht="12.75"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EV31"/>
    </row>
    <row r="32" spans="8:152" ht="12.75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EV32"/>
    </row>
    <row r="33" spans="8:152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EV33"/>
    </row>
    <row r="34" spans="8:152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EV34"/>
    </row>
    <row r="35" spans="8:152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EV35"/>
    </row>
    <row r="36" spans="8:152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EV36"/>
    </row>
    <row r="37" spans="8:152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EV37"/>
    </row>
    <row r="38" spans="8:152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EV38"/>
    </row>
    <row r="39" spans="1:152" ht="12.75">
      <c r="A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</row>
    <row r="40" spans="1:152" ht="12.75">
      <c r="A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</row>
    <row r="41" spans="1:15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</row>
    <row r="42" spans="1:15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5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5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ht="12.75">
      <c r="H49" s="32"/>
    </row>
    <row r="50" ht="12.75">
      <c r="H50" s="32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spans="1:152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1:152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1:152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zoomScale="150" zoomScaleNormal="15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9" sqref="E49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6" width="13.7109375" style="5" customWidth="1"/>
    <col min="7" max="7" width="13.7109375" style="5" hidden="1" customWidth="1"/>
    <col min="8" max="17" width="13.7109375" style="5" customWidth="1"/>
    <col min="18" max="18" width="13.7109375" style="5" hidden="1" customWidth="1"/>
    <col min="19" max="19" width="13.7109375" style="5" customWidth="1"/>
    <col min="20" max="20" width="13.7109375" style="12" customWidth="1"/>
    <col min="21" max="21" width="10.28125" style="0" bestFit="1" customWidth="1"/>
  </cols>
  <sheetData>
    <row r="1" ht="12.75">
      <c r="A1" s="18" t="s">
        <v>114</v>
      </c>
    </row>
    <row r="3" spans="1:20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6" t="s">
        <v>0</v>
      </c>
    </row>
    <row r="4" spans="1:20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14</v>
      </c>
      <c r="G4" s="4" t="s">
        <v>33</v>
      </c>
      <c r="H4" s="4" t="s">
        <v>33</v>
      </c>
      <c r="I4" s="4" t="s">
        <v>15</v>
      </c>
      <c r="J4" s="4" t="s">
        <v>16</v>
      </c>
      <c r="K4" s="4" t="s">
        <v>89</v>
      </c>
      <c r="L4" s="4" t="s">
        <v>22</v>
      </c>
      <c r="M4" s="4" t="s">
        <v>17</v>
      </c>
      <c r="N4" s="4" t="s">
        <v>41</v>
      </c>
      <c r="O4" s="4" t="s">
        <v>18</v>
      </c>
      <c r="P4" s="4" t="s">
        <v>43</v>
      </c>
      <c r="Q4" s="4" t="s">
        <v>19</v>
      </c>
      <c r="R4" s="4" t="s">
        <v>20</v>
      </c>
      <c r="S4" s="4" t="s">
        <v>20</v>
      </c>
      <c r="T4" s="57" t="s">
        <v>6</v>
      </c>
    </row>
    <row r="5" spans="1:20" s="11" customFormat="1" ht="13.5" thickBot="1">
      <c r="A5" s="8"/>
      <c r="B5" s="8"/>
      <c r="C5" s="8" t="s">
        <v>7</v>
      </c>
      <c r="D5" s="9">
        <f>SUM(E5:S5)</f>
        <v>101982841.72000001</v>
      </c>
      <c r="E5" s="9">
        <f aca="true" t="shared" si="0" ref="E5:S5">SUM(E6:E54)</f>
        <v>23224595.910000008</v>
      </c>
      <c r="F5" s="9">
        <f t="shared" si="0"/>
        <v>8131912.14</v>
      </c>
      <c r="G5" s="9">
        <f t="shared" si="0"/>
        <v>0</v>
      </c>
      <c r="H5" s="9">
        <f t="shared" si="0"/>
        <v>68820.04</v>
      </c>
      <c r="I5" s="9">
        <f t="shared" si="0"/>
        <v>1359431.58</v>
      </c>
      <c r="J5" s="9">
        <f t="shared" si="0"/>
        <v>2225921.1399999997</v>
      </c>
      <c r="K5" s="9">
        <f t="shared" si="0"/>
        <v>336603.6</v>
      </c>
      <c r="L5" s="9">
        <f t="shared" si="0"/>
        <v>909948.24</v>
      </c>
      <c r="M5" s="9">
        <f t="shared" si="0"/>
        <v>8295293.63</v>
      </c>
      <c r="N5" s="9">
        <f t="shared" si="0"/>
        <v>12025779.09</v>
      </c>
      <c r="O5" s="9">
        <f t="shared" si="0"/>
        <v>3603817.33</v>
      </c>
      <c r="P5" s="9">
        <f t="shared" si="0"/>
        <v>26406318.38</v>
      </c>
      <c r="Q5" s="9">
        <f t="shared" si="0"/>
        <v>15197900.64</v>
      </c>
      <c r="R5" s="9">
        <f t="shared" si="0"/>
        <v>0</v>
      </c>
      <c r="S5" s="9">
        <f t="shared" si="0"/>
        <v>196500</v>
      </c>
      <c r="T5" s="15"/>
    </row>
    <row r="6" spans="1:20" ht="13.5" thickTop="1">
      <c r="A6" s="6"/>
      <c r="B6" s="53"/>
      <c r="C6" s="5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6"/>
    </row>
    <row r="7" spans="1:20" ht="12.75">
      <c r="A7" s="53" t="s">
        <v>5</v>
      </c>
      <c r="B7" s="53" t="s">
        <v>88</v>
      </c>
      <c r="C7" s="53" t="s">
        <v>85</v>
      </c>
      <c r="D7" s="5">
        <f aca="true" t="shared" si="1" ref="D7:D53">SUM(E7:S7)</f>
        <v>4506724.630000001</v>
      </c>
      <c r="E7" s="74">
        <f>1546923.37+1512684.91+1447116.35</f>
        <v>4506724.630000001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2">
        <f aca="true" t="shared" si="2" ref="T7:T28">D7/$D$5</f>
        <v>0.04419100854605996</v>
      </c>
    </row>
    <row r="8" spans="1:20" ht="12.75">
      <c r="A8" s="53" t="s">
        <v>5</v>
      </c>
      <c r="B8" s="53" t="s">
        <v>86</v>
      </c>
      <c r="C8" s="53" t="s">
        <v>87</v>
      </c>
      <c r="D8" s="5">
        <f t="shared" si="1"/>
        <v>4598404.04</v>
      </c>
      <c r="E8" s="74">
        <f>3588616.28+1009787.76</f>
        <v>4598404.04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">
        <f t="shared" si="2"/>
        <v>0.04508997751430768</v>
      </c>
    </row>
    <row r="9" spans="1:20" ht="12.75">
      <c r="A9" s="53" t="s">
        <v>5</v>
      </c>
      <c r="B9" s="53" t="s">
        <v>93</v>
      </c>
      <c r="C9" s="53" t="s">
        <v>92</v>
      </c>
      <c r="D9" s="5">
        <f t="shared" si="1"/>
        <v>153759.05</v>
      </c>
      <c r="E9" s="74">
        <f>153759.05</f>
        <v>153759.05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2">
        <f t="shared" si="2"/>
        <v>0.0015076952888031367</v>
      </c>
    </row>
    <row r="10" spans="1:20" ht="12.75">
      <c r="A10" s="53" t="s">
        <v>14</v>
      </c>
      <c r="B10" s="53" t="s">
        <v>91</v>
      </c>
      <c r="C10" s="53" t="s">
        <v>85</v>
      </c>
      <c r="D10" s="5">
        <f t="shared" si="1"/>
        <v>865542.81</v>
      </c>
      <c r="E10" s="74"/>
      <c r="F10" s="74">
        <f>121126.6+107270.3+20782.57+616363.34</f>
        <v>865542.81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2">
        <f t="shared" si="2"/>
        <v>0.008487141517162265</v>
      </c>
    </row>
    <row r="11" spans="1:20" ht="12.75">
      <c r="A11" s="53" t="s">
        <v>14</v>
      </c>
      <c r="B11" s="53" t="s">
        <v>86</v>
      </c>
      <c r="C11" s="53" t="s">
        <v>115</v>
      </c>
      <c r="D11" s="5">
        <f t="shared" si="1"/>
        <v>219621.15</v>
      </c>
      <c r="E11" s="74"/>
      <c r="F11" s="74">
        <v>219621.15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">
        <f t="shared" si="2"/>
        <v>0.002153510789618738</v>
      </c>
    </row>
    <row r="12" spans="1:20" ht="12.75">
      <c r="A12" s="53" t="s">
        <v>14</v>
      </c>
      <c r="B12" s="53" t="s">
        <v>96</v>
      </c>
      <c r="C12" s="53" t="s">
        <v>92</v>
      </c>
      <c r="D12" s="5">
        <f t="shared" si="1"/>
        <v>235054.96</v>
      </c>
      <c r="E12" s="74"/>
      <c r="F12" s="74">
        <f>208013.9+27041.06</f>
        <v>235054.96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2">
        <f t="shared" si="2"/>
        <v>0.002304848110090494</v>
      </c>
    </row>
    <row r="13" spans="1:20" ht="12.75">
      <c r="A13" s="53" t="s">
        <v>33</v>
      </c>
      <c r="B13" s="53" t="s">
        <v>93</v>
      </c>
      <c r="C13" s="53" t="s">
        <v>92</v>
      </c>
      <c r="D13" s="5">
        <f t="shared" si="1"/>
        <v>68820.04</v>
      </c>
      <c r="E13" s="74"/>
      <c r="F13" s="74"/>
      <c r="G13" s="7"/>
      <c r="H13" s="74">
        <f>65597.23+3222.81</f>
        <v>68820.04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">
        <f t="shared" si="2"/>
        <v>0.0006748197916366121</v>
      </c>
    </row>
    <row r="14" spans="1:20" ht="12.75">
      <c r="A14" s="53" t="s">
        <v>15</v>
      </c>
      <c r="B14" s="53" t="s">
        <v>116</v>
      </c>
      <c r="C14" s="53" t="s">
        <v>85</v>
      </c>
      <c r="D14" s="5">
        <f t="shared" si="1"/>
        <v>238245</v>
      </c>
      <c r="E14" s="74"/>
      <c r="F14" s="74"/>
      <c r="G14" s="7"/>
      <c r="H14" s="7"/>
      <c r="I14" s="74">
        <f>31400+206845</f>
        <v>238245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12">
        <f t="shared" si="2"/>
        <v>0.0023361282739513757</v>
      </c>
    </row>
    <row r="15" spans="1:20" ht="12.75">
      <c r="A15" s="53" t="s">
        <v>15</v>
      </c>
      <c r="B15" s="53" t="s">
        <v>98</v>
      </c>
      <c r="C15" s="53" t="s">
        <v>99</v>
      </c>
      <c r="D15" s="5">
        <f t="shared" si="1"/>
        <v>47351.130000000005</v>
      </c>
      <c r="E15" s="74"/>
      <c r="F15" s="74"/>
      <c r="G15" s="7"/>
      <c r="H15" s="7"/>
      <c r="I15" s="74">
        <f>12504.05+34847.08</f>
        <v>47351.130000000005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12">
        <f t="shared" si="2"/>
        <v>0.0004643048693426818</v>
      </c>
    </row>
    <row r="16" spans="1:20" ht="12.75">
      <c r="A16" s="53" t="s">
        <v>16</v>
      </c>
      <c r="B16" s="53" t="s">
        <v>119</v>
      </c>
      <c r="C16" s="53" t="s">
        <v>85</v>
      </c>
      <c r="D16" s="5">
        <f t="shared" si="1"/>
        <v>384277.72</v>
      </c>
      <c r="E16" s="74"/>
      <c r="F16" s="74"/>
      <c r="G16" s="7"/>
      <c r="H16" s="7"/>
      <c r="I16" s="74"/>
      <c r="J16" s="74">
        <f>227274.04+157003.68</f>
        <v>384277.72</v>
      </c>
      <c r="K16" s="7"/>
      <c r="L16" s="7"/>
      <c r="M16" s="7"/>
      <c r="N16" s="7"/>
      <c r="O16" s="7"/>
      <c r="P16" s="7"/>
      <c r="Q16" s="7"/>
      <c r="R16" s="7"/>
      <c r="S16" s="7"/>
      <c r="T16" s="12">
        <f t="shared" si="2"/>
        <v>0.003768062485011522</v>
      </c>
    </row>
    <row r="17" spans="1:20" ht="12.75">
      <c r="A17" s="53" t="s">
        <v>89</v>
      </c>
      <c r="B17" s="53" t="s">
        <v>117</v>
      </c>
      <c r="C17" s="53" t="s">
        <v>85</v>
      </c>
      <c r="D17" s="5">
        <f t="shared" si="1"/>
        <v>336603.6</v>
      </c>
      <c r="E17" s="74"/>
      <c r="F17" s="74"/>
      <c r="G17" s="7"/>
      <c r="H17" s="7"/>
      <c r="I17" s="74"/>
      <c r="J17" s="7"/>
      <c r="K17" s="74">
        <f>299999.6+3642+32962</f>
        <v>336603.6</v>
      </c>
      <c r="L17" s="74"/>
      <c r="M17" s="7"/>
      <c r="N17" s="7"/>
      <c r="O17" s="7"/>
      <c r="P17" s="7"/>
      <c r="Q17" s="7"/>
      <c r="R17" s="7"/>
      <c r="S17" s="7"/>
      <c r="T17" s="12">
        <f t="shared" si="2"/>
        <v>0.003300590514276561</v>
      </c>
    </row>
    <row r="18" spans="1:20" ht="12.75">
      <c r="A18" s="53" t="s">
        <v>22</v>
      </c>
      <c r="B18" s="53" t="s">
        <v>93</v>
      </c>
      <c r="C18" s="53" t="s">
        <v>94</v>
      </c>
      <c r="D18" s="5">
        <f t="shared" si="1"/>
        <v>211892.24</v>
      </c>
      <c r="E18" s="74"/>
      <c r="F18" s="74"/>
      <c r="G18" s="7"/>
      <c r="H18" s="7"/>
      <c r="I18" s="74"/>
      <c r="J18" s="7"/>
      <c r="K18" s="74"/>
      <c r="L18" s="74">
        <f>117720.73+94171.51</f>
        <v>211892.24</v>
      </c>
      <c r="M18" s="7"/>
      <c r="N18" s="7"/>
      <c r="O18" s="7"/>
      <c r="P18" s="7"/>
      <c r="Q18" s="7"/>
      <c r="R18" s="7"/>
      <c r="S18" s="7"/>
      <c r="T18" s="12">
        <f t="shared" si="2"/>
        <v>0.002077724413502448</v>
      </c>
    </row>
    <row r="19" spans="1:20" ht="12.75">
      <c r="A19" s="53" t="s">
        <v>17</v>
      </c>
      <c r="B19" s="53" t="s">
        <v>84</v>
      </c>
      <c r="C19" s="53" t="s">
        <v>105</v>
      </c>
      <c r="D19" s="5">
        <f t="shared" si="1"/>
        <v>8115408.2</v>
      </c>
      <c r="E19" s="74"/>
      <c r="F19" s="7"/>
      <c r="G19" s="7"/>
      <c r="H19" s="7"/>
      <c r="I19" s="7"/>
      <c r="J19" s="7"/>
      <c r="K19" s="7"/>
      <c r="L19" s="7"/>
      <c r="M19" s="74">
        <f>5977649.54+2137758.66</f>
        <v>8115408.2</v>
      </c>
      <c r="N19" s="7"/>
      <c r="O19" s="7"/>
      <c r="P19" s="7"/>
      <c r="Q19" s="7"/>
      <c r="R19" s="7"/>
      <c r="S19" s="7"/>
      <c r="T19" s="12">
        <f t="shared" si="2"/>
        <v>0.07957621167569873</v>
      </c>
    </row>
    <row r="20" spans="1:20" ht="12.75">
      <c r="A20" s="53" t="s">
        <v>41</v>
      </c>
      <c r="B20" s="53" t="s">
        <v>86</v>
      </c>
      <c r="C20" s="53" t="s">
        <v>85</v>
      </c>
      <c r="D20" s="5">
        <f t="shared" si="1"/>
        <v>92624</v>
      </c>
      <c r="E20" s="74"/>
      <c r="F20" s="7"/>
      <c r="G20" s="7"/>
      <c r="H20" s="7"/>
      <c r="I20" s="7"/>
      <c r="J20" s="7"/>
      <c r="K20" s="7"/>
      <c r="L20" s="7"/>
      <c r="M20" s="74"/>
      <c r="N20" s="74">
        <f>52345+40279</f>
        <v>92624</v>
      </c>
      <c r="O20" s="7"/>
      <c r="P20" s="7"/>
      <c r="Q20" s="7"/>
      <c r="R20" s="7"/>
      <c r="S20" s="7"/>
      <c r="T20" s="12">
        <f t="shared" si="2"/>
        <v>0.0009082312126024565</v>
      </c>
    </row>
    <row r="21" spans="1:20" ht="12.75">
      <c r="A21" s="53" t="s">
        <v>41</v>
      </c>
      <c r="B21" s="53" t="s">
        <v>90</v>
      </c>
      <c r="C21" s="53" t="s">
        <v>104</v>
      </c>
      <c r="D21" s="5">
        <f t="shared" si="1"/>
        <v>11314346.92</v>
      </c>
      <c r="E21" s="74"/>
      <c r="F21" s="7"/>
      <c r="G21" s="7"/>
      <c r="H21" s="7"/>
      <c r="I21" s="7"/>
      <c r="J21" s="7"/>
      <c r="K21" s="7"/>
      <c r="L21" s="7"/>
      <c r="M21" s="74"/>
      <c r="N21" s="74">
        <f>8229563.9+3084783.02</f>
        <v>11314346.92</v>
      </c>
      <c r="O21" s="7"/>
      <c r="P21" s="7"/>
      <c r="Q21" s="7"/>
      <c r="R21" s="7"/>
      <c r="S21" s="7"/>
      <c r="T21" s="12">
        <f t="shared" si="2"/>
        <v>0.11094363256776288</v>
      </c>
    </row>
    <row r="22" spans="1:20" ht="12.75">
      <c r="A22" s="53" t="s">
        <v>41</v>
      </c>
      <c r="B22" s="53" t="s">
        <v>98</v>
      </c>
      <c r="C22" s="53" t="s">
        <v>92</v>
      </c>
      <c r="D22" s="5">
        <f t="shared" si="1"/>
        <v>109125</v>
      </c>
      <c r="E22" s="74"/>
      <c r="F22" s="7"/>
      <c r="G22" s="7"/>
      <c r="H22" s="7"/>
      <c r="I22" s="7"/>
      <c r="J22" s="7"/>
      <c r="K22" s="7"/>
      <c r="L22" s="7"/>
      <c r="M22" s="74"/>
      <c r="N22" s="74">
        <f>109125</f>
        <v>109125</v>
      </c>
      <c r="O22" s="7"/>
      <c r="P22" s="7"/>
      <c r="Q22" s="7"/>
      <c r="R22" s="7"/>
      <c r="S22" s="7"/>
      <c r="T22" s="12">
        <f t="shared" si="2"/>
        <v>0.001070032940439228</v>
      </c>
    </row>
    <row r="23" spans="1:20" ht="12.75">
      <c r="A23" s="53" t="s">
        <v>18</v>
      </c>
      <c r="B23" s="53" t="s">
        <v>88</v>
      </c>
      <c r="C23" s="53" t="s">
        <v>85</v>
      </c>
      <c r="D23" s="5">
        <f t="shared" si="1"/>
        <v>75473</v>
      </c>
      <c r="E23" s="74"/>
      <c r="F23" s="7"/>
      <c r="G23" s="7"/>
      <c r="H23" s="7"/>
      <c r="I23" s="7"/>
      <c r="J23" s="7"/>
      <c r="K23" s="7"/>
      <c r="L23" s="7"/>
      <c r="M23" s="74"/>
      <c r="N23" s="74"/>
      <c r="O23" s="74">
        <f>14712.46+60760.54</f>
        <v>75473</v>
      </c>
      <c r="P23" s="7"/>
      <c r="Q23" s="7"/>
      <c r="R23" s="7"/>
      <c r="S23" s="7"/>
      <c r="T23" s="12">
        <f t="shared" si="2"/>
        <v>0.0007400558635855199</v>
      </c>
    </row>
    <row r="24" spans="1:20" ht="12.75">
      <c r="A24" s="53" t="s">
        <v>18</v>
      </c>
      <c r="B24" s="53" t="s">
        <v>127</v>
      </c>
      <c r="C24" s="53" t="s">
        <v>118</v>
      </c>
      <c r="D24" s="5">
        <f t="shared" si="1"/>
        <v>46548.09</v>
      </c>
      <c r="E24" s="74"/>
      <c r="F24" s="7"/>
      <c r="G24" s="7"/>
      <c r="H24" s="7"/>
      <c r="I24" s="7"/>
      <c r="J24" s="7"/>
      <c r="K24" s="7"/>
      <c r="L24" s="7"/>
      <c r="M24" s="74"/>
      <c r="N24" s="74"/>
      <c r="O24" s="74">
        <f>46548.09</f>
        <v>46548.09</v>
      </c>
      <c r="P24" s="7"/>
      <c r="Q24" s="7"/>
      <c r="R24" s="7"/>
      <c r="S24" s="7"/>
      <c r="T24" s="12">
        <f t="shared" si="2"/>
        <v>0.00045643060356957455</v>
      </c>
    </row>
    <row r="25" spans="1:20" ht="12.75">
      <c r="A25" s="53" t="s">
        <v>18</v>
      </c>
      <c r="B25" s="53" t="s">
        <v>98</v>
      </c>
      <c r="C25" s="53" t="s">
        <v>92</v>
      </c>
      <c r="D25" s="5">
        <f t="shared" si="1"/>
        <v>1159.34</v>
      </c>
      <c r="E25" s="74"/>
      <c r="F25" s="7"/>
      <c r="G25" s="7"/>
      <c r="H25" s="7"/>
      <c r="I25" s="7"/>
      <c r="J25" s="7"/>
      <c r="K25" s="7"/>
      <c r="L25" s="7"/>
      <c r="M25" s="74"/>
      <c r="N25" s="74"/>
      <c r="O25" s="74">
        <f>1159.34</f>
        <v>1159.34</v>
      </c>
      <c r="P25" s="7"/>
      <c r="Q25" s="7"/>
      <c r="R25" s="7"/>
      <c r="S25" s="7"/>
      <c r="T25" s="12">
        <f t="shared" si="2"/>
        <v>1.1367990736942172E-05</v>
      </c>
    </row>
    <row r="26" spans="1:20" ht="12.75">
      <c r="A26" s="53" t="s">
        <v>43</v>
      </c>
      <c r="B26" s="53" t="s">
        <v>119</v>
      </c>
      <c r="C26" s="53" t="s">
        <v>85</v>
      </c>
      <c r="D26" s="5">
        <f t="shared" si="1"/>
        <v>286505.42</v>
      </c>
      <c r="E26" s="74"/>
      <c r="F26" s="7"/>
      <c r="G26" s="7"/>
      <c r="H26" s="7"/>
      <c r="I26" s="7"/>
      <c r="J26" s="7"/>
      <c r="K26" s="7"/>
      <c r="L26" s="7"/>
      <c r="M26" s="74"/>
      <c r="N26" s="74"/>
      <c r="O26" s="74"/>
      <c r="P26" s="74">
        <f>209172.72+77332.7</f>
        <v>286505.42</v>
      </c>
      <c r="Q26" s="7"/>
      <c r="R26" s="7"/>
      <c r="S26" s="7"/>
      <c r="T26" s="12">
        <f t="shared" si="2"/>
        <v>0.0028093492509908453</v>
      </c>
    </row>
    <row r="27" spans="1:20" ht="12.75">
      <c r="A27" s="53" t="s">
        <v>19</v>
      </c>
      <c r="B27" s="53" t="s">
        <v>95</v>
      </c>
      <c r="C27" s="53" t="s">
        <v>85</v>
      </c>
      <c r="D27" s="5">
        <f t="shared" si="1"/>
        <v>688971.45</v>
      </c>
      <c r="E27" s="74"/>
      <c r="F27" s="7"/>
      <c r="G27" s="7"/>
      <c r="H27" s="7"/>
      <c r="I27" s="7"/>
      <c r="J27" s="7"/>
      <c r="K27" s="7"/>
      <c r="L27" s="7"/>
      <c r="M27" s="74"/>
      <c r="N27" s="74"/>
      <c r="O27" s="74"/>
      <c r="P27" s="7"/>
      <c r="Q27" s="74">
        <f>42996.8+915.5+950+140724.51+503384.64</f>
        <v>688971.45</v>
      </c>
      <c r="R27" s="7"/>
      <c r="S27" s="7"/>
      <c r="T27" s="12">
        <f t="shared" si="2"/>
        <v>0.006755758501921453</v>
      </c>
    </row>
    <row r="28" spans="1:21" ht="12.75">
      <c r="A28" s="53" t="s">
        <v>20</v>
      </c>
      <c r="B28" s="53" t="s">
        <v>97</v>
      </c>
      <c r="C28" s="53" t="s">
        <v>92</v>
      </c>
      <c r="D28" s="5">
        <f t="shared" si="1"/>
        <v>196500</v>
      </c>
      <c r="E28" s="74"/>
      <c r="F28" s="7"/>
      <c r="G28" s="7"/>
      <c r="H28" s="7"/>
      <c r="I28" s="7"/>
      <c r="J28" s="7"/>
      <c r="K28" s="7"/>
      <c r="L28" s="7"/>
      <c r="M28" s="74"/>
      <c r="N28" s="74"/>
      <c r="O28" s="74"/>
      <c r="P28" s="7"/>
      <c r="Q28" s="74"/>
      <c r="R28" s="7"/>
      <c r="S28" s="74">
        <f>140799.09+42800+1900.91+11000</f>
        <v>196500</v>
      </c>
      <c r="T28" s="12">
        <f t="shared" si="2"/>
        <v>0.001926794710619091</v>
      </c>
      <c r="U28" s="12">
        <f>SUM(T7:T28)</f>
        <v>0.3215536774316901</v>
      </c>
    </row>
    <row r="29" spans="1:21" ht="12.75">
      <c r="A29" s="29" t="s">
        <v>5</v>
      </c>
      <c r="B29" s="29" t="s">
        <v>34</v>
      </c>
      <c r="C29" t="s">
        <v>57</v>
      </c>
      <c r="D29" s="5">
        <f t="shared" si="1"/>
        <v>5610738.3</v>
      </c>
      <c r="E29" s="5">
        <f>5610738.3</f>
        <v>5610738.3</v>
      </c>
      <c r="T29" s="12">
        <f aca="true" t="shared" si="3" ref="T29:T53">D29/$D$5</f>
        <v>0.05501649302345013</v>
      </c>
      <c r="U29" s="12"/>
    </row>
    <row r="30" spans="1:21" ht="12.75">
      <c r="A30" s="29" t="s">
        <v>5</v>
      </c>
      <c r="B30" s="29" t="s">
        <v>79</v>
      </c>
      <c r="C30" t="s">
        <v>38</v>
      </c>
      <c r="D30" s="5">
        <f t="shared" si="1"/>
        <v>6849501.3100000005</v>
      </c>
      <c r="E30" s="5">
        <f>2882462.83+3961124.41+5914.07</f>
        <v>6849501.3100000005</v>
      </c>
      <c r="T30" s="12">
        <f t="shared" si="3"/>
        <v>0.06716327172766685</v>
      </c>
      <c r="U30" s="12"/>
    </row>
    <row r="31" spans="1:21" ht="12.75">
      <c r="A31" s="29" t="s">
        <v>5</v>
      </c>
      <c r="B31" s="29" t="s">
        <v>37</v>
      </c>
      <c r="C31" t="s">
        <v>39</v>
      </c>
      <c r="D31" s="5">
        <f t="shared" si="1"/>
        <v>25080.14</v>
      </c>
      <c r="E31" s="5">
        <f>21743.03+3337.11</f>
        <v>25080.14</v>
      </c>
      <c r="T31" s="12">
        <f t="shared" si="3"/>
        <v>0.0002459250946238488</v>
      </c>
      <c r="U31" s="12"/>
    </row>
    <row r="32" spans="1:21" ht="12.75">
      <c r="A32" s="29" t="s">
        <v>5</v>
      </c>
      <c r="B32" s="29" t="s">
        <v>34</v>
      </c>
      <c r="C32" t="s">
        <v>40</v>
      </c>
      <c r="D32" s="5">
        <f t="shared" si="1"/>
        <v>1480388.44</v>
      </c>
      <c r="E32" s="5">
        <f>1219927.25+260461.19</f>
        <v>1480388.44</v>
      </c>
      <c r="T32" s="12">
        <f t="shared" si="3"/>
        <v>0.014516054024700497</v>
      </c>
      <c r="U32" s="12"/>
    </row>
    <row r="33" spans="1:20" ht="12.75">
      <c r="A33" s="29" t="s">
        <v>14</v>
      </c>
      <c r="B33" s="29" t="s">
        <v>81</v>
      </c>
      <c r="C33" t="s">
        <v>26</v>
      </c>
      <c r="D33" s="5">
        <f t="shared" si="1"/>
        <v>6811693.22</v>
      </c>
      <c r="F33" s="5">
        <f>4651282.72+1236484+60611.1+863315.4</f>
        <v>6811693.22</v>
      </c>
      <c r="T33" s="12">
        <f t="shared" si="3"/>
        <v>0.06679254181504288</v>
      </c>
    </row>
    <row r="34" spans="1:20" ht="12.75">
      <c r="A34" s="29" t="s">
        <v>15</v>
      </c>
      <c r="B34" s="29" t="s">
        <v>73</v>
      </c>
      <c r="C34" t="s">
        <v>54</v>
      </c>
      <c r="D34" s="5">
        <f t="shared" si="1"/>
        <v>1073835.45</v>
      </c>
      <c r="I34" s="5">
        <f>355365+706688+11782.45</f>
        <v>1073835.45</v>
      </c>
      <c r="T34" s="12">
        <f t="shared" si="3"/>
        <v>0.010529569797126064</v>
      </c>
    </row>
    <row r="35" spans="1:20" ht="12.75">
      <c r="A35" s="29" t="s">
        <v>16</v>
      </c>
      <c r="B35" s="29" t="s">
        <v>37</v>
      </c>
      <c r="C35" t="s">
        <v>59</v>
      </c>
      <c r="D35" s="5">
        <f t="shared" si="1"/>
        <v>59647.39</v>
      </c>
      <c r="J35" s="5">
        <f>43555.86+16091.53</f>
        <v>59647.39</v>
      </c>
      <c r="T35" s="12">
        <f t="shared" si="3"/>
        <v>0.0005848767203777815</v>
      </c>
    </row>
    <row r="36" spans="1:20" ht="12.75">
      <c r="A36" s="29" t="s">
        <v>16</v>
      </c>
      <c r="B36" s="29" t="s">
        <v>37</v>
      </c>
      <c r="C36" t="s">
        <v>74</v>
      </c>
      <c r="D36" s="5">
        <f t="shared" si="1"/>
        <v>687087.73</v>
      </c>
      <c r="J36" s="5">
        <f>645690.73+41397</f>
        <v>687087.73</v>
      </c>
      <c r="T36" s="12">
        <f t="shared" si="3"/>
        <v>0.006737287551629914</v>
      </c>
    </row>
    <row r="37" spans="1:20" ht="12.75">
      <c r="A37" s="29" t="s">
        <v>16</v>
      </c>
      <c r="B37" s="29" t="s">
        <v>79</v>
      </c>
      <c r="C37" t="s">
        <v>21</v>
      </c>
      <c r="D37" s="5">
        <f t="shared" si="1"/>
        <v>960535.5499999999</v>
      </c>
      <c r="J37" s="5">
        <f>552687.57+407847.98</f>
        <v>960535.5499999999</v>
      </c>
      <c r="T37" s="12">
        <f t="shared" si="3"/>
        <v>0.009418599578125188</v>
      </c>
    </row>
    <row r="38" spans="1:20" ht="12.75">
      <c r="A38" s="29" t="s">
        <v>16</v>
      </c>
      <c r="B38" s="29" t="s">
        <v>34</v>
      </c>
      <c r="C38" t="s">
        <v>120</v>
      </c>
      <c r="D38" s="5">
        <f t="shared" si="1"/>
        <v>134372.75</v>
      </c>
      <c r="J38" s="5">
        <f>134372.75</f>
        <v>134372.75</v>
      </c>
      <c r="T38" s="12">
        <f t="shared" si="3"/>
        <v>0.0013176015468261654</v>
      </c>
    </row>
    <row r="39" spans="1:20" ht="12.75">
      <c r="A39" s="29" t="s">
        <v>22</v>
      </c>
      <c r="B39" s="29" t="s">
        <v>37</v>
      </c>
      <c r="C39" t="s">
        <v>60</v>
      </c>
      <c r="D39" s="5">
        <f t="shared" si="1"/>
        <v>698056</v>
      </c>
      <c r="L39" s="5">
        <f>668994.58+29061.42</f>
        <v>698056</v>
      </c>
      <c r="T39" s="12">
        <f t="shared" si="3"/>
        <v>0.006844837702371096</v>
      </c>
    </row>
    <row r="40" spans="1:20" ht="12.75">
      <c r="A40" s="29" t="s">
        <v>17</v>
      </c>
      <c r="B40" s="29" t="s">
        <v>102</v>
      </c>
      <c r="C40" t="s">
        <v>121</v>
      </c>
      <c r="D40" s="5">
        <f t="shared" si="1"/>
        <v>39670.43</v>
      </c>
      <c r="M40" s="5">
        <f>39670.43</f>
        <v>39670.43</v>
      </c>
      <c r="T40" s="12">
        <f t="shared" si="3"/>
        <v>0.000388991219806539</v>
      </c>
    </row>
    <row r="41" spans="1:20" ht="12.75">
      <c r="A41" s="29" t="s">
        <v>17</v>
      </c>
      <c r="B41" s="29" t="s">
        <v>24</v>
      </c>
      <c r="C41" t="s">
        <v>45</v>
      </c>
      <c r="D41" s="5">
        <f t="shared" si="1"/>
        <v>140215</v>
      </c>
      <c r="M41" s="5">
        <f>130280+9935</f>
        <v>140215</v>
      </c>
      <c r="T41" s="12">
        <f t="shared" si="3"/>
        <v>0.00137488814427204</v>
      </c>
    </row>
    <row r="42" spans="1:20" ht="12.75">
      <c r="A42" s="29" t="s">
        <v>41</v>
      </c>
      <c r="B42" s="29" t="s">
        <v>34</v>
      </c>
      <c r="C42" t="s">
        <v>42</v>
      </c>
      <c r="D42" s="5">
        <f t="shared" si="1"/>
        <v>509683.17000000004</v>
      </c>
      <c r="N42" s="5">
        <f>212391.35+297291.82</f>
        <v>509683.17000000004</v>
      </c>
      <c r="T42" s="12">
        <f t="shared" si="3"/>
        <v>0.004997734534593237</v>
      </c>
    </row>
    <row r="43" spans="1:20" ht="12.75">
      <c r="A43" s="29" t="s">
        <v>18</v>
      </c>
      <c r="B43" s="29" t="s">
        <v>80</v>
      </c>
      <c r="C43" t="s">
        <v>44</v>
      </c>
      <c r="D43" s="5">
        <f t="shared" si="1"/>
        <v>3480636.9</v>
      </c>
      <c r="O43" s="5">
        <f>234980.06+282811.31+2962845.53</f>
        <v>3480636.9</v>
      </c>
      <c r="T43" s="12">
        <f t="shared" si="3"/>
        <v>0.034129632409697866</v>
      </c>
    </row>
    <row r="44" spans="1:20" ht="12.75">
      <c r="A44" s="29" t="s">
        <v>43</v>
      </c>
      <c r="B44" s="29" t="s">
        <v>100</v>
      </c>
      <c r="C44" t="s">
        <v>61</v>
      </c>
      <c r="D44" s="5">
        <f t="shared" si="1"/>
        <v>14405177.77</v>
      </c>
      <c r="P44" s="5">
        <f>310399.54+2172082.44+7354399.76+95689.58+4472606.45</f>
        <v>14405177.77</v>
      </c>
      <c r="T44" s="12">
        <f t="shared" si="3"/>
        <v>0.14125099405986621</v>
      </c>
    </row>
    <row r="45" spans="1:20" ht="12.75">
      <c r="A45" s="29" t="s">
        <v>43</v>
      </c>
      <c r="B45" s="29" t="s">
        <v>53</v>
      </c>
      <c r="C45" t="s">
        <v>62</v>
      </c>
      <c r="D45" s="5">
        <f t="shared" si="1"/>
        <v>2648169.12</v>
      </c>
      <c r="P45" s="5">
        <f>2122460.67+525708.45</f>
        <v>2648169.12</v>
      </c>
      <c r="T45" s="12">
        <f t="shared" si="3"/>
        <v>0.025966810449062665</v>
      </c>
    </row>
    <row r="46" spans="1:20" ht="12.75">
      <c r="A46" s="29" t="s">
        <v>43</v>
      </c>
      <c r="B46" s="29" t="s">
        <v>122</v>
      </c>
      <c r="C46" t="s">
        <v>123</v>
      </c>
      <c r="D46" s="5">
        <f t="shared" si="1"/>
        <v>9066466.07</v>
      </c>
      <c r="P46" s="5">
        <f>9066466.07</f>
        <v>9066466.07</v>
      </c>
      <c r="T46" s="12">
        <f t="shared" si="3"/>
        <v>0.0889018771892288</v>
      </c>
    </row>
    <row r="47" spans="1:20" ht="12.75">
      <c r="A47" s="29" t="s">
        <v>19</v>
      </c>
      <c r="B47" s="29" t="s">
        <v>124</v>
      </c>
      <c r="C47" t="s">
        <v>125</v>
      </c>
      <c r="D47" s="5">
        <f t="shared" si="1"/>
        <v>1933034.35</v>
      </c>
      <c r="Q47" s="5">
        <f>1933034.35</f>
        <v>1933034.35</v>
      </c>
      <c r="T47" s="12">
        <f t="shared" si="3"/>
        <v>0.018954505654071314</v>
      </c>
    </row>
    <row r="48" spans="1:20" ht="12.75">
      <c r="A48" s="29" t="s">
        <v>19</v>
      </c>
      <c r="B48" s="29" t="s">
        <v>126</v>
      </c>
      <c r="C48" t="s">
        <v>21</v>
      </c>
      <c r="D48" s="5">
        <f t="shared" si="1"/>
        <v>157478.5</v>
      </c>
      <c r="Q48" s="5">
        <f>157478.5</f>
        <v>157478.5</v>
      </c>
      <c r="T48" s="12">
        <f t="shared" si="3"/>
        <v>0.0015441666200316975</v>
      </c>
    </row>
    <row r="49" spans="1:20" ht="12.75">
      <c r="A49" s="29" t="s">
        <v>19</v>
      </c>
      <c r="B49" s="29" t="s">
        <v>34</v>
      </c>
      <c r="C49" t="s">
        <v>29</v>
      </c>
      <c r="D49" s="5">
        <f t="shared" si="1"/>
        <v>187820.61</v>
      </c>
      <c r="Q49" s="5">
        <f>187820.61</f>
        <v>187820.61</v>
      </c>
      <c r="T49" s="12">
        <f t="shared" si="3"/>
        <v>0.0018416883353346114</v>
      </c>
    </row>
    <row r="50" spans="1:20" ht="12.75">
      <c r="A50" s="29" t="s">
        <v>19</v>
      </c>
      <c r="B50" s="29" t="s">
        <v>34</v>
      </c>
      <c r="C50" t="s">
        <v>30</v>
      </c>
      <c r="D50" s="5">
        <f t="shared" si="1"/>
        <v>383065.3</v>
      </c>
      <c r="Q50" s="5">
        <f>34195+348870.3</f>
        <v>383065.3</v>
      </c>
      <c r="T50" s="12">
        <f t="shared" si="3"/>
        <v>0.0037561740145634365</v>
      </c>
    </row>
    <row r="51" spans="1:20" ht="12.75">
      <c r="A51" s="29" t="s">
        <v>19</v>
      </c>
      <c r="B51" s="29" t="s">
        <v>101</v>
      </c>
      <c r="C51" t="s">
        <v>52</v>
      </c>
      <c r="D51" s="5">
        <f t="shared" si="1"/>
        <v>10558652.030000001</v>
      </c>
      <c r="Q51" s="5">
        <f>3849859.26+262011.2+6446781.57</f>
        <v>10558652.030000001</v>
      </c>
      <c r="T51" s="12">
        <f t="shared" si="3"/>
        <v>0.10353361263446072</v>
      </c>
    </row>
    <row r="52" spans="1:20" ht="12.75">
      <c r="A52" s="29" t="s">
        <v>19</v>
      </c>
      <c r="B52" s="29" t="s">
        <v>37</v>
      </c>
      <c r="C52" t="s">
        <v>35</v>
      </c>
      <c r="D52" s="5">
        <f t="shared" si="1"/>
        <v>410072.25</v>
      </c>
      <c r="Q52" s="5">
        <f>75926.21+334146.04</f>
        <v>410072.25</v>
      </c>
      <c r="T52" s="12">
        <f t="shared" si="3"/>
        <v>0.004020992581535214</v>
      </c>
    </row>
    <row r="53" spans="1:20" ht="12.75">
      <c r="A53" s="29" t="s">
        <v>19</v>
      </c>
      <c r="B53" s="29" t="s">
        <v>102</v>
      </c>
      <c r="C53" t="s">
        <v>103</v>
      </c>
      <c r="D53" s="5">
        <f t="shared" si="1"/>
        <v>878806.15</v>
      </c>
      <c r="Q53" s="5">
        <f>190+878616.15</f>
        <v>878806.15</v>
      </c>
      <c r="T53" s="12">
        <f t="shared" si="3"/>
        <v>0.008617196139844924</v>
      </c>
    </row>
    <row r="54" spans="5:20" ht="12.7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7"/>
    </row>
    <row r="55" spans="2:20" s="12" customFormat="1" ht="13.5" thickBot="1">
      <c r="B55" s="54"/>
      <c r="C55" s="13" t="s">
        <v>8</v>
      </c>
      <c r="D55" s="58">
        <f>SUM(E55:S55)</f>
        <v>1</v>
      </c>
      <c r="E55" s="14">
        <f>E5/D5</f>
        <v>0.22773042521961218</v>
      </c>
      <c r="F55" s="14">
        <f>F5/D5</f>
        <v>0.07973804223191437</v>
      </c>
      <c r="G55" s="14">
        <f>G5/D5</f>
        <v>0</v>
      </c>
      <c r="H55" s="14">
        <f>H5/D5</f>
        <v>0.0006748197916366121</v>
      </c>
      <c r="I55" s="14">
        <f>I5/D5</f>
        <v>0.013330002940420123</v>
      </c>
      <c r="J55" s="14">
        <f>J5/D5</f>
        <v>0.02182642788197057</v>
      </c>
      <c r="K55" s="14">
        <f>K5/D5</f>
        <v>0.003300590514276561</v>
      </c>
      <c r="L55" s="14">
        <f>L5/D5</f>
        <v>0.008922562115873544</v>
      </c>
      <c r="M55" s="14">
        <f>M5/D5</f>
        <v>0.0813400910397773</v>
      </c>
      <c r="N55" s="14">
        <f>N5/D5</f>
        <v>0.1179196312553978</v>
      </c>
      <c r="O55" s="14">
        <f>O5/D5</f>
        <v>0.035337486867589904</v>
      </c>
      <c r="P55" s="14">
        <f>P5/D5</f>
        <v>0.25892903094914854</v>
      </c>
      <c r="Q55" s="14">
        <f>Q5/D5</f>
        <v>0.14902409448176338</v>
      </c>
      <c r="R55" s="14">
        <f>R5/D5</f>
        <v>0</v>
      </c>
      <c r="S55" s="14">
        <f>S5/D5</f>
        <v>0.001926794710619091</v>
      </c>
      <c r="T55" s="14">
        <f>SUM(T6:T54)</f>
        <v>0.9999999999999997</v>
      </c>
    </row>
    <row r="56" spans="1:20" s="12" customFormat="1" ht="13.5" thickTop="1">
      <c r="A56" s="33"/>
      <c r="C56" s="13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s="51" customFormat="1" ht="12.75">
      <c r="A57" s="53"/>
      <c r="B57" s="65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7"/>
    </row>
  </sheetData>
  <sheetProtection/>
  <printOptions/>
  <pageMargins left="0.25" right="0" top="1" bottom="0.5" header="0.5" footer="0.25"/>
  <pageSetup horizontalDpi="600" verticalDpi="600" orientation="landscape" paperSize="5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4:O48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3" sqref="I53"/>
    </sheetView>
  </sheetViews>
  <sheetFormatPr defaultColWidth="8.7109375" defaultRowHeight="12.75"/>
  <cols>
    <col min="1" max="1" width="8.7109375" style="0" customWidth="1"/>
    <col min="2" max="5" width="12.7109375" style="0" customWidth="1"/>
    <col min="6" max="6" width="8.7109375" style="0" customWidth="1"/>
    <col min="7" max="9" width="9.28125" style="0" bestFit="1" customWidth="1"/>
    <col min="10" max="10" width="12.28125" style="0" customWidth="1"/>
    <col min="11" max="11" width="3.7109375" style="0" customWidth="1"/>
    <col min="12" max="12" width="10.28125" style="0" bestFit="1" customWidth="1"/>
    <col min="13" max="13" width="9.421875" style="0" bestFit="1" customWidth="1"/>
    <col min="14" max="14" width="10.28125" style="0" bestFit="1" customWidth="1"/>
    <col min="15" max="15" width="12.421875" style="0" customWidth="1"/>
  </cols>
  <sheetData>
    <row r="4" spans="2:12" ht="12.75">
      <c r="B4" s="79">
        <v>1</v>
      </c>
      <c r="G4" s="79">
        <v>0.83</v>
      </c>
      <c r="H4">
        <f>C6*0.83</f>
        <v>0.000560084</v>
      </c>
      <c r="L4" s="79">
        <v>0.17</v>
      </c>
    </row>
    <row r="5" spans="2:15" ht="12.75">
      <c r="B5" s="59" t="s">
        <v>75</v>
      </c>
      <c r="C5" s="68"/>
      <c r="D5" s="37"/>
      <c r="E5" s="47"/>
      <c r="G5" s="80" t="s">
        <v>143</v>
      </c>
      <c r="H5" s="68"/>
      <c r="I5" s="37"/>
      <c r="J5" s="81"/>
      <c r="L5" s="80" t="s">
        <v>144</v>
      </c>
      <c r="M5" s="68"/>
      <c r="N5" s="37"/>
      <c r="O5" s="81"/>
    </row>
    <row r="6" spans="2:15" ht="12.75">
      <c r="B6" s="66"/>
      <c r="C6" s="12">
        <v>0.0006748</v>
      </c>
      <c r="D6" s="72"/>
      <c r="E6" s="78" t="s">
        <v>141</v>
      </c>
      <c r="G6" s="66"/>
      <c r="H6" s="12">
        <v>0.00056</v>
      </c>
      <c r="I6" s="72"/>
      <c r="J6" s="78" t="s">
        <v>141</v>
      </c>
      <c r="L6" s="66"/>
      <c r="M6" s="12">
        <f>C6-H6</f>
        <v>0.00011480000000000008</v>
      </c>
      <c r="N6" s="72"/>
      <c r="O6" s="78" t="s">
        <v>141</v>
      </c>
    </row>
    <row r="7" spans="2:15" ht="12.75">
      <c r="B7" s="38" t="s">
        <v>11</v>
      </c>
      <c r="C7" s="38" t="s">
        <v>12</v>
      </c>
      <c r="D7" s="38" t="s">
        <v>4</v>
      </c>
      <c r="E7" s="38" t="s">
        <v>142</v>
      </c>
      <c r="G7" s="38" t="s">
        <v>11</v>
      </c>
      <c r="H7" s="38" t="s">
        <v>12</v>
      </c>
      <c r="I7" s="38" t="s">
        <v>4</v>
      </c>
      <c r="J7" s="38" t="s">
        <v>142</v>
      </c>
      <c r="L7" s="38" t="s">
        <v>11</v>
      </c>
      <c r="M7" s="38" t="s">
        <v>12</v>
      </c>
      <c r="N7" s="38" t="s">
        <v>4</v>
      </c>
      <c r="O7" s="38" t="s">
        <v>142</v>
      </c>
    </row>
    <row r="8" spans="1:15" ht="12.75">
      <c r="A8" s="76">
        <v>40452</v>
      </c>
      <c r="B8" s="75"/>
      <c r="C8" s="75">
        <v>1427.0757499999997</v>
      </c>
      <c r="D8" s="75">
        <v>1427.0757499999997</v>
      </c>
      <c r="E8" s="49">
        <v>64.99876040000001</v>
      </c>
      <c r="H8" s="82">
        <f>$C8*$G$4</f>
        <v>1184.4728724999998</v>
      </c>
      <c r="I8" s="82">
        <f>SUM(G8:H8)</f>
        <v>1184.4728724999998</v>
      </c>
      <c r="J8" s="82">
        <f>$G$4*$E8</f>
        <v>53.948971132000004</v>
      </c>
      <c r="L8" s="82"/>
      <c r="M8" s="82">
        <f>C8-H8</f>
        <v>242.60287749999998</v>
      </c>
      <c r="N8" s="82">
        <f>SUM(L8:M8)</f>
        <v>242.60287749999998</v>
      </c>
      <c r="O8" s="82">
        <f>E8-J8</f>
        <v>11.049789268000005</v>
      </c>
    </row>
    <row r="9" spans="1:15" ht="12.75">
      <c r="A9" s="30">
        <v>40634</v>
      </c>
      <c r="B9" s="32">
        <v>2250.458</v>
      </c>
      <c r="C9" s="32">
        <v>1347.798284</v>
      </c>
      <c r="D9" s="32">
        <v>3598.256284</v>
      </c>
      <c r="E9" s="49">
        <v>64.99876040000001</v>
      </c>
      <c r="G9" s="82">
        <f>$G$4*$B9</f>
        <v>1867.88014</v>
      </c>
      <c r="H9" s="82">
        <f aca="true" t="shared" si="0" ref="H9:H45">$C9*$G$4</f>
        <v>1118.67257572</v>
      </c>
      <c r="I9" s="82">
        <f aca="true" t="shared" si="1" ref="I9:I45">SUM(G9:H9)</f>
        <v>2986.55271572</v>
      </c>
      <c r="J9" s="82">
        <f aca="true" t="shared" si="2" ref="J9:J45">$G$4*$E9</f>
        <v>53.948971132000004</v>
      </c>
      <c r="L9" s="82">
        <f aca="true" t="shared" si="3" ref="L9:L45">B9-G9</f>
        <v>382.5778600000001</v>
      </c>
      <c r="M9" s="82">
        <f aca="true" t="shared" si="4" ref="M9:M45">C9-H9</f>
        <v>229.12570828000003</v>
      </c>
      <c r="N9" s="82">
        <f aca="true" t="shared" si="5" ref="N9:N45">SUM(L9:M9)</f>
        <v>611.7035682800001</v>
      </c>
      <c r="O9" s="82">
        <f aca="true" t="shared" si="6" ref="O9:O45">E9-J9</f>
        <v>11.049789268000005</v>
      </c>
    </row>
    <row r="10" spans="1:15" ht="12.75">
      <c r="A10" s="30">
        <v>40817</v>
      </c>
      <c r="B10" s="32"/>
      <c r="C10" s="32">
        <v>1314.041414</v>
      </c>
      <c r="D10" s="32">
        <v>1314.041414</v>
      </c>
      <c r="E10" s="49">
        <v>64.99876040000001</v>
      </c>
      <c r="G10" s="82"/>
      <c r="H10" s="82">
        <f t="shared" si="0"/>
        <v>1090.65437362</v>
      </c>
      <c r="I10" s="82">
        <f t="shared" si="1"/>
        <v>1090.65437362</v>
      </c>
      <c r="J10" s="82">
        <f t="shared" si="2"/>
        <v>53.948971132000004</v>
      </c>
      <c r="L10" s="82"/>
      <c r="M10" s="82">
        <f t="shared" si="4"/>
        <v>223.38704038000014</v>
      </c>
      <c r="N10" s="82">
        <f t="shared" si="5"/>
        <v>223.38704038000014</v>
      </c>
      <c r="O10" s="82">
        <f t="shared" si="6"/>
        <v>11.049789268000005</v>
      </c>
    </row>
    <row r="11" spans="1:15" ht="12.75">
      <c r="A11" s="30">
        <v>41000</v>
      </c>
      <c r="B11" s="32">
        <v>2317.938</v>
      </c>
      <c r="C11" s="32">
        <v>1314.041414</v>
      </c>
      <c r="D11" s="32">
        <v>3631.9794140000004</v>
      </c>
      <c r="E11" s="49">
        <v>64.99876040000001</v>
      </c>
      <c r="G11" s="82">
        <f aca="true" t="shared" si="7" ref="G11:G45">$G$4*$B11</f>
        <v>1923.88854</v>
      </c>
      <c r="H11" s="82">
        <f t="shared" si="0"/>
        <v>1090.65437362</v>
      </c>
      <c r="I11" s="82">
        <f t="shared" si="1"/>
        <v>3014.54291362</v>
      </c>
      <c r="J11" s="82">
        <f t="shared" si="2"/>
        <v>53.948971132000004</v>
      </c>
      <c r="L11" s="82">
        <f t="shared" si="3"/>
        <v>394.0494600000002</v>
      </c>
      <c r="M11" s="82">
        <f t="shared" si="4"/>
        <v>223.38704038000014</v>
      </c>
      <c r="N11" s="82">
        <f t="shared" si="5"/>
        <v>617.4365003800003</v>
      </c>
      <c r="O11" s="82">
        <f t="shared" si="6"/>
        <v>11.049789268000005</v>
      </c>
    </row>
    <row r="12" spans="1:15" ht="12.75">
      <c r="A12" s="30">
        <v>41183</v>
      </c>
      <c r="B12" s="32"/>
      <c r="C12" s="32">
        <v>1267.682654</v>
      </c>
      <c r="D12" s="32">
        <v>1267.682654</v>
      </c>
      <c r="E12" s="49">
        <v>64.99876040000001</v>
      </c>
      <c r="G12" s="82"/>
      <c r="H12" s="82">
        <f t="shared" si="0"/>
        <v>1052.17660282</v>
      </c>
      <c r="I12" s="82">
        <f t="shared" si="1"/>
        <v>1052.17660282</v>
      </c>
      <c r="J12" s="82">
        <f t="shared" si="2"/>
        <v>53.948971132000004</v>
      </c>
      <c r="L12" s="82"/>
      <c r="M12" s="82">
        <f t="shared" si="4"/>
        <v>215.50605118</v>
      </c>
      <c r="N12" s="82">
        <f t="shared" si="5"/>
        <v>215.50605118</v>
      </c>
      <c r="O12" s="82">
        <f t="shared" si="6"/>
        <v>11.049789268000005</v>
      </c>
    </row>
    <row r="13" spans="1:15" ht="12.75">
      <c r="A13" s="30">
        <v>41365</v>
      </c>
      <c r="B13" s="32">
        <v>2409.036</v>
      </c>
      <c r="C13" s="32">
        <v>1267.682654</v>
      </c>
      <c r="D13" s="32">
        <v>3676.7186540000002</v>
      </c>
      <c r="E13" s="49">
        <v>64.99876040000001</v>
      </c>
      <c r="G13" s="82">
        <f t="shared" si="7"/>
        <v>1999.4998799999998</v>
      </c>
      <c r="H13" s="82">
        <f t="shared" si="0"/>
        <v>1052.17660282</v>
      </c>
      <c r="I13" s="82">
        <f t="shared" si="1"/>
        <v>3051.67648282</v>
      </c>
      <c r="J13" s="82">
        <f t="shared" si="2"/>
        <v>53.948971132000004</v>
      </c>
      <c r="L13" s="82">
        <f t="shared" si="3"/>
        <v>409.5361200000002</v>
      </c>
      <c r="M13" s="82">
        <f t="shared" si="4"/>
        <v>215.50605118</v>
      </c>
      <c r="N13" s="82">
        <f t="shared" si="5"/>
        <v>625.0421711800002</v>
      </c>
      <c r="O13" s="82">
        <f t="shared" si="6"/>
        <v>11.049789268000005</v>
      </c>
    </row>
    <row r="14" spans="1:15" ht="12.75">
      <c r="A14" s="30">
        <v>41548</v>
      </c>
      <c r="B14" s="32"/>
      <c r="C14" s="32">
        <v>1207.456754</v>
      </c>
      <c r="D14" s="32">
        <v>1207.456754</v>
      </c>
      <c r="E14" s="49">
        <v>64.99876040000001</v>
      </c>
      <c r="G14" s="82"/>
      <c r="H14" s="82">
        <f t="shared" si="0"/>
        <v>1002.18910582</v>
      </c>
      <c r="I14" s="82">
        <f t="shared" si="1"/>
        <v>1002.18910582</v>
      </c>
      <c r="J14" s="82">
        <f t="shared" si="2"/>
        <v>53.948971132000004</v>
      </c>
      <c r="L14" s="82"/>
      <c r="M14" s="82">
        <f t="shared" si="4"/>
        <v>205.26764818000004</v>
      </c>
      <c r="N14" s="82">
        <f t="shared" si="5"/>
        <v>205.26764818000004</v>
      </c>
      <c r="O14" s="82">
        <f t="shared" si="6"/>
        <v>11.049789268000005</v>
      </c>
    </row>
    <row r="15" spans="1:15" ht="12.75">
      <c r="A15" s="30">
        <v>41730</v>
      </c>
      <c r="B15" s="32">
        <v>2530.5</v>
      </c>
      <c r="C15" s="32">
        <v>1207.456754</v>
      </c>
      <c r="D15" s="32">
        <v>3737.956754</v>
      </c>
      <c r="E15" s="49">
        <v>64.99876040000001</v>
      </c>
      <c r="G15" s="82">
        <f t="shared" si="7"/>
        <v>2100.315</v>
      </c>
      <c r="H15" s="82">
        <f t="shared" si="0"/>
        <v>1002.18910582</v>
      </c>
      <c r="I15" s="82">
        <f t="shared" si="1"/>
        <v>3102.50410582</v>
      </c>
      <c r="J15" s="82">
        <f t="shared" si="2"/>
        <v>53.948971132000004</v>
      </c>
      <c r="L15" s="82">
        <f t="shared" si="3"/>
        <v>430.18499999999995</v>
      </c>
      <c r="M15" s="82">
        <f t="shared" si="4"/>
        <v>205.26764818000004</v>
      </c>
      <c r="N15" s="82">
        <f t="shared" si="5"/>
        <v>635.45264818</v>
      </c>
      <c r="O15" s="82">
        <f t="shared" si="6"/>
        <v>11.049789268000005</v>
      </c>
    </row>
    <row r="16" spans="1:15" ht="12.75">
      <c r="A16" s="30">
        <v>41913</v>
      </c>
      <c r="B16" s="32"/>
      <c r="C16" s="32">
        <v>1144.194254</v>
      </c>
      <c r="D16" s="32">
        <v>1144.194254</v>
      </c>
      <c r="E16" s="49">
        <v>64.99876040000001</v>
      </c>
      <c r="G16" s="82"/>
      <c r="H16" s="82">
        <f t="shared" si="0"/>
        <v>949.68123082</v>
      </c>
      <c r="I16" s="82">
        <f t="shared" si="1"/>
        <v>949.68123082</v>
      </c>
      <c r="J16" s="82">
        <f t="shared" si="2"/>
        <v>53.948971132000004</v>
      </c>
      <c r="L16" s="82"/>
      <c r="M16" s="82">
        <f t="shared" si="4"/>
        <v>194.51302318</v>
      </c>
      <c r="N16" s="82">
        <f t="shared" si="5"/>
        <v>194.51302318</v>
      </c>
      <c r="O16" s="82">
        <f t="shared" si="6"/>
        <v>11.049789268000005</v>
      </c>
    </row>
    <row r="17" spans="1:15" ht="12.75">
      <c r="A17" s="30">
        <v>42095</v>
      </c>
      <c r="B17" s="32">
        <v>2655.338</v>
      </c>
      <c r="C17" s="32">
        <v>1144.194254</v>
      </c>
      <c r="D17" s="32">
        <v>3799.532254</v>
      </c>
      <c r="E17" s="49">
        <v>64.99876040000001</v>
      </c>
      <c r="G17" s="82">
        <f t="shared" si="7"/>
        <v>2203.93054</v>
      </c>
      <c r="H17" s="82">
        <f t="shared" si="0"/>
        <v>949.68123082</v>
      </c>
      <c r="I17" s="82">
        <f t="shared" si="1"/>
        <v>3153.61177082</v>
      </c>
      <c r="J17" s="82">
        <f t="shared" si="2"/>
        <v>53.948971132000004</v>
      </c>
      <c r="L17" s="82">
        <f t="shared" si="3"/>
        <v>451.40746000000036</v>
      </c>
      <c r="M17" s="82">
        <f t="shared" si="4"/>
        <v>194.51302318</v>
      </c>
      <c r="N17" s="82">
        <f t="shared" si="5"/>
        <v>645.9204831800004</v>
      </c>
      <c r="O17" s="82">
        <f t="shared" si="6"/>
        <v>11.049789268000005</v>
      </c>
    </row>
    <row r="18" spans="1:15" ht="12.75">
      <c r="A18" s="30">
        <v>42278</v>
      </c>
      <c r="B18" s="32"/>
      <c r="C18" s="32">
        <v>1077.810804</v>
      </c>
      <c r="D18" s="32">
        <v>1077.810804</v>
      </c>
      <c r="E18" s="49">
        <v>64.99876040000001</v>
      </c>
      <c r="G18" s="82"/>
      <c r="H18" s="82">
        <f t="shared" si="0"/>
        <v>894.58296732</v>
      </c>
      <c r="I18" s="82">
        <f t="shared" si="1"/>
        <v>894.58296732</v>
      </c>
      <c r="J18" s="82">
        <f t="shared" si="2"/>
        <v>53.948971132000004</v>
      </c>
      <c r="L18" s="82"/>
      <c r="M18" s="82">
        <f t="shared" si="4"/>
        <v>183.22783668</v>
      </c>
      <c r="N18" s="82">
        <f t="shared" si="5"/>
        <v>183.22783668</v>
      </c>
      <c r="O18" s="82">
        <f t="shared" si="6"/>
        <v>11.049789268000005</v>
      </c>
    </row>
    <row r="19" spans="1:15" ht="12.75">
      <c r="A19" s="30">
        <v>42461</v>
      </c>
      <c r="B19" s="32">
        <v>2790.2980000000002</v>
      </c>
      <c r="C19" s="32">
        <v>1077.810804</v>
      </c>
      <c r="D19" s="32">
        <v>3868.1088040000004</v>
      </c>
      <c r="E19" s="49">
        <v>64.99876040000001</v>
      </c>
      <c r="G19" s="82">
        <f t="shared" si="7"/>
        <v>2315.94734</v>
      </c>
      <c r="H19" s="82">
        <f t="shared" si="0"/>
        <v>894.58296732</v>
      </c>
      <c r="I19" s="82">
        <f t="shared" si="1"/>
        <v>3210.5303073200002</v>
      </c>
      <c r="J19" s="82">
        <f t="shared" si="2"/>
        <v>53.948971132000004</v>
      </c>
      <c r="L19" s="82">
        <f t="shared" si="3"/>
        <v>474.35066000000006</v>
      </c>
      <c r="M19" s="82">
        <f t="shared" si="4"/>
        <v>183.22783668</v>
      </c>
      <c r="N19" s="82">
        <f t="shared" si="5"/>
        <v>657.5784966800001</v>
      </c>
      <c r="O19" s="82">
        <f t="shared" si="6"/>
        <v>11.049789268000005</v>
      </c>
    </row>
    <row r="20" spans="1:15" ht="12.75">
      <c r="A20" s="30">
        <v>42644</v>
      </c>
      <c r="B20" s="32"/>
      <c r="C20" s="32">
        <v>1008.053354</v>
      </c>
      <c r="D20" s="32">
        <v>1008.053354</v>
      </c>
      <c r="E20" s="49">
        <v>64.99876040000001</v>
      </c>
      <c r="G20" s="82"/>
      <c r="H20" s="82">
        <f t="shared" si="0"/>
        <v>836.68428382</v>
      </c>
      <c r="I20" s="82">
        <f t="shared" si="1"/>
        <v>836.68428382</v>
      </c>
      <c r="J20" s="82">
        <f t="shared" si="2"/>
        <v>53.948971132000004</v>
      </c>
      <c r="L20" s="82"/>
      <c r="M20" s="82">
        <f t="shared" si="4"/>
        <v>171.36907018</v>
      </c>
      <c r="N20" s="82">
        <f t="shared" si="5"/>
        <v>171.36907018</v>
      </c>
      <c r="O20" s="82">
        <f t="shared" si="6"/>
        <v>11.049789268000005</v>
      </c>
    </row>
    <row r="21" spans="1:15" ht="12.75">
      <c r="A21" s="30">
        <v>42826</v>
      </c>
      <c r="B21" s="32">
        <v>2928.632</v>
      </c>
      <c r="C21" s="32">
        <v>1008.053354</v>
      </c>
      <c r="D21" s="32">
        <v>3936.685354</v>
      </c>
      <c r="E21" s="49">
        <v>64.99876040000001</v>
      </c>
      <c r="G21" s="82">
        <f t="shared" si="7"/>
        <v>2430.76456</v>
      </c>
      <c r="H21" s="82">
        <f t="shared" si="0"/>
        <v>836.68428382</v>
      </c>
      <c r="I21" s="82">
        <f t="shared" si="1"/>
        <v>3267.44884382</v>
      </c>
      <c r="J21" s="82">
        <f t="shared" si="2"/>
        <v>53.948971132000004</v>
      </c>
      <c r="L21" s="82">
        <f t="shared" si="3"/>
        <v>497.86744</v>
      </c>
      <c r="M21" s="82">
        <f t="shared" si="4"/>
        <v>171.36907018</v>
      </c>
      <c r="N21" s="82">
        <f t="shared" si="5"/>
        <v>669.23651018</v>
      </c>
      <c r="O21" s="82">
        <f t="shared" si="6"/>
        <v>11.049789268000005</v>
      </c>
    </row>
    <row r="22" spans="1:15" ht="12.75">
      <c r="A22" s="30">
        <v>43009</v>
      </c>
      <c r="B22" s="32"/>
      <c r="C22" s="32">
        <v>934.8375540000001</v>
      </c>
      <c r="D22" s="32">
        <v>934.8375540000001</v>
      </c>
      <c r="E22" s="49">
        <v>64.99876040000001</v>
      </c>
      <c r="G22" s="82"/>
      <c r="H22" s="82">
        <f t="shared" si="0"/>
        <v>775.9151698200001</v>
      </c>
      <c r="I22" s="82">
        <f t="shared" si="1"/>
        <v>775.9151698200001</v>
      </c>
      <c r="J22" s="82">
        <f t="shared" si="2"/>
        <v>53.948971132000004</v>
      </c>
      <c r="L22" s="82"/>
      <c r="M22" s="82">
        <f t="shared" si="4"/>
        <v>158.92238418</v>
      </c>
      <c r="N22" s="82">
        <f t="shared" si="5"/>
        <v>158.92238418</v>
      </c>
      <c r="O22" s="82">
        <f t="shared" si="6"/>
        <v>11.049789268000005</v>
      </c>
    </row>
    <row r="23" spans="1:15" ht="12.75">
      <c r="A23" s="30">
        <v>43191</v>
      </c>
      <c r="B23" s="32">
        <v>3077.088</v>
      </c>
      <c r="C23" s="32">
        <v>934.8375540000001</v>
      </c>
      <c r="D23" s="32">
        <v>4011.9255540000004</v>
      </c>
      <c r="E23" s="49">
        <v>64.99876040000001</v>
      </c>
      <c r="G23" s="82">
        <f t="shared" si="7"/>
        <v>2553.98304</v>
      </c>
      <c r="H23" s="82">
        <f t="shared" si="0"/>
        <v>775.9151698200001</v>
      </c>
      <c r="I23" s="82">
        <f t="shared" si="1"/>
        <v>3329.8982098200004</v>
      </c>
      <c r="J23" s="82">
        <f t="shared" si="2"/>
        <v>53.948971132000004</v>
      </c>
      <c r="L23" s="82">
        <f t="shared" si="3"/>
        <v>523.1049600000001</v>
      </c>
      <c r="M23" s="82">
        <f t="shared" si="4"/>
        <v>158.92238418</v>
      </c>
      <c r="N23" s="82">
        <f t="shared" si="5"/>
        <v>682.0273441800001</v>
      </c>
      <c r="O23" s="82">
        <f t="shared" si="6"/>
        <v>11.049789268000005</v>
      </c>
    </row>
    <row r="24" spans="1:15" ht="12.75">
      <c r="A24" s="30">
        <v>43374</v>
      </c>
      <c r="B24" s="32"/>
      <c r="C24" s="32">
        <v>857.910354</v>
      </c>
      <c r="D24" s="32">
        <v>857.910354</v>
      </c>
      <c r="E24" s="49">
        <v>64.99876040000001</v>
      </c>
      <c r="G24" s="82"/>
      <c r="H24" s="82">
        <f t="shared" si="0"/>
        <v>712.06559382</v>
      </c>
      <c r="I24" s="82">
        <f t="shared" si="1"/>
        <v>712.06559382</v>
      </c>
      <c r="J24" s="82">
        <f t="shared" si="2"/>
        <v>53.948971132000004</v>
      </c>
      <c r="L24" s="82"/>
      <c r="M24" s="82">
        <f t="shared" si="4"/>
        <v>145.84476017999998</v>
      </c>
      <c r="N24" s="82">
        <f t="shared" si="5"/>
        <v>145.84476017999998</v>
      </c>
      <c r="O24" s="82">
        <f t="shared" si="6"/>
        <v>11.049789268000005</v>
      </c>
    </row>
    <row r="25" spans="1:15" ht="12.75">
      <c r="A25" s="30">
        <v>43556</v>
      </c>
      <c r="B25" s="32">
        <v>3228.918</v>
      </c>
      <c r="C25" s="32">
        <v>857.910354</v>
      </c>
      <c r="D25" s="32">
        <v>4086.828354</v>
      </c>
      <c r="E25" s="49">
        <v>64.99876040000001</v>
      </c>
      <c r="G25" s="82">
        <f t="shared" si="7"/>
        <v>2680.00194</v>
      </c>
      <c r="H25" s="82">
        <f t="shared" si="0"/>
        <v>712.06559382</v>
      </c>
      <c r="I25" s="82">
        <f t="shared" si="1"/>
        <v>3392.06753382</v>
      </c>
      <c r="J25" s="82">
        <f t="shared" si="2"/>
        <v>53.948971132000004</v>
      </c>
      <c r="L25" s="82">
        <f t="shared" si="3"/>
        <v>548.91606</v>
      </c>
      <c r="M25" s="82">
        <f t="shared" si="4"/>
        <v>145.84476017999998</v>
      </c>
      <c r="N25" s="82">
        <f t="shared" si="5"/>
        <v>694.76082018</v>
      </c>
      <c r="O25" s="82">
        <f t="shared" si="6"/>
        <v>11.049789268000005</v>
      </c>
    </row>
    <row r="26" spans="1:15" ht="12.75">
      <c r="A26" s="30">
        <v>43739</v>
      </c>
      <c r="B26" s="32"/>
      <c r="C26" s="32">
        <v>777.187404</v>
      </c>
      <c r="D26" s="32">
        <v>777.187404</v>
      </c>
      <c r="E26" s="49">
        <v>64.99876040000001</v>
      </c>
      <c r="G26" s="82"/>
      <c r="H26" s="82">
        <f t="shared" si="0"/>
        <v>645.06554532</v>
      </c>
      <c r="I26" s="82">
        <f t="shared" si="1"/>
        <v>645.06554532</v>
      </c>
      <c r="J26" s="82">
        <f t="shared" si="2"/>
        <v>53.948971132000004</v>
      </c>
      <c r="L26" s="82"/>
      <c r="M26" s="82">
        <f t="shared" si="4"/>
        <v>132.12185868000006</v>
      </c>
      <c r="N26" s="82">
        <f t="shared" si="5"/>
        <v>132.12185868000006</v>
      </c>
      <c r="O26" s="82">
        <f t="shared" si="6"/>
        <v>11.049789268000005</v>
      </c>
    </row>
    <row r="27" spans="1:15" ht="12.75">
      <c r="A27" s="76">
        <v>43922</v>
      </c>
      <c r="B27" s="32">
        <v>3390.8700000000003</v>
      </c>
      <c r="C27" s="32">
        <v>777.187404</v>
      </c>
      <c r="D27" s="32">
        <v>4168.057404</v>
      </c>
      <c r="E27" s="49">
        <v>64.99876040000001</v>
      </c>
      <c r="G27" s="82">
        <f t="shared" si="7"/>
        <v>2814.4221000000002</v>
      </c>
      <c r="H27" s="82">
        <f t="shared" si="0"/>
        <v>645.06554532</v>
      </c>
      <c r="I27" s="82">
        <f t="shared" si="1"/>
        <v>3459.4876453200004</v>
      </c>
      <c r="J27" s="82">
        <f t="shared" si="2"/>
        <v>53.948971132000004</v>
      </c>
      <c r="L27" s="82">
        <f t="shared" si="3"/>
        <v>576.4479000000001</v>
      </c>
      <c r="M27" s="82">
        <f t="shared" si="4"/>
        <v>132.12185868000006</v>
      </c>
      <c r="N27" s="82">
        <f t="shared" si="5"/>
        <v>708.5697586800002</v>
      </c>
      <c r="O27" s="82">
        <f t="shared" si="6"/>
        <v>11.049789268000005</v>
      </c>
    </row>
    <row r="28" spans="1:15" ht="12.75">
      <c r="A28" s="76">
        <v>44105</v>
      </c>
      <c r="B28" s="32"/>
      <c r="C28" s="32">
        <v>709.370004</v>
      </c>
      <c r="D28" s="32">
        <v>709.370004</v>
      </c>
      <c r="E28" s="49">
        <v>64.99876040000001</v>
      </c>
      <c r="G28" s="82"/>
      <c r="H28" s="82">
        <f t="shared" si="0"/>
        <v>588.7771033199999</v>
      </c>
      <c r="I28" s="82">
        <f t="shared" si="1"/>
        <v>588.7771033199999</v>
      </c>
      <c r="J28" s="82">
        <f t="shared" si="2"/>
        <v>53.948971132000004</v>
      </c>
      <c r="L28" s="82"/>
      <c r="M28" s="82">
        <f t="shared" si="4"/>
        <v>120.59290068000007</v>
      </c>
      <c r="N28" s="82">
        <f t="shared" si="5"/>
        <v>120.59290068000007</v>
      </c>
      <c r="O28" s="82">
        <f t="shared" si="6"/>
        <v>11.049789268000005</v>
      </c>
    </row>
    <row r="29" spans="1:15" ht="12.75">
      <c r="A29" s="76">
        <v>44287</v>
      </c>
      <c r="B29" s="32">
        <v>3525.8300000000004</v>
      </c>
      <c r="C29" s="32">
        <v>709.370004</v>
      </c>
      <c r="D29" s="32">
        <v>4235.200004</v>
      </c>
      <c r="E29" s="49">
        <v>64.99876040000001</v>
      </c>
      <c r="G29" s="82">
        <f t="shared" si="7"/>
        <v>2926.4389</v>
      </c>
      <c r="H29" s="82">
        <f t="shared" si="0"/>
        <v>588.7771033199999</v>
      </c>
      <c r="I29" s="82">
        <f t="shared" si="1"/>
        <v>3515.21600332</v>
      </c>
      <c r="J29" s="82">
        <f t="shared" si="2"/>
        <v>53.948971132000004</v>
      </c>
      <c r="L29" s="82">
        <f t="shared" si="3"/>
        <v>599.3911000000003</v>
      </c>
      <c r="M29" s="82">
        <f t="shared" si="4"/>
        <v>120.59290068000007</v>
      </c>
      <c r="N29" s="82">
        <f t="shared" si="5"/>
        <v>719.9840006800003</v>
      </c>
      <c r="O29" s="82">
        <f t="shared" si="6"/>
        <v>11.049789268000005</v>
      </c>
    </row>
    <row r="30" spans="1:15" ht="12.75">
      <c r="A30" s="76">
        <v>44470</v>
      </c>
      <c r="B30" s="32"/>
      <c r="C30" s="32">
        <v>638.8534040000001</v>
      </c>
      <c r="D30" s="32">
        <v>638.8534040000001</v>
      </c>
      <c r="E30" s="49">
        <v>64.99876040000001</v>
      </c>
      <c r="G30" s="82"/>
      <c r="H30" s="82">
        <f t="shared" si="0"/>
        <v>530.24832532</v>
      </c>
      <c r="I30" s="82">
        <f t="shared" si="1"/>
        <v>530.24832532</v>
      </c>
      <c r="J30" s="82">
        <f t="shared" si="2"/>
        <v>53.948971132000004</v>
      </c>
      <c r="L30" s="82"/>
      <c r="M30" s="82">
        <f t="shared" si="4"/>
        <v>108.60507868000002</v>
      </c>
      <c r="N30" s="82">
        <f t="shared" si="5"/>
        <v>108.60507868000002</v>
      </c>
      <c r="O30" s="82">
        <f t="shared" si="6"/>
        <v>11.049789268000005</v>
      </c>
    </row>
    <row r="31" spans="1:15" ht="12.75">
      <c r="A31" s="76">
        <v>44652</v>
      </c>
      <c r="B31" s="32">
        <v>3667.538</v>
      </c>
      <c r="C31" s="32">
        <v>638.8534040000001</v>
      </c>
      <c r="D31" s="32">
        <v>4306.391404</v>
      </c>
      <c r="E31" s="49">
        <v>64.99876040000001</v>
      </c>
      <c r="G31" s="82">
        <f t="shared" si="7"/>
        <v>3044.05654</v>
      </c>
      <c r="H31" s="82">
        <f t="shared" si="0"/>
        <v>530.24832532</v>
      </c>
      <c r="I31" s="82">
        <f t="shared" si="1"/>
        <v>3574.3048653200003</v>
      </c>
      <c r="J31" s="82">
        <f t="shared" si="2"/>
        <v>53.948971132000004</v>
      </c>
      <c r="L31" s="82">
        <f t="shared" si="3"/>
        <v>623.48146</v>
      </c>
      <c r="M31" s="82">
        <f t="shared" si="4"/>
        <v>108.60507868000002</v>
      </c>
      <c r="N31" s="82">
        <f t="shared" si="5"/>
        <v>732.08653868</v>
      </c>
      <c r="O31" s="82">
        <f t="shared" si="6"/>
        <v>11.049789268000005</v>
      </c>
    </row>
    <row r="32" spans="1:15" ht="12.75">
      <c r="A32" s="76">
        <v>44835</v>
      </c>
      <c r="B32" s="32"/>
      <c r="C32" s="32">
        <v>565.502644</v>
      </c>
      <c r="D32" s="32">
        <v>565.502644</v>
      </c>
      <c r="E32" s="49">
        <v>64.99876040000001</v>
      </c>
      <c r="G32" s="82"/>
      <c r="H32" s="82">
        <f t="shared" si="0"/>
        <v>469.36719452</v>
      </c>
      <c r="I32" s="82">
        <f t="shared" si="1"/>
        <v>469.36719452</v>
      </c>
      <c r="J32" s="82">
        <f t="shared" si="2"/>
        <v>53.948971132000004</v>
      </c>
      <c r="L32" s="82"/>
      <c r="M32" s="82">
        <f t="shared" si="4"/>
        <v>96.13544948000003</v>
      </c>
      <c r="N32" s="82">
        <f t="shared" si="5"/>
        <v>96.13544948000003</v>
      </c>
      <c r="O32" s="82">
        <f t="shared" si="6"/>
        <v>11.049789268000005</v>
      </c>
    </row>
    <row r="33" spans="1:15" ht="12.75">
      <c r="A33" s="76">
        <v>45017</v>
      </c>
      <c r="B33" s="32">
        <v>3812.6200000000003</v>
      </c>
      <c r="C33" s="32">
        <v>565.502644</v>
      </c>
      <c r="D33" s="32">
        <v>4378.122644</v>
      </c>
      <c r="E33" s="49">
        <v>64.99876040000001</v>
      </c>
      <c r="G33" s="82">
        <f t="shared" si="7"/>
        <v>3164.4746</v>
      </c>
      <c r="H33" s="82">
        <f t="shared" si="0"/>
        <v>469.36719452</v>
      </c>
      <c r="I33" s="82">
        <f t="shared" si="1"/>
        <v>3633.84179452</v>
      </c>
      <c r="J33" s="82">
        <f t="shared" si="2"/>
        <v>53.948971132000004</v>
      </c>
      <c r="L33" s="82">
        <f t="shared" si="3"/>
        <v>648.1454000000003</v>
      </c>
      <c r="M33" s="82">
        <f t="shared" si="4"/>
        <v>96.13544948000003</v>
      </c>
      <c r="N33" s="82">
        <f t="shared" si="5"/>
        <v>744.2808494800004</v>
      </c>
      <c r="O33" s="82">
        <f t="shared" si="6"/>
        <v>11.049789268000005</v>
      </c>
    </row>
    <row r="34" spans="1:15" ht="12.75">
      <c r="A34" s="76">
        <v>45200</v>
      </c>
      <c r="B34" s="32"/>
      <c r="C34" s="32">
        <v>495.4928188</v>
      </c>
      <c r="D34" s="32">
        <v>495.4928188</v>
      </c>
      <c r="E34" s="49">
        <v>64.99876040000001</v>
      </c>
      <c r="G34" s="82"/>
      <c r="H34" s="82">
        <f t="shared" si="0"/>
        <v>411.259039604</v>
      </c>
      <c r="I34" s="82">
        <f t="shared" si="1"/>
        <v>411.259039604</v>
      </c>
      <c r="J34" s="82">
        <f t="shared" si="2"/>
        <v>53.948971132000004</v>
      </c>
      <c r="L34" s="82"/>
      <c r="M34" s="82">
        <f t="shared" si="4"/>
        <v>84.233779196</v>
      </c>
      <c r="N34" s="82">
        <f t="shared" si="5"/>
        <v>84.233779196</v>
      </c>
      <c r="O34" s="82">
        <f t="shared" si="6"/>
        <v>11.049789268000005</v>
      </c>
    </row>
    <row r="35" spans="1:15" ht="12.75">
      <c r="A35" s="76">
        <v>45383</v>
      </c>
      <c r="B35" s="32">
        <v>3954.328</v>
      </c>
      <c r="C35" s="32">
        <v>495.4928188</v>
      </c>
      <c r="D35" s="32">
        <v>4449.8208188</v>
      </c>
      <c r="E35" s="49">
        <v>64.99876040000001</v>
      </c>
      <c r="G35" s="82">
        <f t="shared" si="7"/>
        <v>3282.09224</v>
      </c>
      <c r="H35" s="82">
        <f t="shared" si="0"/>
        <v>411.259039604</v>
      </c>
      <c r="I35" s="82">
        <f t="shared" si="1"/>
        <v>3693.351279604</v>
      </c>
      <c r="J35" s="82">
        <f t="shared" si="2"/>
        <v>53.948971132000004</v>
      </c>
      <c r="L35" s="82">
        <f t="shared" si="3"/>
        <v>672.23576</v>
      </c>
      <c r="M35" s="82">
        <f t="shared" si="4"/>
        <v>84.233779196</v>
      </c>
      <c r="N35" s="82">
        <f t="shared" si="5"/>
        <v>756.469539196</v>
      </c>
      <c r="O35" s="82">
        <f t="shared" si="6"/>
        <v>11.049789268000005</v>
      </c>
    </row>
    <row r="36" spans="1:15" ht="12.75">
      <c r="A36" s="76">
        <v>45566</v>
      </c>
      <c r="B36" s="32"/>
      <c r="C36" s="32">
        <v>421.5968204</v>
      </c>
      <c r="D36" s="32">
        <v>421.5968204</v>
      </c>
      <c r="E36" s="49">
        <v>64.99876040000001</v>
      </c>
      <c r="G36" s="82"/>
      <c r="H36" s="82">
        <f t="shared" si="0"/>
        <v>349.925360932</v>
      </c>
      <c r="I36" s="82">
        <f t="shared" si="1"/>
        <v>349.925360932</v>
      </c>
      <c r="J36" s="82">
        <f t="shared" si="2"/>
        <v>53.948971132000004</v>
      </c>
      <c r="L36" s="82"/>
      <c r="M36" s="82">
        <f t="shared" si="4"/>
        <v>71.67145946800002</v>
      </c>
      <c r="N36" s="82">
        <f t="shared" si="5"/>
        <v>71.67145946800002</v>
      </c>
      <c r="O36" s="82">
        <f t="shared" si="6"/>
        <v>11.049789268000005</v>
      </c>
    </row>
    <row r="37" spans="1:15" ht="12.75">
      <c r="A37" s="76">
        <v>45748</v>
      </c>
      <c r="B37" s="32">
        <v>4102.784000000001</v>
      </c>
      <c r="C37" s="32">
        <v>421.5968204</v>
      </c>
      <c r="D37" s="32">
        <v>4524.380820400001</v>
      </c>
      <c r="E37" s="49">
        <v>64.99876040000001</v>
      </c>
      <c r="G37" s="82">
        <f t="shared" si="7"/>
        <v>3405.3107200000004</v>
      </c>
      <c r="H37" s="82">
        <f t="shared" si="0"/>
        <v>349.925360932</v>
      </c>
      <c r="I37" s="82">
        <f t="shared" si="1"/>
        <v>3755.2360809320003</v>
      </c>
      <c r="J37" s="82">
        <f t="shared" si="2"/>
        <v>53.948971132000004</v>
      </c>
      <c r="L37" s="82">
        <f t="shared" si="3"/>
        <v>697.4732800000002</v>
      </c>
      <c r="M37" s="82">
        <f t="shared" si="4"/>
        <v>71.67145946800002</v>
      </c>
      <c r="N37" s="82">
        <f t="shared" si="5"/>
        <v>769.1447394680001</v>
      </c>
      <c r="O37" s="82">
        <f t="shared" si="6"/>
        <v>11.049789268000005</v>
      </c>
    </row>
    <row r="38" spans="1:15" ht="12.75">
      <c r="A38" s="76">
        <v>45931</v>
      </c>
      <c r="B38" s="32"/>
      <c r="C38" s="32">
        <v>344.9260444</v>
      </c>
      <c r="D38" s="32">
        <v>344.9260444</v>
      </c>
      <c r="E38" s="49">
        <v>64.99876040000001</v>
      </c>
      <c r="G38" s="82"/>
      <c r="H38" s="82">
        <f t="shared" si="0"/>
        <v>286.288616852</v>
      </c>
      <c r="I38" s="82">
        <f t="shared" si="1"/>
        <v>286.288616852</v>
      </c>
      <c r="J38" s="82">
        <f t="shared" si="2"/>
        <v>53.948971132000004</v>
      </c>
      <c r="L38" s="82"/>
      <c r="M38" s="82">
        <f t="shared" si="4"/>
        <v>58.637427548000005</v>
      </c>
      <c r="N38" s="82">
        <f t="shared" si="5"/>
        <v>58.637427548000005</v>
      </c>
      <c r="O38" s="82">
        <f t="shared" si="6"/>
        <v>11.049789268000005</v>
      </c>
    </row>
    <row r="39" spans="1:15" ht="12.75">
      <c r="A39" s="76">
        <v>46113</v>
      </c>
      <c r="B39" s="32">
        <v>4254.6140000000005</v>
      </c>
      <c r="C39" s="32">
        <v>344.9260444</v>
      </c>
      <c r="D39" s="32">
        <v>4599.540044400001</v>
      </c>
      <c r="E39" s="49">
        <v>64.99876040000001</v>
      </c>
      <c r="G39" s="82">
        <f t="shared" si="7"/>
        <v>3531.3296200000004</v>
      </c>
      <c r="H39" s="82">
        <f t="shared" si="0"/>
        <v>286.288616852</v>
      </c>
      <c r="I39" s="82">
        <f t="shared" si="1"/>
        <v>3817.6182368520003</v>
      </c>
      <c r="J39" s="82">
        <f t="shared" si="2"/>
        <v>53.948971132000004</v>
      </c>
      <c r="L39" s="82">
        <f t="shared" si="3"/>
        <v>723.28438</v>
      </c>
      <c r="M39" s="82">
        <f t="shared" si="4"/>
        <v>58.637427548000005</v>
      </c>
      <c r="N39" s="82">
        <f t="shared" si="5"/>
        <v>781.9218075480001</v>
      </c>
      <c r="O39" s="82">
        <f t="shared" si="6"/>
        <v>11.049789268000005</v>
      </c>
    </row>
    <row r="40" spans="1:15" ht="12.75">
      <c r="A40" s="76">
        <v>46296</v>
      </c>
      <c r="B40" s="32"/>
      <c r="C40" s="32">
        <v>264.7260644</v>
      </c>
      <c r="D40" s="32">
        <v>264.7260644</v>
      </c>
      <c r="E40" s="49">
        <v>64.99876040000001</v>
      </c>
      <c r="G40" s="82"/>
      <c r="H40" s="82">
        <f t="shared" si="0"/>
        <v>219.72263345199997</v>
      </c>
      <c r="I40" s="82">
        <f t="shared" si="1"/>
        <v>219.72263345199997</v>
      </c>
      <c r="J40" s="82">
        <f t="shared" si="2"/>
        <v>53.948971132000004</v>
      </c>
      <c r="L40" s="82"/>
      <c r="M40" s="82">
        <f t="shared" si="4"/>
        <v>45.003430948000016</v>
      </c>
      <c r="N40" s="82">
        <f t="shared" si="5"/>
        <v>45.003430948000016</v>
      </c>
      <c r="O40" s="82">
        <f t="shared" si="6"/>
        <v>11.049789268000005</v>
      </c>
    </row>
    <row r="41" spans="1:15" ht="12.75">
      <c r="A41" s="76">
        <v>46478</v>
      </c>
      <c r="B41" s="32">
        <v>4416.566</v>
      </c>
      <c r="C41" s="32">
        <v>264.7260644</v>
      </c>
      <c r="D41" s="32">
        <v>4681.2920644</v>
      </c>
      <c r="E41" s="49">
        <v>64.99876040000001</v>
      </c>
      <c r="G41" s="82">
        <f t="shared" si="7"/>
        <v>3665.7497799999996</v>
      </c>
      <c r="H41" s="82">
        <f t="shared" si="0"/>
        <v>219.72263345199997</v>
      </c>
      <c r="I41" s="82">
        <f t="shared" si="1"/>
        <v>3885.4724134519997</v>
      </c>
      <c r="J41" s="82">
        <f t="shared" si="2"/>
        <v>53.948971132000004</v>
      </c>
      <c r="L41" s="82">
        <f t="shared" si="3"/>
        <v>750.8162200000002</v>
      </c>
      <c r="M41" s="82">
        <f t="shared" si="4"/>
        <v>45.003430948000016</v>
      </c>
      <c r="N41" s="82">
        <f t="shared" si="5"/>
        <v>795.8196509480001</v>
      </c>
      <c r="O41" s="82">
        <f t="shared" si="6"/>
        <v>11.049789268000005</v>
      </c>
    </row>
    <row r="42" spans="1:15" ht="12.75">
      <c r="A42" s="76">
        <v>46661</v>
      </c>
      <c r="B42" s="32"/>
      <c r="C42" s="32">
        <v>180.7566516</v>
      </c>
      <c r="D42" s="32">
        <v>180.7566516</v>
      </c>
      <c r="E42" s="49">
        <v>64.99876040000001</v>
      </c>
      <c r="G42" s="82"/>
      <c r="H42" s="82">
        <f t="shared" si="0"/>
        <v>150.028020828</v>
      </c>
      <c r="I42" s="82">
        <f t="shared" si="1"/>
        <v>150.028020828</v>
      </c>
      <c r="J42" s="82">
        <f t="shared" si="2"/>
        <v>53.948971132000004</v>
      </c>
      <c r="L42" s="82"/>
      <c r="M42" s="82">
        <f t="shared" si="4"/>
        <v>30.728630772000002</v>
      </c>
      <c r="N42" s="82">
        <f t="shared" si="5"/>
        <v>30.728630772000002</v>
      </c>
      <c r="O42" s="82">
        <f t="shared" si="6"/>
        <v>11.049789268000005</v>
      </c>
    </row>
    <row r="43" spans="1:15" ht="12.75">
      <c r="A43" s="76">
        <v>46844</v>
      </c>
      <c r="B43" s="32">
        <v>4585.2660000000005</v>
      </c>
      <c r="C43" s="32">
        <v>180.7566516</v>
      </c>
      <c r="D43" s="32">
        <v>4766.0226516</v>
      </c>
      <c r="E43" s="49">
        <v>64.99876040000001</v>
      </c>
      <c r="G43" s="82">
        <f t="shared" si="7"/>
        <v>3805.7707800000003</v>
      </c>
      <c r="H43" s="82">
        <f t="shared" si="0"/>
        <v>150.028020828</v>
      </c>
      <c r="I43" s="82">
        <f t="shared" si="1"/>
        <v>3955.7988008280004</v>
      </c>
      <c r="J43" s="82">
        <f t="shared" si="2"/>
        <v>53.948971132000004</v>
      </c>
      <c r="L43" s="82">
        <f t="shared" si="3"/>
        <v>779.4952200000002</v>
      </c>
      <c r="M43" s="82">
        <f t="shared" si="4"/>
        <v>30.728630772000002</v>
      </c>
      <c r="N43" s="82">
        <f t="shared" si="5"/>
        <v>810.2238507720002</v>
      </c>
      <c r="O43" s="82">
        <f t="shared" si="6"/>
        <v>11.049789268000005</v>
      </c>
    </row>
    <row r="44" spans="1:15" ht="12.75">
      <c r="A44" s="76">
        <v>47027</v>
      </c>
      <c r="B44" s="32"/>
      <c r="C44" s="32">
        <v>92.8342604</v>
      </c>
      <c r="D44" s="32">
        <v>92.8342604</v>
      </c>
      <c r="E44" s="49">
        <v>64.99876040000001</v>
      </c>
      <c r="G44" s="82"/>
      <c r="H44" s="82">
        <f t="shared" si="0"/>
        <v>77.052436132</v>
      </c>
      <c r="I44" s="82">
        <f t="shared" si="1"/>
        <v>77.052436132</v>
      </c>
      <c r="J44" s="82">
        <f t="shared" si="2"/>
        <v>53.948971132000004</v>
      </c>
      <c r="L44" s="82"/>
      <c r="M44" s="82">
        <f t="shared" si="4"/>
        <v>15.781824268000008</v>
      </c>
      <c r="N44" s="82">
        <f t="shared" si="5"/>
        <v>15.781824268000008</v>
      </c>
      <c r="O44" s="82">
        <f t="shared" si="6"/>
        <v>11.049789268000005</v>
      </c>
    </row>
    <row r="45" spans="1:15" ht="12.75">
      <c r="A45" s="76">
        <v>47209</v>
      </c>
      <c r="B45" s="32">
        <v>4760.714</v>
      </c>
      <c r="C45" s="32">
        <v>92.8342604</v>
      </c>
      <c r="D45" s="32">
        <v>4853.5482604</v>
      </c>
      <c r="E45" s="49">
        <v>64.993362</v>
      </c>
      <c r="G45" s="82">
        <f t="shared" si="7"/>
        <v>3951.3926199999996</v>
      </c>
      <c r="H45" s="82">
        <f t="shared" si="0"/>
        <v>77.052436132</v>
      </c>
      <c r="I45" s="82">
        <f t="shared" si="1"/>
        <v>4028.4450561319995</v>
      </c>
      <c r="J45" s="82">
        <f t="shared" si="2"/>
        <v>53.944490460000004</v>
      </c>
      <c r="L45" s="82">
        <f t="shared" si="3"/>
        <v>809.3213800000003</v>
      </c>
      <c r="M45" s="82">
        <f t="shared" si="4"/>
        <v>15.781824268000008</v>
      </c>
      <c r="N45" s="82">
        <f t="shared" si="5"/>
        <v>825.1032042680004</v>
      </c>
      <c r="O45" s="82">
        <f t="shared" si="6"/>
        <v>11.04887154</v>
      </c>
    </row>
    <row r="46" spans="1:15" ht="12.75">
      <c r="A46" s="30"/>
      <c r="L46" s="82"/>
      <c r="M46" s="82"/>
      <c r="N46" s="82"/>
      <c r="O46" s="82"/>
    </row>
    <row r="47" spans="1:15" ht="13.5" thickBot="1">
      <c r="A47" s="30" t="s">
        <v>4</v>
      </c>
      <c r="B47" s="48">
        <f>SUM(B8:B46)</f>
        <v>64659.33600000001</v>
      </c>
      <c r="C47" s="48">
        <f>SUM(C8:C46)</f>
        <v>29381.340550000008</v>
      </c>
      <c r="D47" s="48">
        <f>SUM(D8:D46)</f>
        <v>94040.67654999997</v>
      </c>
      <c r="E47" s="48">
        <f>SUM(E8:E46)</f>
        <v>2469.9474968</v>
      </c>
      <c r="G47" s="48">
        <f>SUM(G8:G46)</f>
        <v>53667.24888000001</v>
      </c>
      <c r="H47" s="48">
        <f>SUM(H8:H46)</f>
        <v>24386.512656500003</v>
      </c>
      <c r="I47" s="48">
        <f>SUM(I8:I46)</f>
        <v>78053.76153649997</v>
      </c>
      <c r="J47" s="48">
        <f>SUM(J8:J46)</f>
        <v>2050.056422344</v>
      </c>
      <c r="L47" s="83">
        <f>SUM(L8:L46)</f>
        <v>10992.087120000004</v>
      </c>
      <c r="M47" s="83">
        <f>SUM(M8:M46)</f>
        <v>4994.827893499998</v>
      </c>
      <c r="N47" s="83">
        <f>SUM(N8:N46)</f>
        <v>15986.915013500002</v>
      </c>
      <c r="O47" s="83">
        <f>SUM(O8:O46)</f>
        <v>419.891074456</v>
      </c>
    </row>
    <row r="48" spans="12:15" ht="13.5" thickTop="1">
      <c r="L48" s="82"/>
      <c r="M48" s="82"/>
      <c r="N48" s="82"/>
      <c r="O48" s="82"/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2020-01-09T19:32:30Z</cp:lastPrinted>
  <dcterms:created xsi:type="dcterms:W3CDTF">1998-02-23T20:58:01Z</dcterms:created>
  <dcterms:modified xsi:type="dcterms:W3CDTF">2021-04-05T15:20:22Z</dcterms:modified>
  <cp:category/>
  <cp:version/>
  <cp:contentType/>
  <cp:contentStatus/>
</cp:coreProperties>
</file>