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708" activeTab="0"/>
  </bookViews>
  <sheets>
    <sheet name="2021A" sheetId="1" r:id="rId1"/>
    <sheet name="2021A Academic" sheetId="2" r:id="rId2"/>
    <sheet name="Percentage" sheetId="3" r:id="rId3"/>
  </sheets>
  <definedNames/>
  <calcPr fullCalcOnLoad="1"/>
</workbook>
</file>

<file path=xl/sharedStrings.xml><?xml version="1.0" encoding="utf-8"?>
<sst xmlns="http://schemas.openxmlformats.org/spreadsheetml/2006/main" count="765" uniqueCount="178">
  <si>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</si>
  <si>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</si>
  <si>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</si>
  <si>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</si>
  <si>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</si>
  <si>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</si>
  <si>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</si>
  <si>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</si>
  <si>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</si>
  <si>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</si>
  <si>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</si>
  <si>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</si>
  <si>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</si>
  <si>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>18th Aux</t>
  </si>
  <si>
    <t xml:space="preserve">  Debt Svc from Earnings and Accrued Interest</t>
  </si>
  <si>
    <t>Stamp Student Union</t>
  </si>
  <si>
    <t>2003 Series A Bonds</t>
  </si>
  <si>
    <t>UMB</t>
  </si>
  <si>
    <t>New Dental School</t>
  </si>
  <si>
    <t>22th Acad</t>
  </si>
  <si>
    <t>UMES</t>
  </si>
  <si>
    <t>Utilities Upgrade/Site Improve</t>
  </si>
  <si>
    <t>CSC</t>
  </si>
  <si>
    <t>Upgrade Utilities/Security Sys</t>
  </si>
  <si>
    <t>Facilities Renewal</t>
  </si>
  <si>
    <t>UMBC</t>
  </si>
  <si>
    <t>UMCES</t>
  </si>
  <si>
    <t>BSU</t>
  </si>
  <si>
    <t>FSU</t>
  </si>
  <si>
    <t>SU</t>
  </si>
  <si>
    <t>TU</t>
  </si>
  <si>
    <t>UB</t>
  </si>
  <si>
    <t>21,22th Acad</t>
  </si>
  <si>
    <t>21th Acad</t>
  </si>
  <si>
    <t>Eqip Information Tech Bldg</t>
  </si>
  <si>
    <t>Aquaculture Building</t>
  </si>
  <si>
    <t>Equip Compton Sci Center</t>
  </si>
  <si>
    <t>Health/Human Service Bldg</t>
  </si>
  <si>
    <t>20th Acad</t>
  </si>
  <si>
    <t>Hornbake/McKeldin Libraries</t>
  </si>
  <si>
    <t>Howard Hall PH IV</t>
  </si>
  <si>
    <t>Social Sci/Education/Health</t>
  </si>
  <si>
    <t>20,21,22th Acad</t>
  </si>
  <si>
    <t>Emergency Fund Projects</t>
  </si>
  <si>
    <t>19,20th Acad</t>
  </si>
  <si>
    <t>19th Acad</t>
  </si>
  <si>
    <t>7800 York Road Renovation</t>
  </si>
  <si>
    <t>19,20,21,22th Acad</t>
  </si>
  <si>
    <t>18th Acad</t>
  </si>
  <si>
    <t>17th Acad</t>
  </si>
  <si>
    <t>Performing Arts Center</t>
  </si>
  <si>
    <t>School of Nursing Equipment</t>
  </si>
  <si>
    <t>School of Law:Marshall Libr</t>
  </si>
  <si>
    <t>15th Acad</t>
  </si>
  <si>
    <t>Steam Plant Improvements</t>
  </si>
  <si>
    <t>17,18,19,20,21,22 Acad</t>
  </si>
  <si>
    <t>22th Aux</t>
  </si>
  <si>
    <t>New Parking Lot</t>
  </si>
  <si>
    <t>Resident Hall Renovations</t>
  </si>
  <si>
    <t>Dining Hall: HVAC Upgrade</t>
  </si>
  <si>
    <t>New Student Center</t>
  </si>
  <si>
    <t>USMO</t>
  </si>
  <si>
    <t>21th Aux</t>
  </si>
  <si>
    <t>Health Center Addition/Renov</t>
  </si>
  <si>
    <t>Queen Anne's Hall Renovation</t>
  </si>
  <si>
    <t>New Campus Center Bldg</t>
  </si>
  <si>
    <t>New Recreation &amp; Athletic Fac</t>
  </si>
  <si>
    <t>UMUC</t>
  </si>
  <si>
    <t>Hotel Addition at Inn &amp; Conference</t>
  </si>
  <si>
    <t>Land Acquisition at Shady Grove Parking</t>
  </si>
  <si>
    <t>20th Aux</t>
  </si>
  <si>
    <t>South Campus Parking Garage #5</t>
  </si>
  <si>
    <t>Saratoga Street Garage</t>
  </si>
  <si>
    <t>Murphy Hall Annex Renovation</t>
  </si>
  <si>
    <t>New Dining Hall</t>
  </si>
  <si>
    <t>Prettyman/Scarborough HVAC/Fire Protection</t>
  </si>
  <si>
    <t>Interim Fitness Center</t>
  </si>
  <si>
    <t>20,22th Aux</t>
  </si>
  <si>
    <t>19th Aux</t>
  </si>
  <si>
    <t>Housing Cetral Utility Plant</t>
  </si>
  <si>
    <t>7800 York Road Garage</t>
  </si>
  <si>
    <t>North Campus Parking Garage #4</t>
  </si>
  <si>
    <t>New Residence Hall</t>
  </si>
  <si>
    <t>16th Aux</t>
  </si>
  <si>
    <t>Student Service Center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</si>
  <si>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</si>
  <si>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</si>
  <si>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</si>
  <si>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</si>
  <si>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</si>
  <si>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</si>
  <si>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</si>
  <si>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</si>
  <si>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</si>
  <si>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</si>
  <si>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</si>
  <si>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</si>
  <si>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</si>
  <si>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</si>
  <si>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</si>
  <si>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</si>
  <si>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</si>
  <si>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</si>
  <si>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</si>
  <si>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</si>
  <si>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</si>
  <si>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</si>
  <si>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</si>
  <si>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</si>
  <si>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</si>
  <si>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</si>
  <si>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</si>
  <si>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</si>
  <si>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</si>
  <si>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</si>
  <si>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</si>
  <si>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</si>
  <si>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</si>
  <si>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</si>
  <si>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</si>
  <si>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</si>
  <si>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</si>
  <si>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</si>
  <si>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</si>
  <si>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</si>
  <si>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</si>
  <si>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</si>
  <si>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</si>
  <si>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</si>
  <si>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</si>
  <si>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</si>
  <si>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</si>
  <si>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</si>
  <si>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</si>
  <si>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</si>
  <si>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</si>
  <si>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</si>
  <si>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</si>
  <si>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>Engineering/Applied Sciences Building</t>
  </si>
  <si>
    <t>Temporary Building #2/Pine Street Annex</t>
  </si>
  <si>
    <t>Par Amount</t>
  </si>
  <si>
    <t>Net Premium/OID</t>
  </si>
  <si>
    <t xml:space="preserve"> UMCP Engineering/Applied Sci Bldg (Academic)</t>
  </si>
  <si>
    <t>Shady Grove Parking Lot 2</t>
  </si>
  <si>
    <t xml:space="preserve">  USMO Shady Grove Parking Lot 2 (Auxiliary)</t>
  </si>
  <si>
    <t>22, 24th Acad</t>
  </si>
  <si>
    <t>Chemical/Nuclear Engineering</t>
  </si>
  <si>
    <t>15,17,18,19,20,21,22,24 Acad</t>
  </si>
  <si>
    <t>18,19,20,21,22, 24th Acad</t>
  </si>
  <si>
    <t>19,21,22th Acad</t>
  </si>
  <si>
    <t>USM</t>
  </si>
  <si>
    <t>15, 19th Acad</t>
  </si>
  <si>
    <t>21, 22th Aux</t>
  </si>
  <si>
    <t>21,22,24th Aux</t>
  </si>
  <si>
    <t>18,21,22,24th Acad</t>
  </si>
  <si>
    <t>19,20,21,22,24th Acad</t>
  </si>
  <si>
    <t>cost of issue</t>
  </si>
  <si>
    <t>disbursement</t>
  </si>
  <si>
    <t>pay debt service from earning</t>
  </si>
  <si>
    <t>Interest Earning in FY04</t>
  </si>
  <si>
    <t>Interest Earning in FY05</t>
  </si>
  <si>
    <t>Different</t>
  </si>
  <si>
    <t>Different transfer from 2003B</t>
  </si>
  <si>
    <t>Different transfer from 2004B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</si>
  <si>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</si>
  <si>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</si>
  <si>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</si>
  <si>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17,18,19th Acad</t>
  </si>
  <si>
    <t>Amort of</t>
  </si>
  <si>
    <t>Premium</t>
  </si>
  <si>
    <t>Loss on Refunding</t>
  </si>
  <si>
    <t xml:space="preserve">                University System of Maryland</t>
  </si>
  <si>
    <t xml:space="preserve">            2003 Series A Bond Funded Projects</t>
  </si>
  <si>
    <t xml:space="preserve">Amort of </t>
  </si>
  <si>
    <t xml:space="preserve">  USM (Paid off by UMUC) (Auxiliary)</t>
  </si>
  <si>
    <t>Revised 2003A debt after 2021A</t>
  </si>
  <si>
    <t>Distribution of Debt Services after 2021A Bond Issue</t>
  </si>
  <si>
    <t>2003A Refinanced on 2021A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</si>
</sst>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38" fontId="0" fillId="0" borderId="13" xfId="0" applyNumberFormat="1" applyBorder="1" applyAlignment="1">
      <alignment/>
    </xf>
    <xf numFmtId="172" fontId="0" fillId="0" borderId="20" xfId="0" applyNumberFormat="1" applyBorder="1" applyAlignment="1">
      <alignment/>
    </xf>
    <xf numFmtId="175" fontId="0" fillId="0" borderId="15" xfId="0" applyNumberFormat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21" xfId="0" applyNumberFormat="1" applyBorder="1" applyAlignment="1">
      <alignment/>
    </xf>
    <xf numFmtId="175" fontId="0" fillId="0" borderId="0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33" borderId="15" xfId="0" applyNumberFormat="1" applyFill="1" applyBorder="1" applyAlignment="1">
      <alignment horizontal="centerContinuous"/>
    </xf>
    <xf numFmtId="38" fontId="0" fillId="33" borderId="16" xfId="0" applyNumberForma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5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38" fontId="0" fillId="0" borderId="0" xfId="0" applyNumberFormat="1" applyFont="1" applyAlignment="1">
      <alignment horizontal="left"/>
    </xf>
    <xf numFmtId="38" fontId="0" fillId="33" borderId="10" xfId="0" applyNumberFormat="1" applyFont="1" applyFill="1" applyBorder="1" applyAlignment="1">
      <alignment horizontal="centerContinuous"/>
    </xf>
    <xf numFmtId="38" fontId="0" fillId="0" borderId="10" xfId="0" applyNumberFormat="1" applyFont="1" applyBorder="1" applyAlignment="1">
      <alignment horizontal="centerContinuous"/>
    </xf>
    <xf numFmtId="38" fontId="0" fillId="33" borderId="10" xfId="0" applyNumberFormat="1" applyFont="1" applyFill="1" applyBorder="1" applyAlignment="1">
      <alignment horizontal="left"/>
    </xf>
    <xf numFmtId="38" fontId="40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55"/>
  <sheetViews>
    <sheetView tabSelected="1" zoomScalePageLayoutView="0" workbookViewId="0" topLeftCell="A1">
      <selection activeCell="D11" sqref="D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88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.75">
      <c r="A2" s="44"/>
      <c r="B2" s="30"/>
      <c r="C2" s="43"/>
      <c r="D2" s="45"/>
      <c r="E2" s="93" t="s">
        <v>176</v>
      </c>
      <c r="G2" s="45"/>
      <c r="H2" s="45"/>
      <c r="I2" s="36"/>
      <c r="K2" s="45"/>
      <c r="O2" s="43" t="str">
        <f>E2</f>
        <v>Distribution of Debt Services after 2021A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2021A Bond Issue</v>
      </c>
      <c r="AB2" s="33"/>
      <c r="AC2" s="33"/>
      <c r="AD2" s="33"/>
      <c r="AH2" s="33"/>
      <c r="AI2" s="45"/>
      <c r="AM2" s="43" t="str">
        <f>AA2</f>
        <v>Distribution of Debt Services after 2021A Bond Issue</v>
      </c>
      <c r="AR2"/>
      <c r="AS2"/>
      <c r="AT2"/>
      <c r="AU2" s="45"/>
      <c r="AV2"/>
      <c r="AW2"/>
      <c r="AY2" s="43" t="str">
        <f>AM2</f>
        <v>Distribution of Debt Services after 2021A Bond Issue</v>
      </c>
      <c r="BG2" s="45"/>
      <c r="BK2" s="43" t="str">
        <f>AY2</f>
        <v>Distribution of Debt Services after 2021A Bond Issue</v>
      </c>
      <c r="BS2" s="45"/>
      <c r="BW2" s="43" t="str">
        <f>BK2</f>
        <v>Distribution of Debt Services after 2021A Bond Issue</v>
      </c>
      <c r="CE2" s="45"/>
      <c r="CI2" s="43" t="str">
        <f>BW2</f>
        <v>Distribution of Debt Services after 2021A Bond Issue</v>
      </c>
      <c r="CQ2" s="45"/>
      <c r="CU2" s="43" t="str">
        <f>CI2</f>
        <v>Distribution of Debt Services after 2021A Bond Issue</v>
      </c>
      <c r="DC2" s="45"/>
      <c r="DG2" s="43" t="str">
        <f>CU2</f>
        <v>Distribution of Debt Services after 2021A Bond Issue</v>
      </c>
      <c r="DM2" s="20"/>
      <c r="DN2" s="20"/>
      <c r="DO2" s="45"/>
      <c r="DP2" s="20"/>
      <c r="DQ2" s="20"/>
      <c r="DS2" s="43" t="str">
        <f>DG2</f>
        <v>Distribution of Debt Services after 2021A Bond Issue</v>
      </c>
      <c r="EA2" s="45"/>
      <c r="ED2" s="43" t="str">
        <f>DS2</f>
        <v>Distribution of Debt Services after 2021A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172</v>
      </c>
      <c r="AB3" s="33"/>
      <c r="AC3" s="33"/>
      <c r="AD3" s="33"/>
      <c r="AF3" s="12"/>
      <c r="AH3" s="33"/>
      <c r="AI3" s="45"/>
      <c r="AM3" s="45" t="s">
        <v>172</v>
      </c>
      <c r="AR3"/>
      <c r="AS3"/>
      <c r="AT3"/>
      <c r="AU3" s="45"/>
      <c r="AV3"/>
      <c r="AW3"/>
      <c r="AY3" s="45" t="s">
        <v>172</v>
      </c>
      <c r="BG3" s="45"/>
      <c r="BK3" s="45" t="s">
        <v>172</v>
      </c>
      <c r="BS3" s="45"/>
      <c r="BW3" s="45" t="s">
        <v>172</v>
      </c>
      <c r="CE3" s="45"/>
      <c r="CI3" s="45" t="s">
        <v>172</v>
      </c>
      <c r="CQ3" s="45"/>
      <c r="CU3" s="45" t="s">
        <v>172</v>
      </c>
      <c r="DC3" s="45"/>
      <c r="DG3" s="45" t="s">
        <v>172</v>
      </c>
      <c r="DM3" s="20"/>
      <c r="DN3" s="20"/>
      <c r="DO3" s="45"/>
      <c r="DP3" s="20"/>
      <c r="DQ3" s="20"/>
      <c r="DS3" s="45" t="s">
        <v>172</v>
      </c>
      <c r="EA3" s="45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.75">
      <c r="A4" s="44"/>
      <c r="B4" s="30"/>
      <c r="FI4" s="21"/>
    </row>
    <row r="5" spans="1:169" ht="12.75">
      <c r="A5" s="22" t="s">
        <v>9</v>
      </c>
      <c r="C5" s="94" t="s">
        <v>175</v>
      </c>
      <c r="D5" s="70"/>
      <c r="E5" s="71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79" t="s">
        <v>174</v>
      </c>
      <c r="DN5" s="80"/>
      <c r="DO5" s="81"/>
      <c r="DP5" s="82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.75">
      <c r="A6" s="46" t="s">
        <v>10</v>
      </c>
      <c r="C6" s="95" t="s">
        <v>177</v>
      </c>
      <c r="D6" s="72"/>
      <c r="E6" s="73"/>
      <c r="F6" s="41" t="s">
        <v>168</v>
      </c>
      <c r="G6" s="41" t="s">
        <v>173</v>
      </c>
      <c r="H6" s="33"/>
      <c r="I6" s="40"/>
      <c r="J6" s="67">
        <v>0.5428259</v>
      </c>
      <c r="K6" s="39"/>
      <c r="L6" s="41" t="s">
        <v>168</v>
      </c>
      <c r="M6" s="41" t="s">
        <v>173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173</v>
      </c>
      <c r="T6" s="33"/>
      <c r="U6" s="47"/>
      <c r="V6" s="32">
        <v>0.081724</v>
      </c>
      <c r="W6" s="48"/>
      <c r="X6" s="41" t="s">
        <v>168</v>
      </c>
      <c r="Y6" s="41" t="s">
        <v>173</v>
      </c>
      <c r="AA6" s="47"/>
      <c r="AB6" s="32">
        <v>0.0595646</v>
      </c>
      <c r="AC6" s="48"/>
      <c r="AD6" s="41" t="s">
        <v>168</v>
      </c>
      <c r="AE6" s="41" t="s">
        <v>173</v>
      </c>
      <c r="AG6" s="47"/>
      <c r="AH6" s="32">
        <v>0.0315804</v>
      </c>
      <c r="AI6" s="48"/>
      <c r="AJ6" s="41" t="s">
        <v>168</v>
      </c>
      <c r="AK6" s="41" t="s">
        <v>173</v>
      </c>
      <c r="AM6" s="47"/>
      <c r="AN6" s="32">
        <v>0.022968</v>
      </c>
      <c r="AO6" s="48"/>
      <c r="AP6" s="41" t="s">
        <v>168</v>
      </c>
      <c r="AQ6" s="41" t="s">
        <v>173</v>
      </c>
      <c r="AS6" s="47"/>
      <c r="AT6" s="32">
        <v>0.0026309</v>
      </c>
      <c r="AU6" s="48"/>
      <c r="AV6" s="41" t="s">
        <v>168</v>
      </c>
      <c r="AW6" s="41" t="s">
        <v>173</v>
      </c>
      <c r="AY6" s="47"/>
      <c r="AZ6" s="32">
        <v>0.0416229</v>
      </c>
      <c r="BA6" s="48"/>
      <c r="BB6" s="41" t="s">
        <v>168</v>
      </c>
      <c r="BC6" s="41" t="s">
        <v>173</v>
      </c>
      <c r="BE6" s="47"/>
      <c r="BF6" s="32">
        <v>0.0045121</v>
      </c>
      <c r="BG6" s="48"/>
      <c r="BH6" s="41" t="s">
        <v>168</v>
      </c>
      <c r="BI6" s="41" t="s">
        <v>173</v>
      </c>
      <c r="BK6" s="47"/>
      <c r="BL6" s="32">
        <v>0.0141147</v>
      </c>
      <c r="BM6" s="48"/>
      <c r="BN6" s="41" t="s">
        <v>168</v>
      </c>
      <c r="BO6" s="41" t="s">
        <v>173</v>
      </c>
      <c r="BQ6" s="47"/>
      <c r="BR6" s="32">
        <v>0.0071579</v>
      </c>
      <c r="BS6" s="48"/>
      <c r="BT6" s="41" t="s">
        <v>168</v>
      </c>
      <c r="BU6" s="41" t="s">
        <v>173</v>
      </c>
      <c r="BW6" s="47"/>
      <c r="BX6" s="32">
        <v>0.0013901</v>
      </c>
      <c r="BY6" s="48"/>
      <c r="BZ6" s="41" t="s">
        <v>168</v>
      </c>
      <c r="CA6" s="41" t="s">
        <v>173</v>
      </c>
      <c r="CC6" s="47"/>
      <c r="CD6" s="32">
        <v>0.0055234</v>
      </c>
      <c r="CE6" s="48"/>
      <c r="CF6" s="41" t="s">
        <v>168</v>
      </c>
      <c r="CG6" s="41" t="s">
        <v>173</v>
      </c>
      <c r="CI6" s="47"/>
      <c r="CJ6" s="32">
        <v>0.0134713</v>
      </c>
      <c r="CK6" s="48"/>
      <c r="CL6" s="41" t="s">
        <v>168</v>
      </c>
      <c r="CM6" s="41" t="s">
        <v>173</v>
      </c>
      <c r="CO6" s="47"/>
      <c r="CP6" s="32">
        <v>0.0301524</v>
      </c>
      <c r="CQ6" s="48"/>
      <c r="CR6" s="41" t="s">
        <v>168</v>
      </c>
      <c r="CS6" s="41" t="s">
        <v>173</v>
      </c>
      <c r="CU6" s="47"/>
      <c r="CV6" s="32">
        <v>0.0045619</v>
      </c>
      <c r="CW6" s="48"/>
      <c r="CX6" s="41" t="s">
        <v>168</v>
      </c>
      <c r="CY6" s="41" t="s">
        <v>173</v>
      </c>
      <c r="DA6" s="47"/>
      <c r="DB6" s="32">
        <v>0.0131079</v>
      </c>
      <c r="DC6" s="48"/>
      <c r="DD6" s="41" t="s">
        <v>168</v>
      </c>
      <c r="DE6" s="41" t="s">
        <v>173</v>
      </c>
      <c r="DG6" s="47"/>
      <c r="DH6" s="32">
        <v>0.0005051</v>
      </c>
      <c r="DI6" s="48"/>
      <c r="DJ6" s="41" t="s">
        <v>168</v>
      </c>
      <c r="DK6" s="41" t="s">
        <v>173</v>
      </c>
      <c r="DM6" s="83"/>
      <c r="DN6" s="84">
        <v>0.0276518</v>
      </c>
      <c r="DO6" s="85"/>
      <c r="DP6" s="82" t="s">
        <v>168</v>
      </c>
      <c r="DQ6" s="41" t="s">
        <v>173</v>
      </c>
      <c r="DS6" s="47"/>
      <c r="DT6" s="32">
        <v>0.0043534</v>
      </c>
      <c r="DU6" s="48"/>
      <c r="DV6" s="41" t="s">
        <v>168</v>
      </c>
      <c r="DW6" s="41" t="s">
        <v>173</v>
      </c>
      <c r="DY6" s="47"/>
      <c r="DZ6" s="32">
        <v>0.0224029</v>
      </c>
      <c r="EA6" s="48"/>
      <c r="EB6" s="41" t="s">
        <v>168</v>
      </c>
      <c r="EC6" s="41" t="s">
        <v>173</v>
      </c>
      <c r="EE6" s="47"/>
      <c r="EF6" s="32">
        <v>0.0063958</v>
      </c>
      <c r="EG6" s="48"/>
      <c r="EH6" s="41" t="s">
        <v>168</v>
      </c>
      <c r="EI6" s="41" t="s">
        <v>173</v>
      </c>
      <c r="EK6" s="47"/>
      <c r="EL6" s="32">
        <v>6.42E-05</v>
      </c>
      <c r="EM6" s="48"/>
      <c r="EN6" s="41" t="s">
        <v>168</v>
      </c>
      <c r="EO6" s="41" t="s">
        <v>173</v>
      </c>
      <c r="EQ6" s="47"/>
      <c r="ER6" s="32">
        <v>0.0001192</v>
      </c>
      <c r="ES6" s="48"/>
      <c r="ET6" s="41" t="s">
        <v>168</v>
      </c>
      <c r="EU6" s="41" t="s">
        <v>173</v>
      </c>
      <c r="EW6" s="47"/>
      <c r="EX6" s="32">
        <v>0.0215476</v>
      </c>
      <c r="EY6" s="48"/>
      <c r="EZ6" s="41" t="s">
        <v>168</v>
      </c>
      <c r="FA6" s="41" t="s">
        <v>173</v>
      </c>
      <c r="FC6" s="47"/>
      <c r="FD6" s="32">
        <v>0.0400516</v>
      </c>
      <c r="FE6" s="48"/>
      <c r="FF6" s="41" t="s">
        <v>168</v>
      </c>
      <c r="FG6" s="41" t="s">
        <v>173</v>
      </c>
      <c r="FI6" s="47"/>
      <c r="FJ6" s="32"/>
      <c r="FK6" s="48"/>
      <c r="FL6" s="41" t="s">
        <v>168</v>
      </c>
      <c r="FM6" s="41" t="s">
        <v>173</v>
      </c>
    </row>
    <row r="7" spans="1:169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7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97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97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97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97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97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97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97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97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97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97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97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97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97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97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97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97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97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97" t="s">
        <v>170</v>
      </c>
      <c r="DM7" s="86" t="s">
        <v>11</v>
      </c>
      <c r="DN7" s="86" t="s">
        <v>12</v>
      </c>
      <c r="DO7" s="86" t="s">
        <v>4</v>
      </c>
      <c r="DP7" s="82" t="s">
        <v>169</v>
      </c>
      <c r="DQ7" s="97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97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97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97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97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97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97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97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97" t="s">
        <v>170</v>
      </c>
    </row>
    <row r="8" spans="1:169" s="52" customFormat="1" ht="12.75">
      <c r="A8" s="51">
        <v>44470</v>
      </c>
      <c r="C8" s="36"/>
      <c r="D8" s="36">
        <v>528485</v>
      </c>
      <c r="E8" s="74">
        <f aca="true" t="shared" si="0" ref="E8:E13">SUM(C8:D8)</f>
        <v>528485</v>
      </c>
      <c r="F8" s="74">
        <v>564789</v>
      </c>
      <c r="G8" s="74">
        <v>87471</v>
      </c>
      <c r="H8" s="76"/>
      <c r="I8" s="76">
        <f>'2021A Academic'!I8</f>
        <v>0</v>
      </c>
      <c r="J8" s="76">
        <f>'2021A Academic'!J8</f>
        <v>286875.34576149995</v>
      </c>
      <c r="K8" s="76">
        <f aca="true" t="shared" si="1" ref="K8:K13">I8+J8</f>
        <v>286875.34576149995</v>
      </c>
      <c r="L8" s="76">
        <f>'2021A Academic'!L8</f>
        <v>306582.09723510005</v>
      </c>
      <c r="M8" s="76">
        <f>'2021A Academic'!M8</f>
        <v>47481.52429889999</v>
      </c>
      <c r="N8" s="76"/>
      <c r="O8" s="75">
        <f aca="true" t="shared" si="2" ref="O8:P13">U8+AA8+AG8+AM8+AS8+AY8+BE8+BK8+BQ8+BW8+CC8+CI8+CO8+CU8+DA8+DG8+DM8+DS8+DY8+EE8+EK8+EQ8+EW8+FC8</f>
        <v>0</v>
      </c>
      <c r="P8" s="77">
        <f t="shared" si="2"/>
        <v>241609.65423850005</v>
      </c>
      <c r="Q8" s="75">
        <f aca="true" t="shared" si="3" ref="Q8:Q13">O8+P8</f>
        <v>241609.65423850005</v>
      </c>
      <c r="R8" s="75">
        <f aca="true" t="shared" si="4" ref="R8:S13">X8+AD8+AJ8+AP8+AV8+BB8+BH8+BN8+BT8+BZ8+CF8+CL8+CR8+CX8+DD8+DJ8+DP8+DV8+EB8+EH8+EN8+ET8+EZ8+FF8+FL8</f>
        <v>258206.9027649</v>
      </c>
      <c r="S8" s="75">
        <f t="shared" si="4"/>
        <v>39989.47570110001</v>
      </c>
      <c r="T8" s="76"/>
      <c r="U8" s="75"/>
      <c r="V8" s="74">
        <f aca="true" t="shared" si="5" ref="V8:V13">D8*8.1724/100</f>
        <v>43189.90814</v>
      </c>
      <c r="W8" s="75">
        <f aca="true" t="shared" si="6" ref="W8:W13">U8+V8</f>
        <v>43189.90814</v>
      </c>
      <c r="X8" s="75">
        <f aca="true" t="shared" si="7" ref="X8:X13">V$6*$F8</f>
        <v>46156.816236000006</v>
      </c>
      <c r="Y8" s="74">
        <f aca="true" t="shared" si="8" ref="Y8:Y13">V$6*$G8</f>
        <v>7148.480004</v>
      </c>
      <c r="Z8" s="76"/>
      <c r="AA8" s="75"/>
      <c r="AB8" s="75">
        <f aca="true" t="shared" si="9" ref="AB8:AB13">D8*5.95646/100</f>
        <v>31478.997631000002</v>
      </c>
      <c r="AC8" s="75">
        <f aca="true" t="shared" si="10" ref="AC8:AC13">AA8+AB8</f>
        <v>31478.997631000002</v>
      </c>
      <c r="AD8" s="75">
        <f aca="true" t="shared" si="11" ref="AD8:AD13">AB$6*$F8</f>
        <v>33641.4308694</v>
      </c>
      <c r="AE8" s="74">
        <f aca="true" t="shared" si="12" ref="AE8:AE13">AB$6*$G8</f>
        <v>5210.1751266</v>
      </c>
      <c r="AF8" s="76"/>
      <c r="AG8" s="75"/>
      <c r="AH8" s="75">
        <f aca="true" t="shared" si="13" ref="AH8:AH13">D8*3.15804/100</f>
        <v>16689.767694000002</v>
      </c>
      <c r="AI8" s="75">
        <f aca="true" t="shared" si="14" ref="AI8:AI13">AG8+AH8</f>
        <v>16689.767694000002</v>
      </c>
      <c r="AJ8" s="75">
        <f aca="true" t="shared" si="15" ref="AJ8:AJ13">AH$6*$F8</f>
        <v>17836.262535600003</v>
      </c>
      <c r="AK8" s="74">
        <f aca="true" t="shared" si="16" ref="AK8:AK13">AH$6*$G8</f>
        <v>2762.3691684</v>
      </c>
      <c r="AL8" s="76"/>
      <c r="AM8" s="75"/>
      <c r="AN8" s="75">
        <f aca="true" t="shared" si="17" ref="AN8:AN13">D8*2.2968/100</f>
        <v>12138.24348</v>
      </c>
      <c r="AO8" s="75">
        <f aca="true" t="shared" si="18" ref="AO8:AO13">AM8+AN8</f>
        <v>12138.24348</v>
      </c>
      <c r="AP8" s="75">
        <f aca="true" t="shared" si="19" ref="AP8:AP13">AN$6*$F8</f>
        <v>12972.073752</v>
      </c>
      <c r="AQ8" s="74">
        <f aca="true" t="shared" si="20" ref="AQ8:AQ13">AN$6*$G8</f>
        <v>2009.0339279999998</v>
      </c>
      <c r="AR8" s="76"/>
      <c r="AS8" s="75"/>
      <c r="AT8" s="75">
        <f aca="true" t="shared" si="21" ref="AT8:AT13">D8*0.26309/100</f>
        <v>1390.3911865</v>
      </c>
      <c r="AU8" s="75">
        <f aca="true" t="shared" si="22" ref="AU8:AU13">AS8+AT8</f>
        <v>1390.3911865</v>
      </c>
      <c r="AV8" s="75">
        <f aca="true" t="shared" si="23" ref="AV8:AV13">AT$6*$F8</f>
        <v>1485.9033800999998</v>
      </c>
      <c r="AW8" s="74">
        <f aca="true" t="shared" si="24" ref="AW8:AW13">AT$6*$G8</f>
        <v>230.12745389999998</v>
      </c>
      <c r="AX8" s="76"/>
      <c r="AY8" s="75"/>
      <c r="AZ8" s="75">
        <f aca="true" t="shared" si="25" ref="AZ8:AZ13">D8*4.16229/100</f>
        <v>21997.0783065</v>
      </c>
      <c r="BA8" s="75">
        <f aca="true" t="shared" si="26" ref="BA8:BA13">AY8+AZ8</f>
        <v>21997.0783065</v>
      </c>
      <c r="BB8" s="75">
        <f aca="true" t="shared" si="27" ref="BB8:BB13">AZ$6*$F8</f>
        <v>23508.156068099997</v>
      </c>
      <c r="BC8" s="74">
        <f aca="true" t="shared" si="28" ref="BC8:BC13">AZ$6*$G8</f>
        <v>3640.7966859</v>
      </c>
      <c r="BD8" s="76"/>
      <c r="BE8" s="75"/>
      <c r="BF8" s="75">
        <f aca="true" t="shared" si="29" ref="BF8:BF13">D8*0.45121/100</f>
        <v>2384.5771685</v>
      </c>
      <c r="BG8" s="75">
        <f aca="true" t="shared" si="30" ref="BG8:BG13">BE8+BF8</f>
        <v>2384.5771685</v>
      </c>
      <c r="BH8" s="75">
        <f aca="true" t="shared" si="31" ref="BH8:BH13">BF$6*$F8</f>
        <v>2548.3844469</v>
      </c>
      <c r="BI8" s="74">
        <f aca="true" t="shared" si="32" ref="BI8:BI13">BF$6*$G8</f>
        <v>394.6778991</v>
      </c>
      <c r="BJ8" s="76"/>
      <c r="BK8" s="75"/>
      <c r="BL8" s="75">
        <f aca="true" t="shared" si="33" ref="BL8:BL13">D8*1.41147/100</f>
        <v>7459.4072295</v>
      </c>
      <c r="BM8" s="75">
        <f aca="true" t="shared" si="34" ref="BM8:BM13">BK8+BL8</f>
        <v>7459.4072295</v>
      </c>
      <c r="BN8" s="75">
        <f aca="true" t="shared" si="35" ref="BN8:BN13">BL$6*$F8</f>
        <v>7971.827298300001</v>
      </c>
      <c r="BO8" s="74">
        <f aca="true" t="shared" si="36" ref="BO8:BO13">BL$6*$G8</f>
        <v>1234.6269237000001</v>
      </c>
      <c r="BP8" s="76"/>
      <c r="BQ8" s="75"/>
      <c r="BR8" s="75">
        <f aca="true" t="shared" si="37" ref="BR8:BR13">D8*0.71579/100</f>
        <v>3782.8427815000005</v>
      </c>
      <c r="BS8" s="75">
        <f aca="true" t="shared" si="38" ref="BS8:BS13">BQ8+BR8</f>
        <v>3782.8427815000005</v>
      </c>
      <c r="BT8" s="75">
        <f aca="true" t="shared" si="39" ref="BT8:BT13">BR$6*$F8</f>
        <v>4042.7031831</v>
      </c>
      <c r="BU8" s="74">
        <f aca="true" t="shared" si="40" ref="BU8:BU13">BR$6*$G8</f>
        <v>626.1086709</v>
      </c>
      <c r="BV8" s="76"/>
      <c r="BW8" s="75"/>
      <c r="BX8" s="75">
        <f aca="true" t="shared" si="41" ref="BX8:BX13">D8*0.13901/100</f>
        <v>734.6469984999999</v>
      </c>
      <c r="BY8" s="75">
        <f aca="true" t="shared" si="42" ref="BY8:BY13">BW8+BX8</f>
        <v>734.6469984999999</v>
      </c>
      <c r="BZ8" s="75">
        <f aca="true" t="shared" si="43" ref="BZ8:BZ13">BX$6*$F8</f>
        <v>785.1131889</v>
      </c>
      <c r="CA8" s="74">
        <f aca="true" t="shared" si="44" ref="CA8:CA13">BX$6*$G8</f>
        <v>121.5934371</v>
      </c>
      <c r="CB8" s="76"/>
      <c r="CC8" s="75"/>
      <c r="CD8" s="75">
        <f aca="true" t="shared" si="45" ref="CD8:CD13">D8*0.55234/100</f>
        <v>2919.0340490000003</v>
      </c>
      <c r="CE8" s="75">
        <f aca="true" t="shared" si="46" ref="CE8:CE13">CC8+CD8</f>
        <v>2919.0340490000003</v>
      </c>
      <c r="CF8" s="75">
        <f aca="true" t="shared" si="47" ref="CF8:CF13">CD$6*$F8</f>
        <v>3119.5555626</v>
      </c>
      <c r="CG8" s="74">
        <f aca="true" t="shared" si="48" ref="CG8:CG13">CD$6*$G8</f>
        <v>483.1373214</v>
      </c>
      <c r="CH8" s="76"/>
      <c r="CI8" s="75"/>
      <c r="CJ8" s="75">
        <f aca="true" t="shared" si="49" ref="CJ8:CJ13">D8*1.34713/100</f>
        <v>7119.379980499999</v>
      </c>
      <c r="CK8" s="75">
        <f aca="true" t="shared" si="50" ref="CK8:CK13">CI8+CJ8</f>
        <v>7119.379980499999</v>
      </c>
      <c r="CL8" s="75">
        <f aca="true" t="shared" si="51" ref="CL8:CL13">CJ$6*$F8</f>
        <v>7608.4420557</v>
      </c>
      <c r="CM8" s="74">
        <f aca="true" t="shared" si="52" ref="CM8:CM13">CJ$6*$G8</f>
        <v>1178.3480823</v>
      </c>
      <c r="CN8" s="76"/>
      <c r="CO8" s="75"/>
      <c r="CP8" s="75">
        <f aca="true" t="shared" si="53" ref="CP8:CP13">D8*3.01524/100</f>
        <v>15935.091114</v>
      </c>
      <c r="CQ8" s="75">
        <f aca="true" t="shared" si="54" ref="CQ8:CQ13">CO8+CP8</f>
        <v>15935.091114</v>
      </c>
      <c r="CR8" s="75">
        <f aca="true" t="shared" si="55" ref="CR8:CR13">CP$6*$F8</f>
        <v>17029.7438436</v>
      </c>
      <c r="CS8" s="74">
        <f aca="true" t="shared" si="56" ref="CS8:CS13">CP$6*$G8</f>
        <v>2637.4605804</v>
      </c>
      <c r="CT8" s="76"/>
      <c r="CU8" s="75"/>
      <c r="CV8" s="75">
        <f aca="true" t="shared" si="57" ref="CV8:CV13">D8*0.45619/100</f>
        <v>2410.8957215</v>
      </c>
      <c r="CW8" s="75">
        <f aca="true" t="shared" si="58" ref="CW8:CW13">CU8+CV8</f>
        <v>2410.8957215</v>
      </c>
      <c r="CX8" s="75">
        <f aca="true" t="shared" si="59" ref="CX8:CX13">CV$6*$F8</f>
        <v>2576.5109391</v>
      </c>
      <c r="CY8" s="74">
        <f aca="true" t="shared" si="60" ref="CY8:CY13">CV$6*$G8</f>
        <v>399.03395489999997</v>
      </c>
      <c r="CZ8" s="76"/>
      <c r="DA8" s="75"/>
      <c r="DB8" s="75">
        <f aca="true" t="shared" si="61" ref="DB8:DB13">D8*1.31079/100</f>
        <v>6927.328531499999</v>
      </c>
      <c r="DC8" s="75">
        <f aca="true" t="shared" si="62" ref="DC8:DC13">DA8+DB8</f>
        <v>6927.328531499999</v>
      </c>
      <c r="DD8" s="75">
        <f aca="true" t="shared" si="63" ref="DD8:DD13">DB$6*$F8</f>
        <v>7403.1977331</v>
      </c>
      <c r="DE8" s="74">
        <f aca="true" t="shared" si="64" ref="DE8:DE13">DB$6*$G8</f>
        <v>1146.5611209</v>
      </c>
      <c r="DF8" s="76"/>
      <c r="DG8" s="75"/>
      <c r="DH8" s="75">
        <f aca="true" t="shared" si="65" ref="DH8:DH13">D8*0.05051/100</f>
        <v>266.9377735</v>
      </c>
      <c r="DI8" s="75">
        <f aca="true" t="shared" si="66" ref="DI8:DI13">DG8+DH8</f>
        <v>266.9377735</v>
      </c>
      <c r="DJ8" s="75">
        <f aca="true" t="shared" si="67" ref="DJ8:DJ13">DH$6*$F8</f>
        <v>285.2749239</v>
      </c>
      <c r="DK8" s="74">
        <f aca="true" t="shared" si="68" ref="DK8:DK13">DH$6*$G8</f>
        <v>44.1816021</v>
      </c>
      <c r="DL8" s="76"/>
      <c r="DM8" s="87"/>
      <c r="DN8" s="87">
        <f aca="true" t="shared" si="69" ref="DN8:DN13">D8*2.76518/100</f>
        <v>14613.561523</v>
      </c>
      <c r="DO8" s="87">
        <f aca="true" t="shared" si="70" ref="DO8:DO13">DM8+DN8</f>
        <v>14613.561523</v>
      </c>
      <c r="DP8" s="87">
        <f aca="true" t="shared" si="71" ref="DP8:DP13">DN$6*$F8</f>
        <v>15617.432470200001</v>
      </c>
      <c r="DQ8" s="89">
        <f aca="true" t="shared" si="72" ref="DQ8:DQ13">DN$6*$G8</f>
        <v>2418.7305978</v>
      </c>
      <c r="DR8" s="76"/>
      <c r="DS8" s="75"/>
      <c r="DT8" s="75">
        <f aca="true" t="shared" si="73" ref="DT8:DT13">D8*0.43534/100</f>
        <v>2300.706599</v>
      </c>
      <c r="DU8" s="75">
        <f aca="true" t="shared" si="74" ref="DU8:DU13">DS8+DT8</f>
        <v>2300.706599</v>
      </c>
      <c r="DV8" s="75">
        <f aca="true" t="shared" si="75" ref="DV8:DV13">DT$6*$F8</f>
        <v>2458.7524326000002</v>
      </c>
      <c r="DW8" s="74">
        <f aca="true" t="shared" si="76" ref="DW8:DW13">DT$6*$G8</f>
        <v>380.7962514</v>
      </c>
      <c r="DX8" s="76"/>
      <c r="DY8" s="75"/>
      <c r="DZ8" s="75">
        <f aca="true" t="shared" si="77" ref="DZ8:DZ13">D8*2.24029/100</f>
        <v>11839.5966065</v>
      </c>
      <c r="EA8" s="75">
        <f aca="true" t="shared" si="78" ref="EA8:EA13">DY8+DZ8</f>
        <v>11839.5966065</v>
      </c>
      <c r="EB8" s="75">
        <f aca="true" t="shared" si="79" ref="EB8:EB13">DZ$6*$F8</f>
        <v>12652.9114881</v>
      </c>
      <c r="EC8" s="74">
        <f aca="true" t="shared" si="80" ref="EC8:EC13">DZ$6*$G8</f>
        <v>1959.6040659</v>
      </c>
      <c r="ED8" s="76"/>
      <c r="EE8" s="75"/>
      <c r="EF8" s="75">
        <f aca="true" t="shared" si="81" ref="EF8:EF13">D8*0.63958/100</f>
        <v>3380.084363</v>
      </c>
      <c r="EG8" s="75">
        <f aca="true" t="shared" si="82" ref="EG8:EG13">EE8+EF8</f>
        <v>3380.084363</v>
      </c>
      <c r="EH8" s="75">
        <f aca="true" t="shared" si="83" ref="EH8:EH13">EF$6*$F8</f>
        <v>3612.2774862</v>
      </c>
      <c r="EI8" s="74">
        <f aca="true" t="shared" si="84" ref="EI8:EI13">EF$6*$G8</f>
        <v>559.4470218</v>
      </c>
      <c r="EJ8" s="76"/>
      <c r="EK8" s="75"/>
      <c r="EL8" s="75">
        <f aca="true" t="shared" si="85" ref="EL8:EL13">D8*0.00642/100</f>
        <v>33.928737</v>
      </c>
      <c r="EM8" s="75">
        <f aca="true" t="shared" si="86" ref="EM8:EM13">EK8+EL8</f>
        <v>33.928737</v>
      </c>
      <c r="EN8" s="75">
        <f aca="true" t="shared" si="87" ref="EN8:EN13">EL$6*$F8</f>
        <v>36.2594538</v>
      </c>
      <c r="EO8" s="74">
        <f aca="true" t="shared" si="88" ref="EO8:EO13">EL$6*$G8</f>
        <v>5.6156382</v>
      </c>
      <c r="EP8" s="76"/>
      <c r="EQ8" s="75"/>
      <c r="ER8" s="75">
        <f aca="true" t="shared" si="89" ref="ER8:ER13">D8*0.01192/100</f>
        <v>62.995411999999995</v>
      </c>
      <c r="ES8" s="75">
        <f aca="true" t="shared" si="90" ref="ES8:ES13">EQ8+ER8</f>
        <v>62.995411999999995</v>
      </c>
      <c r="ET8" s="75">
        <f aca="true" t="shared" si="91" ref="ET8:ET13">ER$6*$F8</f>
        <v>67.3228488</v>
      </c>
      <c r="EU8" s="74">
        <f aca="true" t="shared" si="92" ref="EU8:EU13">ER$6*$G8</f>
        <v>10.4265432</v>
      </c>
      <c r="EV8" s="76"/>
      <c r="EW8" s="75"/>
      <c r="EX8" s="75">
        <f aca="true" t="shared" si="93" ref="EX8:EX13">D8*2.15476/100</f>
        <v>11387.583385999998</v>
      </c>
      <c r="EY8" s="75">
        <f aca="true" t="shared" si="94" ref="EY8:EY13">EW8+EX8</f>
        <v>11387.583385999998</v>
      </c>
      <c r="EZ8" s="75">
        <f aca="true" t="shared" si="95" ref="EZ8:EZ13">EX$6*$F8</f>
        <v>12169.8474564</v>
      </c>
      <c r="FA8" s="74">
        <f aca="true" t="shared" si="96" ref="FA8:FA13">EX$6*$G8</f>
        <v>1884.7901196</v>
      </c>
      <c r="FB8" s="76"/>
      <c r="FC8" s="75"/>
      <c r="FD8" s="75">
        <f aca="true" t="shared" si="97" ref="FD8:FD13">D8*4.00516/100</f>
        <v>21166.669826</v>
      </c>
      <c r="FE8" s="75">
        <f aca="true" t="shared" si="98" ref="FE8:FE13">FC8+FD8</f>
        <v>21166.669826</v>
      </c>
      <c r="FF8" s="75">
        <f aca="true" t="shared" si="99" ref="FF8:FF13">FD$6*$F8</f>
        <v>22620.7031124</v>
      </c>
      <c r="FG8" s="74">
        <f aca="true" t="shared" si="100" ref="FG8:FG13">FD$6*$G8</f>
        <v>3503.3535036</v>
      </c>
      <c r="FH8" s="76"/>
      <c r="FI8" s="77"/>
      <c r="FJ8" s="75"/>
      <c r="FK8" s="75"/>
      <c r="FL8" s="75"/>
      <c r="FM8" s="74">
        <f aca="true" t="shared" si="101" ref="FM8:FM13">FJ$6*$G8</f>
        <v>0</v>
      </c>
    </row>
    <row r="9" spans="1:169" s="52" customFormat="1" ht="12.75">
      <c r="A9" s="51">
        <v>44652</v>
      </c>
      <c r="C9" s="36">
        <v>5095000</v>
      </c>
      <c r="D9" s="36">
        <v>438375</v>
      </c>
      <c r="E9" s="74">
        <f t="shared" si="0"/>
        <v>5533375</v>
      </c>
      <c r="F9" s="74">
        <v>564792</v>
      </c>
      <c r="G9" s="74">
        <v>87474</v>
      </c>
      <c r="H9" s="76"/>
      <c r="I9" s="76">
        <f>'2021A Academic'!I9</f>
        <v>2765697.9605000005</v>
      </c>
      <c r="J9" s="76">
        <f>'2021A Academic'!J9</f>
        <v>237961.30391249998</v>
      </c>
      <c r="K9" s="76">
        <f t="shared" si="1"/>
        <v>3003659.2644125004</v>
      </c>
      <c r="L9" s="76">
        <f>'2021A Academic'!L9</f>
        <v>306583.7257128</v>
      </c>
      <c r="M9" s="76">
        <f>'2021A Academic'!M9</f>
        <v>47483.1527766</v>
      </c>
      <c r="N9" s="76"/>
      <c r="O9" s="75">
        <f t="shared" si="2"/>
        <v>2329302.0395</v>
      </c>
      <c r="P9" s="77">
        <f t="shared" si="2"/>
        <v>200413.69608749996</v>
      </c>
      <c r="Q9" s="75">
        <f t="shared" si="3"/>
        <v>2529715.7355875</v>
      </c>
      <c r="R9" s="75">
        <f t="shared" si="4"/>
        <v>258208.27428720007</v>
      </c>
      <c r="S9" s="75">
        <f t="shared" si="4"/>
        <v>39990.8472234</v>
      </c>
      <c r="T9" s="76"/>
      <c r="U9" s="75">
        <f>C9*8.1724/100</f>
        <v>416383.78</v>
      </c>
      <c r="V9" s="74">
        <f t="shared" si="5"/>
        <v>35825.758499999996</v>
      </c>
      <c r="W9" s="75">
        <f t="shared" si="6"/>
        <v>452209.5385</v>
      </c>
      <c r="X9" s="75">
        <f t="shared" si="7"/>
        <v>46157.061408</v>
      </c>
      <c r="Y9" s="74">
        <f t="shared" si="8"/>
        <v>7148.725176000001</v>
      </c>
      <c r="Z9" s="76"/>
      <c r="AA9" s="75">
        <f>C9*5.95646/100</f>
        <v>303481.637</v>
      </c>
      <c r="AB9" s="75">
        <f t="shared" si="9"/>
        <v>26111.631524999997</v>
      </c>
      <c r="AC9" s="75">
        <f t="shared" si="10"/>
        <v>329593.26852499996</v>
      </c>
      <c r="AD9" s="75">
        <f t="shared" si="11"/>
        <v>33641.6095632</v>
      </c>
      <c r="AE9" s="74">
        <f t="shared" si="12"/>
        <v>5210.353820400001</v>
      </c>
      <c r="AF9" s="76"/>
      <c r="AG9" s="75">
        <f>C9*3.15804/100</f>
        <v>160902.138</v>
      </c>
      <c r="AH9" s="75">
        <f t="shared" si="13"/>
        <v>13844.057850000001</v>
      </c>
      <c r="AI9" s="75">
        <f t="shared" si="14"/>
        <v>174746.19585000002</v>
      </c>
      <c r="AJ9" s="75">
        <f t="shared" si="15"/>
        <v>17836.3572768</v>
      </c>
      <c r="AK9" s="74">
        <f t="shared" si="16"/>
        <v>2762.4639096</v>
      </c>
      <c r="AL9" s="76"/>
      <c r="AM9" s="75">
        <f>C9*2.2968/100</f>
        <v>117021.96</v>
      </c>
      <c r="AN9" s="75">
        <f t="shared" si="17"/>
        <v>10068.597000000002</v>
      </c>
      <c r="AO9" s="75">
        <f t="shared" si="18"/>
        <v>127090.557</v>
      </c>
      <c r="AP9" s="75">
        <f t="shared" si="19"/>
        <v>12972.142656</v>
      </c>
      <c r="AQ9" s="74">
        <f t="shared" si="20"/>
        <v>2009.1028319999998</v>
      </c>
      <c r="AR9" s="76"/>
      <c r="AS9" s="75">
        <f>C9*0.26309/100</f>
        <v>13404.4355</v>
      </c>
      <c r="AT9" s="75">
        <f t="shared" si="21"/>
        <v>1153.3207875</v>
      </c>
      <c r="AU9" s="75">
        <f t="shared" si="22"/>
        <v>14557.7562875</v>
      </c>
      <c r="AV9" s="75">
        <f t="shared" si="23"/>
        <v>1485.9112728</v>
      </c>
      <c r="AW9" s="74">
        <f t="shared" si="24"/>
        <v>230.1353466</v>
      </c>
      <c r="AX9" s="76"/>
      <c r="AY9" s="75">
        <f>C9*4.16229/100</f>
        <v>212068.67549999998</v>
      </c>
      <c r="AZ9" s="75">
        <f t="shared" si="25"/>
        <v>18246.4387875</v>
      </c>
      <c r="BA9" s="75">
        <f t="shared" si="26"/>
        <v>230315.11428749998</v>
      </c>
      <c r="BB9" s="75">
        <f t="shared" si="27"/>
        <v>23508.280936799998</v>
      </c>
      <c r="BC9" s="74">
        <f t="shared" si="28"/>
        <v>3640.9215545999996</v>
      </c>
      <c r="BD9" s="76"/>
      <c r="BE9" s="75">
        <f>C9*0.45121/100</f>
        <v>22989.149500000003</v>
      </c>
      <c r="BF9" s="75">
        <f t="shared" si="29"/>
        <v>1977.9918375</v>
      </c>
      <c r="BG9" s="75">
        <f t="shared" si="30"/>
        <v>24967.141337500005</v>
      </c>
      <c r="BH9" s="75">
        <f t="shared" si="31"/>
        <v>2548.3979832</v>
      </c>
      <c r="BI9" s="74">
        <f t="shared" si="32"/>
        <v>394.6914354</v>
      </c>
      <c r="BJ9" s="76"/>
      <c r="BK9" s="75">
        <f>C9*1.41147/100</f>
        <v>71914.3965</v>
      </c>
      <c r="BL9" s="75">
        <f t="shared" si="33"/>
        <v>6187.5316125</v>
      </c>
      <c r="BM9" s="75">
        <f t="shared" si="34"/>
        <v>78101.9281125</v>
      </c>
      <c r="BN9" s="75">
        <f t="shared" si="35"/>
        <v>7971.869642400001</v>
      </c>
      <c r="BO9" s="74">
        <f t="shared" si="36"/>
        <v>1234.6692678000002</v>
      </c>
      <c r="BP9" s="76"/>
      <c r="BQ9" s="75">
        <f>C9*0.71579/100</f>
        <v>36469.5005</v>
      </c>
      <c r="BR9" s="75">
        <f t="shared" si="37"/>
        <v>3137.8444125000005</v>
      </c>
      <c r="BS9" s="75">
        <f t="shared" si="38"/>
        <v>39607.344912500004</v>
      </c>
      <c r="BT9" s="75">
        <f t="shared" si="39"/>
        <v>4042.7246568</v>
      </c>
      <c r="BU9" s="74">
        <f t="shared" si="40"/>
        <v>626.1301446</v>
      </c>
      <c r="BV9" s="76"/>
      <c r="BW9" s="75">
        <f>C9*0.13901/100</f>
        <v>7082.559499999999</v>
      </c>
      <c r="BX9" s="75">
        <f t="shared" si="41"/>
        <v>609.3850875</v>
      </c>
      <c r="BY9" s="75">
        <f t="shared" si="42"/>
        <v>7691.944587499999</v>
      </c>
      <c r="BZ9" s="75">
        <f t="shared" si="43"/>
        <v>785.1173592</v>
      </c>
      <c r="CA9" s="74">
        <f t="shared" si="44"/>
        <v>121.5976074</v>
      </c>
      <c r="CB9" s="76"/>
      <c r="CC9" s="75">
        <f>C9*0.55234/100</f>
        <v>28141.723</v>
      </c>
      <c r="CD9" s="75">
        <f t="shared" si="45"/>
        <v>2421.320475</v>
      </c>
      <c r="CE9" s="75">
        <f t="shared" si="46"/>
        <v>30563.043475000002</v>
      </c>
      <c r="CF9" s="75">
        <f t="shared" si="47"/>
        <v>3119.5721328000004</v>
      </c>
      <c r="CG9" s="74">
        <f t="shared" si="48"/>
        <v>483.1538916</v>
      </c>
      <c r="CH9" s="76"/>
      <c r="CI9" s="75">
        <f>C9*1.34713/100</f>
        <v>68636.2735</v>
      </c>
      <c r="CJ9" s="75">
        <f t="shared" si="49"/>
        <v>5905.4811375</v>
      </c>
      <c r="CK9" s="75">
        <f t="shared" si="50"/>
        <v>74541.7546375</v>
      </c>
      <c r="CL9" s="75">
        <f t="shared" si="51"/>
        <v>7608.4824696000005</v>
      </c>
      <c r="CM9" s="74">
        <f t="shared" si="52"/>
        <v>1178.3884962</v>
      </c>
      <c r="CN9" s="76"/>
      <c r="CO9" s="75">
        <f>C9*3.01524/100</f>
        <v>153626.478</v>
      </c>
      <c r="CP9" s="75">
        <f t="shared" si="53"/>
        <v>13218.05835</v>
      </c>
      <c r="CQ9" s="75">
        <f t="shared" si="54"/>
        <v>166844.53635</v>
      </c>
      <c r="CR9" s="75">
        <f t="shared" si="55"/>
        <v>17029.8343008</v>
      </c>
      <c r="CS9" s="74">
        <f t="shared" si="56"/>
        <v>2637.5510375999997</v>
      </c>
      <c r="CT9" s="76"/>
      <c r="CU9" s="75">
        <f>C9*0.45619/100</f>
        <v>23242.8805</v>
      </c>
      <c r="CV9" s="75">
        <f t="shared" si="57"/>
        <v>1999.8229124999998</v>
      </c>
      <c r="CW9" s="75">
        <f t="shared" si="58"/>
        <v>25242.7034125</v>
      </c>
      <c r="CX9" s="75">
        <f t="shared" si="59"/>
        <v>2576.5246248</v>
      </c>
      <c r="CY9" s="74">
        <f t="shared" si="60"/>
        <v>399.04764059999997</v>
      </c>
      <c r="CZ9" s="76"/>
      <c r="DA9" s="75">
        <f>C9*1.31079/100</f>
        <v>66784.7505</v>
      </c>
      <c r="DB9" s="75">
        <f t="shared" si="61"/>
        <v>5746.175662499999</v>
      </c>
      <c r="DC9" s="75">
        <f t="shared" si="62"/>
        <v>72530.92616249999</v>
      </c>
      <c r="DD9" s="75">
        <f t="shared" si="63"/>
        <v>7403.237056800001</v>
      </c>
      <c r="DE9" s="74">
        <f t="shared" si="64"/>
        <v>1146.6004446</v>
      </c>
      <c r="DF9" s="76"/>
      <c r="DG9" s="75">
        <f>C9*0.05051/100</f>
        <v>2573.4845</v>
      </c>
      <c r="DH9" s="75">
        <f t="shared" si="65"/>
        <v>221.4232125</v>
      </c>
      <c r="DI9" s="75">
        <f t="shared" si="66"/>
        <v>2794.9077125</v>
      </c>
      <c r="DJ9" s="75">
        <f t="shared" si="67"/>
        <v>285.27643919999997</v>
      </c>
      <c r="DK9" s="74">
        <f t="shared" si="68"/>
        <v>44.1831174</v>
      </c>
      <c r="DL9" s="76"/>
      <c r="DM9" s="87">
        <f>C9*2.76518/100</f>
        <v>140885.921</v>
      </c>
      <c r="DN9" s="87">
        <f t="shared" si="69"/>
        <v>12121.857825</v>
      </c>
      <c r="DO9" s="87">
        <f t="shared" si="70"/>
        <v>153007.778825</v>
      </c>
      <c r="DP9" s="87">
        <f t="shared" si="71"/>
        <v>15617.5154256</v>
      </c>
      <c r="DQ9" s="89">
        <f t="shared" si="72"/>
        <v>2418.8135532</v>
      </c>
      <c r="DR9" s="76"/>
      <c r="DS9" s="75">
        <f>C9*0.43534/100</f>
        <v>22180.572999999997</v>
      </c>
      <c r="DT9" s="75">
        <f t="shared" si="73"/>
        <v>1908.4217250000002</v>
      </c>
      <c r="DU9" s="75">
        <f t="shared" si="74"/>
        <v>24088.994724999997</v>
      </c>
      <c r="DV9" s="75">
        <f t="shared" si="75"/>
        <v>2458.7654928</v>
      </c>
      <c r="DW9" s="74">
        <f t="shared" si="76"/>
        <v>380.8093116</v>
      </c>
      <c r="DX9" s="76"/>
      <c r="DY9" s="75">
        <f>C9*2.24029/100</f>
        <v>114142.77549999999</v>
      </c>
      <c r="DZ9" s="75">
        <f t="shared" si="77"/>
        <v>9820.871287499998</v>
      </c>
      <c r="EA9" s="75">
        <f t="shared" si="78"/>
        <v>123963.64678749998</v>
      </c>
      <c r="EB9" s="75">
        <f t="shared" si="79"/>
        <v>12652.9786968</v>
      </c>
      <c r="EC9" s="74">
        <f t="shared" si="80"/>
        <v>1959.6712746</v>
      </c>
      <c r="ED9" s="76"/>
      <c r="EE9" s="75">
        <f>C9*0.63958/100</f>
        <v>32586.601000000002</v>
      </c>
      <c r="EF9" s="75">
        <f t="shared" si="81"/>
        <v>2803.758825</v>
      </c>
      <c r="EG9" s="75">
        <f t="shared" si="82"/>
        <v>35390.359825</v>
      </c>
      <c r="EH9" s="75">
        <f t="shared" si="83"/>
        <v>3612.2966736</v>
      </c>
      <c r="EI9" s="74">
        <f t="shared" si="84"/>
        <v>559.4662092</v>
      </c>
      <c r="EJ9" s="76"/>
      <c r="EK9" s="75">
        <f>C9*0.00642/100</f>
        <v>327.099</v>
      </c>
      <c r="EL9" s="75">
        <f t="shared" si="85"/>
        <v>28.143675</v>
      </c>
      <c r="EM9" s="75">
        <f t="shared" si="86"/>
        <v>355.24267499999996</v>
      </c>
      <c r="EN9" s="75">
        <f t="shared" si="87"/>
        <v>36.2596464</v>
      </c>
      <c r="EO9" s="74">
        <f t="shared" si="88"/>
        <v>5.6158308</v>
      </c>
      <c r="EP9" s="76"/>
      <c r="EQ9" s="75">
        <f>C9*0.01192/100</f>
        <v>607.3240000000001</v>
      </c>
      <c r="ER9" s="75">
        <f t="shared" si="89"/>
        <v>52.2543</v>
      </c>
      <c r="ES9" s="75">
        <f t="shared" si="90"/>
        <v>659.5783000000001</v>
      </c>
      <c r="ET9" s="75">
        <f t="shared" si="91"/>
        <v>67.3232064</v>
      </c>
      <c r="EU9" s="74">
        <f t="shared" si="92"/>
        <v>10.4269008</v>
      </c>
      <c r="EV9" s="76"/>
      <c r="EW9" s="75">
        <f>C9*2.15476/100</f>
        <v>109785.022</v>
      </c>
      <c r="EX9" s="75">
        <f t="shared" si="93"/>
        <v>9445.92915</v>
      </c>
      <c r="EY9" s="75">
        <f t="shared" si="94"/>
        <v>119230.95115</v>
      </c>
      <c r="EZ9" s="75">
        <f t="shared" si="95"/>
        <v>12169.9120992</v>
      </c>
      <c r="FA9" s="74">
        <f t="shared" si="96"/>
        <v>1884.8547624</v>
      </c>
      <c r="FB9" s="76"/>
      <c r="FC9" s="75">
        <f>C9*4.00516/100</f>
        <v>204062.902</v>
      </c>
      <c r="FD9" s="75">
        <f t="shared" si="97"/>
        <v>17557.620150000002</v>
      </c>
      <c r="FE9" s="75">
        <f t="shared" si="98"/>
        <v>221620.52215</v>
      </c>
      <c r="FF9" s="75">
        <f t="shared" si="99"/>
        <v>22620.8232672</v>
      </c>
      <c r="FG9" s="74">
        <f t="shared" si="100"/>
        <v>3503.4736583999997</v>
      </c>
      <c r="FH9" s="76"/>
      <c r="FI9" s="77"/>
      <c r="FJ9" s="75"/>
      <c r="FK9" s="75"/>
      <c r="FL9" s="75"/>
      <c r="FM9" s="74">
        <f t="shared" si="101"/>
        <v>0</v>
      </c>
    </row>
    <row r="10" spans="1:169" s="52" customFormat="1" ht="12.75">
      <c r="A10" s="51">
        <v>44835</v>
      </c>
      <c r="C10" s="36"/>
      <c r="D10" s="36">
        <v>311000</v>
      </c>
      <c r="E10" s="74">
        <f t="shared" si="0"/>
        <v>311000</v>
      </c>
      <c r="F10" s="74">
        <v>564792</v>
      </c>
      <c r="G10" s="74">
        <v>87474</v>
      </c>
      <c r="H10" s="76"/>
      <c r="I10" s="76">
        <f>'2021A Academic'!I10</f>
        <v>0</v>
      </c>
      <c r="J10" s="76">
        <f>'2021A Academic'!J10</f>
        <v>168818.85489999998</v>
      </c>
      <c r="K10" s="76">
        <f t="shared" si="1"/>
        <v>168818.85489999998</v>
      </c>
      <c r="L10" s="76">
        <f>'2021A Academic'!L10</f>
        <v>306583.7257128</v>
      </c>
      <c r="M10" s="76">
        <f>'2021A Academic'!M10</f>
        <v>47483.1527766</v>
      </c>
      <c r="N10" s="76"/>
      <c r="O10" s="75">
        <f t="shared" si="2"/>
        <v>0</v>
      </c>
      <c r="P10" s="77">
        <f t="shared" si="2"/>
        <v>142181.14510000002</v>
      </c>
      <c r="Q10" s="75">
        <f t="shared" si="3"/>
        <v>142181.14510000002</v>
      </c>
      <c r="R10" s="75">
        <f t="shared" si="4"/>
        <v>258208.27428720007</v>
      </c>
      <c r="S10" s="75">
        <f t="shared" si="4"/>
        <v>39990.8472234</v>
      </c>
      <c r="T10" s="76"/>
      <c r="U10" s="75"/>
      <c r="V10" s="74">
        <f t="shared" si="5"/>
        <v>25416.164</v>
      </c>
      <c r="W10" s="75">
        <f t="shared" si="6"/>
        <v>25416.164</v>
      </c>
      <c r="X10" s="75">
        <f t="shared" si="7"/>
        <v>46157.061408</v>
      </c>
      <c r="Y10" s="74">
        <f t="shared" si="8"/>
        <v>7148.725176000001</v>
      </c>
      <c r="Z10" s="76"/>
      <c r="AA10" s="75"/>
      <c r="AB10" s="75">
        <f t="shared" si="9"/>
        <v>18524.5906</v>
      </c>
      <c r="AC10" s="75">
        <f t="shared" si="10"/>
        <v>18524.5906</v>
      </c>
      <c r="AD10" s="75">
        <f t="shared" si="11"/>
        <v>33641.6095632</v>
      </c>
      <c r="AE10" s="74">
        <f t="shared" si="12"/>
        <v>5210.353820400001</v>
      </c>
      <c r="AF10" s="76"/>
      <c r="AG10" s="75"/>
      <c r="AH10" s="75">
        <f t="shared" si="13"/>
        <v>9821.5044</v>
      </c>
      <c r="AI10" s="75">
        <f t="shared" si="14"/>
        <v>9821.5044</v>
      </c>
      <c r="AJ10" s="75">
        <f t="shared" si="15"/>
        <v>17836.3572768</v>
      </c>
      <c r="AK10" s="74">
        <f t="shared" si="16"/>
        <v>2762.4639096</v>
      </c>
      <c r="AL10" s="76"/>
      <c r="AM10" s="75"/>
      <c r="AN10" s="75">
        <f t="shared" si="17"/>
        <v>7143.048000000001</v>
      </c>
      <c r="AO10" s="75">
        <f t="shared" si="18"/>
        <v>7143.048000000001</v>
      </c>
      <c r="AP10" s="75">
        <f t="shared" si="19"/>
        <v>12972.142656</v>
      </c>
      <c r="AQ10" s="74">
        <f t="shared" si="20"/>
        <v>2009.1028319999998</v>
      </c>
      <c r="AR10" s="76"/>
      <c r="AS10" s="75"/>
      <c r="AT10" s="75">
        <f t="shared" si="21"/>
        <v>818.2099</v>
      </c>
      <c r="AU10" s="75">
        <f t="shared" si="22"/>
        <v>818.2099</v>
      </c>
      <c r="AV10" s="75">
        <f t="shared" si="23"/>
        <v>1485.9112728</v>
      </c>
      <c r="AW10" s="74">
        <f t="shared" si="24"/>
        <v>230.1353466</v>
      </c>
      <c r="AX10" s="76"/>
      <c r="AY10" s="75"/>
      <c r="AZ10" s="75">
        <f t="shared" si="25"/>
        <v>12944.721899999999</v>
      </c>
      <c r="BA10" s="75">
        <f t="shared" si="26"/>
        <v>12944.721899999999</v>
      </c>
      <c r="BB10" s="75">
        <f t="shared" si="27"/>
        <v>23508.280936799998</v>
      </c>
      <c r="BC10" s="74">
        <f t="shared" si="28"/>
        <v>3640.9215545999996</v>
      </c>
      <c r="BD10" s="76"/>
      <c r="BE10" s="75"/>
      <c r="BF10" s="75">
        <f t="shared" si="29"/>
        <v>1403.2631</v>
      </c>
      <c r="BG10" s="75">
        <f t="shared" si="30"/>
        <v>1403.2631</v>
      </c>
      <c r="BH10" s="75">
        <f t="shared" si="31"/>
        <v>2548.3979832</v>
      </c>
      <c r="BI10" s="74">
        <f t="shared" si="32"/>
        <v>394.6914354</v>
      </c>
      <c r="BJ10" s="76"/>
      <c r="BK10" s="75"/>
      <c r="BL10" s="75">
        <f t="shared" si="33"/>
        <v>4389.6717</v>
      </c>
      <c r="BM10" s="75">
        <f t="shared" si="34"/>
        <v>4389.6717</v>
      </c>
      <c r="BN10" s="75">
        <f t="shared" si="35"/>
        <v>7971.869642400001</v>
      </c>
      <c r="BO10" s="74">
        <f t="shared" si="36"/>
        <v>1234.6692678000002</v>
      </c>
      <c r="BP10" s="76"/>
      <c r="BQ10" s="75"/>
      <c r="BR10" s="75">
        <f t="shared" si="37"/>
        <v>2226.1069</v>
      </c>
      <c r="BS10" s="75">
        <f t="shared" si="38"/>
        <v>2226.1069</v>
      </c>
      <c r="BT10" s="75">
        <f t="shared" si="39"/>
        <v>4042.7246568</v>
      </c>
      <c r="BU10" s="74">
        <f t="shared" si="40"/>
        <v>626.1301446</v>
      </c>
      <c r="BV10" s="76"/>
      <c r="BW10" s="75"/>
      <c r="BX10" s="75">
        <f t="shared" si="41"/>
        <v>432.3211</v>
      </c>
      <c r="BY10" s="75">
        <f t="shared" si="42"/>
        <v>432.3211</v>
      </c>
      <c r="BZ10" s="75">
        <f t="shared" si="43"/>
        <v>785.1173592</v>
      </c>
      <c r="CA10" s="74">
        <f t="shared" si="44"/>
        <v>121.5976074</v>
      </c>
      <c r="CB10" s="76"/>
      <c r="CC10" s="75"/>
      <c r="CD10" s="75">
        <f t="shared" si="45"/>
        <v>1717.7774000000002</v>
      </c>
      <c r="CE10" s="75">
        <f t="shared" si="46"/>
        <v>1717.7774000000002</v>
      </c>
      <c r="CF10" s="75">
        <f t="shared" si="47"/>
        <v>3119.5721328000004</v>
      </c>
      <c r="CG10" s="74">
        <f t="shared" si="48"/>
        <v>483.1538916</v>
      </c>
      <c r="CH10" s="76"/>
      <c r="CI10" s="75"/>
      <c r="CJ10" s="75">
        <f t="shared" si="49"/>
        <v>4189.5743</v>
      </c>
      <c r="CK10" s="75">
        <f t="shared" si="50"/>
        <v>4189.5743</v>
      </c>
      <c r="CL10" s="75">
        <f t="shared" si="51"/>
        <v>7608.4824696000005</v>
      </c>
      <c r="CM10" s="74">
        <f t="shared" si="52"/>
        <v>1178.3884962</v>
      </c>
      <c r="CN10" s="76"/>
      <c r="CO10" s="75"/>
      <c r="CP10" s="75">
        <f t="shared" si="53"/>
        <v>9377.3964</v>
      </c>
      <c r="CQ10" s="75">
        <f t="shared" si="54"/>
        <v>9377.3964</v>
      </c>
      <c r="CR10" s="75">
        <f t="shared" si="55"/>
        <v>17029.8343008</v>
      </c>
      <c r="CS10" s="74">
        <f t="shared" si="56"/>
        <v>2637.5510375999997</v>
      </c>
      <c r="CT10" s="76"/>
      <c r="CU10" s="75"/>
      <c r="CV10" s="75">
        <f t="shared" si="57"/>
        <v>1418.7509</v>
      </c>
      <c r="CW10" s="75">
        <f t="shared" si="58"/>
        <v>1418.7509</v>
      </c>
      <c r="CX10" s="75">
        <f t="shared" si="59"/>
        <v>2576.5246248</v>
      </c>
      <c r="CY10" s="74">
        <f t="shared" si="60"/>
        <v>399.04764059999997</v>
      </c>
      <c r="CZ10" s="76"/>
      <c r="DA10" s="75"/>
      <c r="DB10" s="75">
        <f t="shared" si="61"/>
        <v>4076.5568999999996</v>
      </c>
      <c r="DC10" s="75">
        <f t="shared" si="62"/>
        <v>4076.5568999999996</v>
      </c>
      <c r="DD10" s="75">
        <f t="shared" si="63"/>
        <v>7403.237056800001</v>
      </c>
      <c r="DE10" s="74">
        <f t="shared" si="64"/>
        <v>1146.6004446</v>
      </c>
      <c r="DF10" s="76"/>
      <c r="DG10" s="75"/>
      <c r="DH10" s="75">
        <f t="shared" si="65"/>
        <v>157.08610000000002</v>
      </c>
      <c r="DI10" s="75">
        <f t="shared" si="66"/>
        <v>157.08610000000002</v>
      </c>
      <c r="DJ10" s="75">
        <f t="shared" si="67"/>
        <v>285.27643919999997</v>
      </c>
      <c r="DK10" s="74">
        <f t="shared" si="68"/>
        <v>44.1831174</v>
      </c>
      <c r="DL10" s="76"/>
      <c r="DM10" s="87"/>
      <c r="DN10" s="87">
        <f t="shared" si="69"/>
        <v>8599.7098</v>
      </c>
      <c r="DO10" s="87">
        <f t="shared" si="70"/>
        <v>8599.7098</v>
      </c>
      <c r="DP10" s="87">
        <f t="shared" si="71"/>
        <v>15617.5154256</v>
      </c>
      <c r="DQ10" s="89">
        <f t="shared" si="72"/>
        <v>2418.8135532</v>
      </c>
      <c r="DR10" s="76"/>
      <c r="DS10" s="75"/>
      <c r="DT10" s="75">
        <f t="shared" si="73"/>
        <v>1353.9073999999998</v>
      </c>
      <c r="DU10" s="75">
        <f t="shared" si="74"/>
        <v>1353.9073999999998</v>
      </c>
      <c r="DV10" s="75">
        <f t="shared" si="75"/>
        <v>2458.7654928</v>
      </c>
      <c r="DW10" s="74">
        <f t="shared" si="76"/>
        <v>380.8093116</v>
      </c>
      <c r="DX10" s="76"/>
      <c r="DY10" s="75"/>
      <c r="DZ10" s="75">
        <f t="shared" si="77"/>
        <v>6967.3018999999995</v>
      </c>
      <c r="EA10" s="75">
        <f t="shared" si="78"/>
        <v>6967.3018999999995</v>
      </c>
      <c r="EB10" s="75">
        <f t="shared" si="79"/>
        <v>12652.9786968</v>
      </c>
      <c r="EC10" s="74">
        <f t="shared" si="80"/>
        <v>1959.6712746</v>
      </c>
      <c r="ED10" s="76"/>
      <c r="EE10" s="75"/>
      <c r="EF10" s="75">
        <f t="shared" si="81"/>
        <v>1989.0938</v>
      </c>
      <c r="EG10" s="75">
        <f t="shared" si="82"/>
        <v>1989.0938</v>
      </c>
      <c r="EH10" s="75">
        <f t="shared" si="83"/>
        <v>3612.2966736</v>
      </c>
      <c r="EI10" s="74">
        <f t="shared" si="84"/>
        <v>559.4662092</v>
      </c>
      <c r="EJ10" s="76"/>
      <c r="EK10" s="75"/>
      <c r="EL10" s="75">
        <f t="shared" si="85"/>
        <v>19.9662</v>
      </c>
      <c r="EM10" s="75">
        <f t="shared" si="86"/>
        <v>19.9662</v>
      </c>
      <c r="EN10" s="75">
        <f t="shared" si="87"/>
        <v>36.2596464</v>
      </c>
      <c r="EO10" s="74">
        <f t="shared" si="88"/>
        <v>5.6158308</v>
      </c>
      <c r="EP10" s="76"/>
      <c r="EQ10" s="75"/>
      <c r="ER10" s="75">
        <f t="shared" si="89"/>
        <v>37.0712</v>
      </c>
      <c r="ES10" s="75">
        <f t="shared" si="90"/>
        <v>37.0712</v>
      </c>
      <c r="ET10" s="75">
        <f t="shared" si="91"/>
        <v>67.3232064</v>
      </c>
      <c r="EU10" s="74">
        <f t="shared" si="92"/>
        <v>10.4269008</v>
      </c>
      <c r="EV10" s="76"/>
      <c r="EW10" s="75"/>
      <c r="EX10" s="75">
        <f t="shared" si="93"/>
        <v>6701.3036</v>
      </c>
      <c r="EY10" s="75">
        <f t="shared" si="94"/>
        <v>6701.3036</v>
      </c>
      <c r="EZ10" s="75">
        <f t="shared" si="95"/>
        <v>12169.9120992</v>
      </c>
      <c r="FA10" s="74">
        <f t="shared" si="96"/>
        <v>1884.8547624</v>
      </c>
      <c r="FB10" s="76"/>
      <c r="FC10" s="75"/>
      <c r="FD10" s="75">
        <f t="shared" si="97"/>
        <v>12456.0476</v>
      </c>
      <c r="FE10" s="75">
        <f t="shared" si="98"/>
        <v>12456.0476</v>
      </c>
      <c r="FF10" s="75">
        <f t="shared" si="99"/>
        <v>22620.8232672</v>
      </c>
      <c r="FG10" s="74">
        <f t="shared" si="100"/>
        <v>3503.4736583999997</v>
      </c>
      <c r="FH10" s="76"/>
      <c r="FI10" s="77"/>
      <c r="FJ10" s="75"/>
      <c r="FK10" s="75"/>
      <c r="FL10" s="75"/>
      <c r="FM10" s="74">
        <f t="shared" si="101"/>
        <v>0</v>
      </c>
    </row>
    <row r="11" spans="1:169" s="52" customFormat="1" ht="12.75">
      <c r="A11" s="51">
        <v>45017</v>
      </c>
      <c r="C11" s="36">
        <v>5470000</v>
      </c>
      <c r="D11" s="36">
        <v>311000</v>
      </c>
      <c r="E11" s="74">
        <f t="shared" si="0"/>
        <v>5781000</v>
      </c>
      <c r="F11" s="74">
        <v>564792</v>
      </c>
      <c r="G11" s="74">
        <v>87474</v>
      </c>
      <c r="H11" s="76"/>
      <c r="I11" s="76">
        <f>'2021A Academic'!I11</f>
        <v>2969257.6729999995</v>
      </c>
      <c r="J11" s="76">
        <f>'2021A Academic'!J11</f>
        <v>168818.85489999998</v>
      </c>
      <c r="K11" s="76">
        <f t="shared" si="1"/>
        <v>3138076.5278999996</v>
      </c>
      <c r="L11" s="76">
        <f>'2021A Academic'!L11</f>
        <v>306583.7257128</v>
      </c>
      <c r="M11" s="76">
        <f>'2021A Academic'!M11</f>
        <v>47483.1527766</v>
      </c>
      <c r="N11" s="76"/>
      <c r="O11" s="75">
        <f t="shared" si="2"/>
        <v>2500742.327</v>
      </c>
      <c r="P11" s="77">
        <f t="shared" si="2"/>
        <v>142181.14510000002</v>
      </c>
      <c r="Q11" s="75">
        <f t="shared" si="3"/>
        <v>2642923.4721</v>
      </c>
      <c r="R11" s="75">
        <f t="shared" si="4"/>
        <v>258208.27428720007</v>
      </c>
      <c r="S11" s="75">
        <f t="shared" si="4"/>
        <v>39990.8472234</v>
      </c>
      <c r="T11" s="76"/>
      <c r="U11" s="75">
        <f>C11*8.1724/100</f>
        <v>447030.28</v>
      </c>
      <c r="V11" s="74">
        <f t="shared" si="5"/>
        <v>25416.164</v>
      </c>
      <c r="W11" s="75">
        <f t="shared" si="6"/>
        <v>472446.444</v>
      </c>
      <c r="X11" s="75">
        <f t="shared" si="7"/>
        <v>46157.061408</v>
      </c>
      <c r="Y11" s="74">
        <f t="shared" si="8"/>
        <v>7148.725176000001</v>
      </c>
      <c r="Z11" s="76"/>
      <c r="AA11" s="75">
        <f>C11*5.95646/100</f>
        <v>325818.36199999996</v>
      </c>
      <c r="AB11" s="75">
        <f t="shared" si="9"/>
        <v>18524.5906</v>
      </c>
      <c r="AC11" s="75">
        <f t="shared" si="10"/>
        <v>344342.95259999996</v>
      </c>
      <c r="AD11" s="75">
        <f t="shared" si="11"/>
        <v>33641.6095632</v>
      </c>
      <c r="AE11" s="74">
        <f t="shared" si="12"/>
        <v>5210.353820400001</v>
      </c>
      <c r="AF11" s="76"/>
      <c r="AG11" s="75">
        <f>C11*3.15804/100</f>
        <v>172744.788</v>
      </c>
      <c r="AH11" s="75">
        <f t="shared" si="13"/>
        <v>9821.5044</v>
      </c>
      <c r="AI11" s="75">
        <f t="shared" si="14"/>
        <v>182566.2924</v>
      </c>
      <c r="AJ11" s="75">
        <f t="shared" si="15"/>
        <v>17836.3572768</v>
      </c>
      <c r="AK11" s="74">
        <f t="shared" si="16"/>
        <v>2762.4639096</v>
      </c>
      <c r="AL11" s="76"/>
      <c r="AM11" s="75">
        <f>C11*2.2968/100</f>
        <v>125634.96000000002</v>
      </c>
      <c r="AN11" s="75">
        <f t="shared" si="17"/>
        <v>7143.048000000001</v>
      </c>
      <c r="AO11" s="75">
        <f t="shared" si="18"/>
        <v>132778.00800000003</v>
      </c>
      <c r="AP11" s="75">
        <f t="shared" si="19"/>
        <v>12972.142656</v>
      </c>
      <c r="AQ11" s="74">
        <f t="shared" si="20"/>
        <v>2009.1028319999998</v>
      </c>
      <c r="AR11" s="76"/>
      <c r="AS11" s="75">
        <f>C11*0.26309/100</f>
        <v>14391.023000000001</v>
      </c>
      <c r="AT11" s="75">
        <f t="shared" si="21"/>
        <v>818.2099</v>
      </c>
      <c r="AU11" s="75">
        <f t="shared" si="22"/>
        <v>15209.2329</v>
      </c>
      <c r="AV11" s="75">
        <f t="shared" si="23"/>
        <v>1485.9112728</v>
      </c>
      <c r="AW11" s="74">
        <f t="shared" si="24"/>
        <v>230.1353466</v>
      </c>
      <c r="AX11" s="76"/>
      <c r="AY11" s="75">
        <f>C11*4.16229/100</f>
        <v>227677.26299999998</v>
      </c>
      <c r="AZ11" s="75">
        <f t="shared" si="25"/>
        <v>12944.721899999999</v>
      </c>
      <c r="BA11" s="75">
        <f t="shared" si="26"/>
        <v>240621.98489999998</v>
      </c>
      <c r="BB11" s="75">
        <f t="shared" si="27"/>
        <v>23508.280936799998</v>
      </c>
      <c r="BC11" s="74">
        <f t="shared" si="28"/>
        <v>3640.9215545999996</v>
      </c>
      <c r="BD11" s="76"/>
      <c r="BE11" s="75">
        <f>C11*0.45121/100</f>
        <v>24681.187</v>
      </c>
      <c r="BF11" s="75">
        <f t="shared" si="29"/>
        <v>1403.2631</v>
      </c>
      <c r="BG11" s="75">
        <f t="shared" si="30"/>
        <v>26084.450100000002</v>
      </c>
      <c r="BH11" s="75">
        <f t="shared" si="31"/>
        <v>2548.3979832</v>
      </c>
      <c r="BI11" s="74">
        <f t="shared" si="32"/>
        <v>394.6914354</v>
      </c>
      <c r="BJ11" s="76"/>
      <c r="BK11" s="75">
        <f>C11*1.41147/100</f>
        <v>77207.409</v>
      </c>
      <c r="BL11" s="75">
        <f t="shared" si="33"/>
        <v>4389.6717</v>
      </c>
      <c r="BM11" s="75">
        <f t="shared" si="34"/>
        <v>81597.0807</v>
      </c>
      <c r="BN11" s="75">
        <f t="shared" si="35"/>
        <v>7971.869642400001</v>
      </c>
      <c r="BO11" s="74">
        <f t="shared" si="36"/>
        <v>1234.6692678000002</v>
      </c>
      <c r="BP11" s="76"/>
      <c r="BQ11" s="75">
        <f>C11*0.71579/100</f>
        <v>39153.713</v>
      </c>
      <c r="BR11" s="75">
        <f t="shared" si="37"/>
        <v>2226.1069</v>
      </c>
      <c r="BS11" s="75">
        <f t="shared" si="38"/>
        <v>41379.8199</v>
      </c>
      <c r="BT11" s="75">
        <f t="shared" si="39"/>
        <v>4042.7246568</v>
      </c>
      <c r="BU11" s="74">
        <f t="shared" si="40"/>
        <v>626.1301446</v>
      </c>
      <c r="BV11" s="76"/>
      <c r="BW11" s="75">
        <f>C11*0.13901/100</f>
        <v>7603.847</v>
      </c>
      <c r="BX11" s="75">
        <f t="shared" si="41"/>
        <v>432.3211</v>
      </c>
      <c r="BY11" s="75">
        <f t="shared" si="42"/>
        <v>8036.1681</v>
      </c>
      <c r="BZ11" s="75">
        <f t="shared" si="43"/>
        <v>785.1173592</v>
      </c>
      <c r="CA11" s="74">
        <f t="shared" si="44"/>
        <v>121.5976074</v>
      </c>
      <c r="CB11" s="76"/>
      <c r="CC11" s="75">
        <f>C11*0.55234/100</f>
        <v>30212.998000000003</v>
      </c>
      <c r="CD11" s="75">
        <f t="shared" si="45"/>
        <v>1717.7774000000002</v>
      </c>
      <c r="CE11" s="75">
        <f t="shared" si="46"/>
        <v>31930.775400000002</v>
      </c>
      <c r="CF11" s="75">
        <f t="shared" si="47"/>
        <v>3119.5721328000004</v>
      </c>
      <c r="CG11" s="74">
        <f t="shared" si="48"/>
        <v>483.1538916</v>
      </c>
      <c r="CH11" s="76"/>
      <c r="CI11" s="75">
        <f>C11*1.34713/100</f>
        <v>73688.011</v>
      </c>
      <c r="CJ11" s="75">
        <f t="shared" si="49"/>
        <v>4189.5743</v>
      </c>
      <c r="CK11" s="75">
        <f t="shared" si="50"/>
        <v>77877.5853</v>
      </c>
      <c r="CL11" s="75">
        <f t="shared" si="51"/>
        <v>7608.4824696000005</v>
      </c>
      <c r="CM11" s="74">
        <f t="shared" si="52"/>
        <v>1178.3884962</v>
      </c>
      <c r="CN11" s="76"/>
      <c r="CO11" s="75">
        <f>C11*3.01524/100</f>
        <v>164933.628</v>
      </c>
      <c r="CP11" s="75">
        <f t="shared" si="53"/>
        <v>9377.3964</v>
      </c>
      <c r="CQ11" s="75">
        <f t="shared" si="54"/>
        <v>174311.0244</v>
      </c>
      <c r="CR11" s="75">
        <f t="shared" si="55"/>
        <v>17029.8343008</v>
      </c>
      <c r="CS11" s="74">
        <f t="shared" si="56"/>
        <v>2637.5510375999997</v>
      </c>
      <c r="CT11" s="76"/>
      <c r="CU11" s="75">
        <f>C11*0.45619/100</f>
        <v>24953.592999999997</v>
      </c>
      <c r="CV11" s="75">
        <f t="shared" si="57"/>
        <v>1418.7509</v>
      </c>
      <c r="CW11" s="75">
        <f t="shared" si="58"/>
        <v>26372.343899999996</v>
      </c>
      <c r="CX11" s="75">
        <f t="shared" si="59"/>
        <v>2576.5246248</v>
      </c>
      <c r="CY11" s="74">
        <f t="shared" si="60"/>
        <v>399.04764059999997</v>
      </c>
      <c r="CZ11" s="76"/>
      <c r="DA11" s="75">
        <f>C11*1.31079/100</f>
        <v>71700.213</v>
      </c>
      <c r="DB11" s="75">
        <f t="shared" si="61"/>
        <v>4076.5568999999996</v>
      </c>
      <c r="DC11" s="75">
        <f t="shared" si="62"/>
        <v>75776.7699</v>
      </c>
      <c r="DD11" s="75">
        <f t="shared" si="63"/>
        <v>7403.237056800001</v>
      </c>
      <c r="DE11" s="74">
        <f t="shared" si="64"/>
        <v>1146.6004446</v>
      </c>
      <c r="DF11" s="76"/>
      <c r="DG11" s="75">
        <f>C11*0.05051/100</f>
        <v>2762.897</v>
      </c>
      <c r="DH11" s="75">
        <f t="shared" si="65"/>
        <v>157.08610000000002</v>
      </c>
      <c r="DI11" s="75">
        <f t="shared" si="66"/>
        <v>2919.9831</v>
      </c>
      <c r="DJ11" s="75">
        <f t="shared" si="67"/>
        <v>285.27643919999997</v>
      </c>
      <c r="DK11" s="74">
        <f t="shared" si="68"/>
        <v>44.1831174</v>
      </c>
      <c r="DL11" s="76"/>
      <c r="DM11" s="87">
        <f>C11*2.76518/100</f>
        <v>151255.346</v>
      </c>
      <c r="DN11" s="87">
        <f t="shared" si="69"/>
        <v>8599.7098</v>
      </c>
      <c r="DO11" s="87">
        <f t="shared" si="70"/>
        <v>159855.0558</v>
      </c>
      <c r="DP11" s="87">
        <f t="shared" si="71"/>
        <v>15617.5154256</v>
      </c>
      <c r="DQ11" s="89">
        <f t="shared" si="72"/>
        <v>2418.8135532</v>
      </c>
      <c r="DR11" s="76"/>
      <c r="DS11" s="75">
        <f>C11*0.43534/100</f>
        <v>23813.097999999998</v>
      </c>
      <c r="DT11" s="75">
        <f t="shared" si="73"/>
        <v>1353.9073999999998</v>
      </c>
      <c r="DU11" s="75">
        <f t="shared" si="74"/>
        <v>25167.0054</v>
      </c>
      <c r="DV11" s="75">
        <f t="shared" si="75"/>
        <v>2458.7654928</v>
      </c>
      <c r="DW11" s="74">
        <f t="shared" si="76"/>
        <v>380.8093116</v>
      </c>
      <c r="DX11" s="76"/>
      <c r="DY11" s="75">
        <f>C11*2.24029/100</f>
        <v>122543.86299999998</v>
      </c>
      <c r="DZ11" s="75">
        <f t="shared" si="77"/>
        <v>6967.3018999999995</v>
      </c>
      <c r="EA11" s="75">
        <f t="shared" si="78"/>
        <v>129511.16489999999</v>
      </c>
      <c r="EB11" s="75">
        <f t="shared" si="79"/>
        <v>12652.9786968</v>
      </c>
      <c r="EC11" s="74">
        <f t="shared" si="80"/>
        <v>1959.6712746</v>
      </c>
      <c r="ED11" s="76"/>
      <c r="EE11" s="75">
        <f>C11*0.63958/100</f>
        <v>34985.026</v>
      </c>
      <c r="EF11" s="75">
        <f t="shared" si="81"/>
        <v>1989.0938</v>
      </c>
      <c r="EG11" s="75">
        <f t="shared" si="82"/>
        <v>36974.1198</v>
      </c>
      <c r="EH11" s="75">
        <f t="shared" si="83"/>
        <v>3612.2966736</v>
      </c>
      <c r="EI11" s="74">
        <f t="shared" si="84"/>
        <v>559.4662092</v>
      </c>
      <c r="EJ11" s="76"/>
      <c r="EK11" s="75">
        <f>C11*0.00642/100</f>
        <v>351.17400000000004</v>
      </c>
      <c r="EL11" s="75">
        <f t="shared" si="85"/>
        <v>19.9662</v>
      </c>
      <c r="EM11" s="75">
        <f t="shared" si="86"/>
        <v>371.14020000000005</v>
      </c>
      <c r="EN11" s="75">
        <f t="shared" si="87"/>
        <v>36.2596464</v>
      </c>
      <c r="EO11" s="74">
        <f t="shared" si="88"/>
        <v>5.6158308</v>
      </c>
      <c r="EP11" s="76"/>
      <c r="EQ11" s="75">
        <f>C11*0.01192/100</f>
        <v>652.024</v>
      </c>
      <c r="ER11" s="75">
        <f t="shared" si="89"/>
        <v>37.0712</v>
      </c>
      <c r="ES11" s="75">
        <f t="shared" si="90"/>
        <v>689.0952</v>
      </c>
      <c r="ET11" s="75">
        <f t="shared" si="91"/>
        <v>67.3232064</v>
      </c>
      <c r="EU11" s="74">
        <f t="shared" si="92"/>
        <v>10.4269008</v>
      </c>
      <c r="EV11" s="76"/>
      <c r="EW11" s="75">
        <f>C11*2.15476/100</f>
        <v>117865.37199999999</v>
      </c>
      <c r="EX11" s="75">
        <f t="shared" si="93"/>
        <v>6701.3036</v>
      </c>
      <c r="EY11" s="75">
        <f t="shared" si="94"/>
        <v>124566.67559999999</v>
      </c>
      <c r="EZ11" s="75">
        <f t="shared" si="95"/>
        <v>12169.9120992</v>
      </c>
      <c r="FA11" s="74">
        <f t="shared" si="96"/>
        <v>1884.8547624</v>
      </c>
      <c r="FB11" s="76"/>
      <c r="FC11" s="75">
        <f>C11*4.00516/100</f>
        <v>219082.25199999998</v>
      </c>
      <c r="FD11" s="75">
        <f t="shared" si="97"/>
        <v>12456.0476</v>
      </c>
      <c r="FE11" s="75">
        <f t="shared" si="98"/>
        <v>231538.29959999997</v>
      </c>
      <c r="FF11" s="75">
        <f t="shared" si="99"/>
        <v>22620.8232672</v>
      </c>
      <c r="FG11" s="74">
        <f t="shared" si="100"/>
        <v>3503.4736583999997</v>
      </c>
      <c r="FH11" s="76"/>
      <c r="FI11" s="77"/>
      <c r="FJ11" s="75"/>
      <c r="FK11" s="75"/>
      <c r="FL11" s="75"/>
      <c r="FM11" s="74">
        <f t="shared" si="101"/>
        <v>0</v>
      </c>
    </row>
    <row r="12" spans="1:169" s="52" customFormat="1" ht="12.75">
      <c r="A12" s="51">
        <v>45200</v>
      </c>
      <c r="C12" s="36"/>
      <c r="D12" s="36">
        <v>174250</v>
      </c>
      <c r="E12" s="74">
        <f t="shared" si="0"/>
        <v>174250</v>
      </c>
      <c r="F12" s="74">
        <v>564792</v>
      </c>
      <c r="G12" s="74">
        <v>87474</v>
      </c>
      <c r="H12" s="76"/>
      <c r="I12" s="76">
        <f>'2021A Academic'!I12</f>
        <v>0</v>
      </c>
      <c r="J12" s="76">
        <f>'2021A Academic'!J12</f>
        <v>94587.41307500002</v>
      </c>
      <c r="K12" s="76">
        <f t="shared" si="1"/>
        <v>94587.41307500002</v>
      </c>
      <c r="L12" s="76">
        <f>'2021A Academic'!L12</f>
        <v>306583.7257128</v>
      </c>
      <c r="M12" s="76">
        <f>'2021A Academic'!M12</f>
        <v>47483.1527766</v>
      </c>
      <c r="N12" s="76"/>
      <c r="O12" s="75">
        <f t="shared" si="2"/>
        <v>0</v>
      </c>
      <c r="P12" s="77">
        <f t="shared" si="2"/>
        <v>79662.58692499998</v>
      </c>
      <c r="Q12" s="75">
        <f t="shared" si="3"/>
        <v>79662.58692499998</v>
      </c>
      <c r="R12" s="75">
        <f t="shared" si="4"/>
        <v>258208.27428720007</v>
      </c>
      <c r="S12" s="75">
        <f t="shared" si="4"/>
        <v>39990.8472234</v>
      </c>
      <c r="T12" s="76"/>
      <c r="U12" s="75"/>
      <c r="V12" s="74">
        <f t="shared" si="5"/>
        <v>14240.407</v>
      </c>
      <c r="W12" s="75">
        <f t="shared" si="6"/>
        <v>14240.407</v>
      </c>
      <c r="X12" s="75">
        <f t="shared" si="7"/>
        <v>46157.061408</v>
      </c>
      <c r="Y12" s="74">
        <f t="shared" si="8"/>
        <v>7148.725176000001</v>
      </c>
      <c r="Z12" s="76"/>
      <c r="AA12" s="75"/>
      <c r="AB12" s="75">
        <f t="shared" si="9"/>
        <v>10379.13155</v>
      </c>
      <c r="AC12" s="75">
        <f t="shared" si="10"/>
        <v>10379.13155</v>
      </c>
      <c r="AD12" s="75">
        <f t="shared" si="11"/>
        <v>33641.6095632</v>
      </c>
      <c r="AE12" s="74">
        <f t="shared" si="12"/>
        <v>5210.353820400001</v>
      </c>
      <c r="AF12" s="76"/>
      <c r="AG12" s="75"/>
      <c r="AH12" s="75">
        <f t="shared" si="13"/>
        <v>5502.8847000000005</v>
      </c>
      <c r="AI12" s="75">
        <f t="shared" si="14"/>
        <v>5502.8847000000005</v>
      </c>
      <c r="AJ12" s="75">
        <f t="shared" si="15"/>
        <v>17836.3572768</v>
      </c>
      <c r="AK12" s="74">
        <f t="shared" si="16"/>
        <v>2762.4639096</v>
      </c>
      <c r="AL12" s="76"/>
      <c r="AM12" s="75"/>
      <c r="AN12" s="75">
        <f t="shared" si="17"/>
        <v>4002.1740000000004</v>
      </c>
      <c r="AO12" s="75">
        <f t="shared" si="18"/>
        <v>4002.1740000000004</v>
      </c>
      <c r="AP12" s="75">
        <f t="shared" si="19"/>
        <v>12972.142656</v>
      </c>
      <c r="AQ12" s="74">
        <f t="shared" si="20"/>
        <v>2009.1028319999998</v>
      </c>
      <c r="AR12" s="76"/>
      <c r="AS12" s="75"/>
      <c r="AT12" s="75">
        <f t="shared" si="21"/>
        <v>458.43432499999994</v>
      </c>
      <c r="AU12" s="75">
        <f t="shared" si="22"/>
        <v>458.43432499999994</v>
      </c>
      <c r="AV12" s="75">
        <f t="shared" si="23"/>
        <v>1485.9112728</v>
      </c>
      <c r="AW12" s="74">
        <f t="shared" si="24"/>
        <v>230.1353466</v>
      </c>
      <c r="AX12" s="76"/>
      <c r="AY12" s="75"/>
      <c r="AZ12" s="75">
        <f t="shared" si="25"/>
        <v>7252.790325</v>
      </c>
      <c r="BA12" s="75">
        <f t="shared" si="26"/>
        <v>7252.790325</v>
      </c>
      <c r="BB12" s="75">
        <f t="shared" si="27"/>
        <v>23508.280936799998</v>
      </c>
      <c r="BC12" s="74">
        <f t="shared" si="28"/>
        <v>3640.9215545999996</v>
      </c>
      <c r="BD12" s="76"/>
      <c r="BE12" s="75"/>
      <c r="BF12" s="75">
        <f t="shared" si="29"/>
        <v>786.233425</v>
      </c>
      <c r="BG12" s="75">
        <f t="shared" si="30"/>
        <v>786.233425</v>
      </c>
      <c r="BH12" s="75">
        <f t="shared" si="31"/>
        <v>2548.3979832</v>
      </c>
      <c r="BI12" s="74">
        <f t="shared" si="32"/>
        <v>394.6914354</v>
      </c>
      <c r="BJ12" s="76"/>
      <c r="BK12" s="75"/>
      <c r="BL12" s="75">
        <f t="shared" si="33"/>
        <v>2459.4864749999997</v>
      </c>
      <c r="BM12" s="75">
        <f t="shared" si="34"/>
        <v>2459.4864749999997</v>
      </c>
      <c r="BN12" s="75">
        <f t="shared" si="35"/>
        <v>7971.869642400001</v>
      </c>
      <c r="BO12" s="74">
        <f t="shared" si="36"/>
        <v>1234.6692678000002</v>
      </c>
      <c r="BP12" s="76"/>
      <c r="BQ12" s="75"/>
      <c r="BR12" s="75">
        <f t="shared" si="37"/>
        <v>1247.264075</v>
      </c>
      <c r="BS12" s="75">
        <f t="shared" si="38"/>
        <v>1247.264075</v>
      </c>
      <c r="BT12" s="75">
        <f t="shared" si="39"/>
        <v>4042.7246568</v>
      </c>
      <c r="BU12" s="74">
        <f t="shared" si="40"/>
        <v>626.1301446</v>
      </c>
      <c r="BV12" s="76"/>
      <c r="BW12" s="75"/>
      <c r="BX12" s="75">
        <f t="shared" si="41"/>
        <v>242.224925</v>
      </c>
      <c r="BY12" s="75">
        <f t="shared" si="42"/>
        <v>242.224925</v>
      </c>
      <c r="BZ12" s="75">
        <f t="shared" si="43"/>
        <v>785.1173592</v>
      </c>
      <c r="CA12" s="74">
        <f t="shared" si="44"/>
        <v>121.5976074</v>
      </c>
      <c r="CB12" s="76"/>
      <c r="CC12" s="75"/>
      <c r="CD12" s="75">
        <f t="shared" si="45"/>
        <v>962.4524500000001</v>
      </c>
      <c r="CE12" s="75">
        <f t="shared" si="46"/>
        <v>962.4524500000001</v>
      </c>
      <c r="CF12" s="75">
        <f t="shared" si="47"/>
        <v>3119.5721328000004</v>
      </c>
      <c r="CG12" s="74">
        <f t="shared" si="48"/>
        <v>483.1538916</v>
      </c>
      <c r="CH12" s="76"/>
      <c r="CI12" s="75"/>
      <c r="CJ12" s="75">
        <f t="shared" si="49"/>
        <v>2347.374025</v>
      </c>
      <c r="CK12" s="75">
        <f t="shared" si="50"/>
        <v>2347.374025</v>
      </c>
      <c r="CL12" s="75">
        <f t="shared" si="51"/>
        <v>7608.4824696000005</v>
      </c>
      <c r="CM12" s="74">
        <f t="shared" si="52"/>
        <v>1178.3884962</v>
      </c>
      <c r="CN12" s="76"/>
      <c r="CO12" s="75"/>
      <c r="CP12" s="75">
        <f t="shared" si="53"/>
        <v>5254.0557</v>
      </c>
      <c r="CQ12" s="75">
        <f t="shared" si="54"/>
        <v>5254.0557</v>
      </c>
      <c r="CR12" s="75">
        <f t="shared" si="55"/>
        <v>17029.8343008</v>
      </c>
      <c r="CS12" s="74">
        <f t="shared" si="56"/>
        <v>2637.5510375999997</v>
      </c>
      <c r="CT12" s="76"/>
      <c r="CU12" s="75"/>
      <c r="CV12" s="75">
        <f t="shared" si="57"/>
        <v>794.911075</v>
      </c>
      <c r="CW12" s="75">
        <f t="shared" si="58"/>
        <v>794.911075</v>
      </c>
      <c r="CX12" s="75">
        <f t="shared" si="59"/>
        <v>2576.5246248</v>
      </c>
      <c r="CY12" s="74">
        <f t="shared" si="60"/>
        <v>399.04764059999997</v>
      </c>
      <c r="CZ12" s="76"/>
      <c r="DA12" s="75"/>
      <c r="DB12" s="75">
        <f t="shared" si="61"/>
        <v>2284.0515749999995</v>
      </c>
      <c r="DC12" s="75">
        <f t="shared" si="62"/>
        <v>2284.0515749999995</v>
      </c>
      <c r="DD12" s="75">
        <f t="shared" si="63"/>
        <v>7403.237056800001</v>
      </c>
      <c r="DE12" s="74">
        <f t="shared" si="64"/>
        <v>1146.6004446</v>
      </c>
      <c r="DF12" s="76"/>
      <c r="DG12" s="75"/>
      <c r="DH12" s="75">
        <f t="shared" si="65"/>
        <v>88.013675</v>
      </c>
      <c r="DI12" s="75">
        <f t="shared" si="66"/>
        <v>88.013675</v>
      </c>
      <c r="DJ12" s="75">
        <f t="shared" si="67"/>
        <v>285.27643919999997</v>
      </c>
      <c r="DK12" s="74">
        <f t="shared" si="68"/>
        <v>44.1831174</v>
      </c>
      <c r="DL12" s="76"/>
      <c r="DM12" s="87"/>
      <c r="DN12" s="87">
        <f t="shared" si="69"/>
        <v>4818.32615</v>
      </c>
      <c r="DO12" s="87">
        <f t="shared" si="70"/>
        <v>4818.32615</v>
      </c>
      <c r="DP12" s="87">
        <f t="shared" si="71"/>
        <v>15617.5154256</v>
      </c>
      <c r="DQ12" s="89">
        <f t="shared" si="72"/>
        <v>2418.8135532</v>
      </c>
      <c r="DR12" s="76"/>
      <c r="DS12" s="75"/>
      <c r="DT12" s="75">
        <f t="shared" si="73"/>
        <v>758.5799499999999</v>
      </c>
      <c r="DU12" s="75">
        <f t="shared" si="74"/>
        <v>758.5799499999999</v>
      </c>
      <c r="DV12" s="75">
        <f t="shared" si="75"/>
        <v>2458.7654928</v>
      </c>
      <c r="DW12" s="74">
        <f t="shared" si="76"/>
        <v>380.8093116</v>
      </c>
      <c r="DX12" s="76"/>
      <c r="DY12" s="75"/>
      <c r="DZ12" s="75">
        <f t="shared" si="77"/>
        <v>3903.705325</v>
      </c>
      <c r="EA12" s="75">
        <f t="shared" si="78"/>
        <v>3903.705325</v>
      </c>
      <c r="EB12" s="75">
        <f t="shared" si="79"/>
        <v>12652.9786968</v>
      </c>
      <c r="EC12" s="74">
        <f t="shared" si="80"/>
        <v>1959.6712746</v>
      </c>
      <c r="ED12" s="76"/>
      <c r="EE12" s="75"/>
      <c r="EF12" s="75">
        <f t="shared" si="81"/>
        <v>1114.46815</v>
      </c>
      <c r="EG12" s="75">
        <f t="shared" si="82"/>
        <v>1114.46815</v>
      </c>
      <c r="EH12" s="75">
        <f t="shared" si="83"/>
        <v>3612.2966736</v>
      </c>
      <c r="EI12" s="74">
        <f t="shared" si="84"/>
        <v>559.4662092</v>
      </c>
      <c r="EJ12" s="76"/>
      <c r="EK12" s="75"/>
      <c r="EL12" s="75">
        <f t="shared" si="85"/>
        <v>11.186850000000002</v>
      </c>
      <c r="EM12" s="75">
        <f t="shared" si="86"/>
        <v>11.186850000000002</v>
      </c>
      <c r="EN12" s="75">
        <f t="shared" si="87"/>
        <v>36.2596464</v>
      </c>
      <c r="EO12" s="74">
        <f t="shared" si="88"/>
        <v>5.6158308</v>
      </c>
      <c r="EP12" s="76"/>
      <c r="EQ12" s="75"/>
      <c r="ER12" s="75">
        <f t="shared" si="89"/>
        <v>20.770599999999998</v>
      </c>
      <c r="ES12" s="75">
        <f t="shared" si="90"/>
        <v>20.770599999999998</v>
      </c>
      <c r="ET12" s="75">
        <f t="shared" si="91"/>
        <v>67.3232064</v>
      </c>
      <c r="EU12" s="74">
        <f t="shared" si="92"/>
        <v>10.4269008</v>
      </c>
      <c r="EV12" s="76"/>
      <c r="EW12" s="75"/>
      <c r="EX12" s="75">
        <f t="shared" si="93"/>
        <v>3754.6693</v>
      </c>
      <c r="EY12" s="75">
        <f t="shared" si="94"/>
        <v>3754.6693</v>
      </c>
      <c r="EZ12" s="75">
        <f t="shared" si="95"/>
        <v>12169.9120992</v>
      </c>
      <c r="FA12" s="74">
        <f t="shared" si="96"/>
        <v>1884.8547624</v>
      </c>
      <c r="FB12" s="76"/>
      <c r="FC12" s="75"/>
      <c r="FD12" s="75">
        <f t="shared" si="97"/>
        <v>6978.9913</v>
      </c>
      <c r="FE12" s="75">
        <f t="shared" si="98"/>
        <v>6978.9913</v>
      </c>
      <c r="FF12" s="75">
        <f t="shared" si="99"/>
        <v>22620.8232672</v>
      </c>
      <c r="FG12" s="74">
        <f t="shared" si="100"/>
        <v>3503.4736583999997</v>
      </c>
      <c r="FH12" s="76"/>
      <c r="FI12" s="77"/>
      <c r="FJ12" s="75"/>
      <c r="FK12" s="75"/>
      <c r="FL12" s="75"/>
      <c r="FM12" s="74">
        <f t="shared" si="101"/>
        <v>0</v>
      </c>
    </row>
    <row r="13" spans="1:169" s="52" customFormat="1" ht="12.75">
      <c r="A13" s="51">
        <v>45383</v>
      </c>
      <c r="C13" s="36">
        <v>6970000</v>
      </c>
      <c r="D13" s="36">
        <v>174250</v>
      </c>
      <c r="E13" s="74">
        <f t="shared" si="0"/>
        <v>7144250</v>
      </c>
      <c r="F13" s="74">
        <v>564792</v>
      </c>
      <c r="G13" s="74">
        <v>87474</v>
      </c>
      <c r="H13" s="76"/>
      <c r="I13" s="76">
        <f>'2021A Academic'!I13</f>
        <v>3783496.5230000005</v>
      </c>
      <c r="J13" s="76">
        <f>'2021A Academic'!J13</f>
        <v>94587.41307500002</v>
      </c>
      <c r="K13" s="76">
        <f t="shared" si="1"/>
        <v>3878083.9360750006</v>
      </c>
      <c r="L13" s="76">
        <f>'2021A Academic'!L13</f>
        <v>306583.7257128</v>
      </c>
      <c r="M13" s="76">
        <f>'2021A Academic'!M13</f>
        <v>47483.1527766</v>
      </c>
      <c r="N13" s="76"/>
      <c r="O13" s="75">
        <f t="shared" si="2"/>
        <v>3186503.476999999</v>
      </c>
      <c r="P13" s="77">
        <f t="shared" si="2"/>
        <v>79662.58692499998</v>
      </c>
      <c r="Q13" s="75">
        <f t="shared" si="3"/>
        <v>3266166.063924999</v>
      </c>
      <c r="R13" s="75">
        <f t="shared" si="4"/>
        <v>258208.27428720007</v>
      </c>
      <c r="S13" s="75">
        <f t="shared" si="4"/>
        <v>39990.8472234</v>
      </c>
      <c r="T13" s="76"/>
      <c r="U13" s="75">
        <f>C13*8.1724/100</f>
        <v>569616.28</v>
      </c>
      <c r="V13" s="74">
        <f t="shared" si="5"/>
        <v>14240.407</v>
      </c>
      <c r="W13" s="75">
        <f t="shared" si="6"/>
        <v>583856.687</v>
      </c>
      <c r="X13" s="75">
        <f t="shared" si="7"/>
        <v>46157.061408</v>
      </c>
      <c r="Y13" s="74">
        <f t="shared" si="8"/>
        <v>7148.725176000001</v>
      </c>
      <c r="Z13" s="76"/>
      <c r="AA13" s="75">
        <f>C13*5.95646/100</f>
        <v>415165.26199999993</v>
      </c>
      <c r="AB13" s="75">
        <f t="shared" si="9"/>
        <v>10379.13155</v>
      </c>
      <c r="AC13" s="75">
        <f t="shared" si="10"/>
        <v>425544.3935499999</v>
      </c>
      <c r="AD13" s="75">
        <f t="shared" si="11"/>
        <v>33641.6095632</v>
      </c>
      <c r="AE13" s="74">
        <f t="shared" si="12"/>
        <v>5210.353820400001</v>
      </c>
      <c r="AF13" s="76"/>
      <c r="AG13" s="75">
        <f>C13*3.15804/100</f>
        <v>220115.388</v>
      </c>
      <c r="AH13" s="75">
        <f t="shared" si="13"/>
        <v>5502.8847000000005</v>
      </c>
      <c r="AI13" s="75">
        <f t="shared" si="14"/>
        <v>225618.2727</v>
      </c>
      <c r="AJ13" s="75">
        <f t="shared" si="15"/>
        <v>17836.3572768</v>
      </c>
      <c r="AK13" s="74">
        <f t="shared" si="16"/>
        <v>2762.4639096</v>
      </c>
      <c r="AL13" s="76"/>
      <c r="AM13" s="75">
        <f>C13*2.2968/100</f>
        <v>160086.96000000002</v>
      </c>
      <c r="AN13" s="75">
        <f t="shared" si="17"/>
        <v>4002.1740000000004</v>
      </c>
      <c r="AO13" s="75">
        <f t="shared" si="18"/>
        <v>164089.13400000002</v>
      </c>
      <c r="AP13" s="75">
        <f t="shared" si="19"/>
        <v>12972.142656</v>
      </c>
      <c r="AQ13" s="74">
        <f t="shared" si="20"/>
        <v>2009.1028319999998</v>
      </c>
      <c r="AR13" s="76"/>
      <c r="AS13" s="75">
        <f>C13*0.26309/100</f>
        <v>18337.373</v>
      </c>
      <c r="AT13" s="75">
        <f t="shared" si="21"/>
        <v>458.43432499999994</v>
      </c>
      <c r="AU13" s="75">
        <f t="shared" si="22"/>
        <v>18795.807324999998</v>
      </c>
      <c r="AV13" s="75">
        <f t="shared" si="23"/>
        <v>1485.9112728</v>
      </c>
      <c r="AW13" s="74">
        <f t="shared" si="24"/>
        <v>230.1353466</v>
      </c>
      <c r="AX13" s="76"/>
      <c r="AY13" s="75">
        <f>C13*4.16229/100</f>
        <v>290111.61299999995</v>
      </c>
      <c r="AZ13" s="75">
        <f t="shared" si="25"/>
        <v>7252.790325</v>
      </c>
      <c r="BA13" s="75">
        <f t="shared" si="26"/>
        <v>297364.40332499996</v>
      </c>
      <c r="BB13" s="75">
        <f t="shared" si="27"/>
        <v>23508.280936799998</v>
      </c>
      <c r="BC13" s="74">
        <f t="shared" si="28"/>
        <v>3640.9215545999996</v>
      </c>
      <c r="BD13" s="76"/>
      <c r="BE13" s="75">
        <f>C13*0.45121/100</f>
        <v>31449.337000000003</v>
      </c>
      <c r="BF13" s="75">
        <f t="shared" si="29"/>
        <v>786.233425</v>
      </c>
      <c r="BG13" s="75">
        <f t="shared" si="30"/>
        <v>32235.570425</v>
      </c>
      <c r="BH13" s="75">
        <f t="shared" si="31"/>
        <v>2548.3979832</v>
      </c>
      <c r="BI13" s="74">
        <f t="shared" si="32"/>
        <v>394.6914354</v>
      </c>
      <c r="BJ13" s="76"/>
      <c r="BK13" s="75">
        <f>C13*1.41147/100</f>
        <v>98379.459</v>
      </c>
      <c r="BL13" s="75">
        <f t="shared" si="33"/>
        <v>2459.4864749999997</v>
      </c>
      <c r="BM13" s="75">
        <f t="shared" si="34"/>
        <v>100838.945475</v>
      </c>
      <c r="BN13" s="75">
        <f t="shared" si="35"/>
        <v>7971.869642400001</v>
      </c>
      <c r="BO13" s="74">
        <f t="shared" si="36"/>
        <v>1234.6692678000002</v>
      </c>
      <c r="BP13" s="76"/>
      <c r="BQ13" s="75">
        <f>C13*0.71579/100</f>
        <v>49890.562999999995</v>
      </c>
      <c r="BR13" s="75">
        <f t="shared" si="37"/>
        <v>1247.264075</v>
      </c>
      <c r="BS13" s="75">
        <f t="shared" si="38"/>
        <v>51137.827074999994</v>
      </c>
      <c r="BT13" s="75">
        <f t="shared" si="39"/>
        <v>4042.7246568</v>
      </c>
      <c r="BU13" s="74">
        <f t="shared" si="40"/>
        <v>626.1301446</v>
      </c>
      <c r="BV13" s="76"/>
      <c r="BW13" s="75">
        <f>C13*0.13901/100</f>
        <v>9688.997</v>
      </c>
      <c r="BX13" s="75">
        <f t="shared" si="41"/>
        <v>242.224925</v>
      </c>
      <c r="BY13" s="75">
        <f t="shared" si="42"/>
        <v>9931.221925</v>
      </c>
      <c r="BZ13" s="75">
        <f t="shared" si="43"/>
        <v>785.1173592</v>
      </c>
      <c r="CA13" s="74">
        <f t="shared" si="44"/>
        <v>121.5976074</v>
      </c>
      <c r="CB13" s="76"/>
      <c r="CC13" s="75">
        <f>C13*0.55234/100</f>
        <v>38498.098000000005</v>
      </c>
      <c r="CD13" s="75">
        <f t="shared" si="45"/>
        <v>962.4524500000001</v>
      </c>
      <c r="CE13" s="75">
        <f t="shared" si="46"/>
        <v>39460.55045</v>
      </c>
      <c r="CF13" s="75">
        <f t="shared" si="47"/>
        <v>3119.5721328000004</v>
      </c>
      <c r="CG13" s="74">
        <f t="shared" si="48"/>
        <v>483.1538916</v>
      </c>
      <c r="CH13" s="76"/>
      <c r="CI13" s="75">
        <f>C13*1.34713/100</f>
        <v>93894.961</v>
      </c>
      <c r="CJ13" s="75">
        <f t="shared" si="49"/>
        <v>2347.374025</v>
      </c>
      <c r="CK13" s="75">
        <f t="shared" si="50"/>
        <v>96242.335025</v>
      </c>
      <c r="CL13" s="75">
        <f t="shared" si="51"/>
        <v>7608.4824696000005</v>
      </c>
      <c r="CM13" s="74">
        <f t="shared" si="52"/>
        <v>1178.3884962</v>
      </c>
      <c r="CN13" s="76"/>
      <c r="CO13" s="75">
        <f>C13*3.01524/100</f>
        <v>210162.228</v>
      </c>
      <c r="CP13" s="75">
        <f t="shared" si="53"/>
        <v>5254.0557</v>
      </c>
      <c r="CQ13" s="75">
        <f t="shared" si="54"/>
        <v>215416.2837</v>
      </c>
      <c r="CR13" s="75">
        <f t="shared" si="55"/>
        <v>17029.8343008</v>
      </c>
      <c r="CS13" s="74">
        <f t="shared" si="56"/>
        <v>2637.5510375999997</v>
      </c>
      <c r="CT13" s="76"/>
      <c r="CU13" s="75">
        <f>C13*0.45619/100</f>
        <v>31796.443</v>
      </c>
      <c r="CV13" s="75">
        <f t="shared" si="57"/>
        <v>794.911075</v>
      </c>
      <c r="CW13" s="75">
        <f t="shared" si="58"/>
        <v>32591.354075</v>
      </c>
      <c r="CX13" s="75">
        <f t="shared" si="59"/>
        <v>2576.5246248</v>
      </c>
      <c r="CY13" s="74">
        <f t="shared" si="60"/>
        <v>399.04764059999997</v>
      </c>
      <c r="CZ13" s="76"/>
      <c r="DA13" s="75">
        <f>C13*1.31079/100</f>
        <v>91362.063</v>
      </c>
      <c r="DB13" s="75">
        <f t="shared" si="61"/>
        <v>2284.0515749999995</v>
      </c>
      <c r="DC13" s="75">
        <f t="shared" si="62"/>
        <v>93646.114575</v>
      </c>
      <c r="DD13" s="75">
        <f t="shared" si="63"/>
        <v>7403.237056800001</v>
      </c>
      <c r="DE13" s="74">
        <f t="shared" si="64"/>
        <v>1146.6004446</v>
      </c>
      <c r="DF13" s="76"/>
      <c r="DG13" s="75">
        <f>C13*0.05051/100</f>
        <v>3520.547</v>
      </c>
      <c r="DH13" s="75">
        <f t="shared" si="65"/>
        <v>88.013675</v>
      </c>
      <c r="DI13" s="75">
        <f t="shared" si="66"/>
        <v>3608.560675</v>
      </c>
      <c r="DJ13" s="75">
        <f t="shared" si="67"/>
        <v>285.27643919999997</v>
      </c>
      <c r="DK13" s="74">
        <f t="shared" si="68"/>
        <v>44.1831174</v>
      </c>
      <c r="DL13" s="76"/>
      <c r="DM13" s="87">
        <f>C13*2.76518/100</f>
        <v>192733.046</v>
      </c>
      <c r="DN13" s="87">
        <f t="shared" si="69"/>
        <v>4818.32615</v>
      </c>
      <c r="DO13" s="87">
        <f t="shared" si="70"/>
        <v>197551.37215</v>
      </c>
      <c r="DP13" s="87">
        <f t="shared" si="71"/>
        <v>15617.5154256</v>
      </c>
      <c r="DQ13" s="89">
        <f t="shared" si="72"/>
        <v>2418.8135532</v>
      </c>
      <c r="DR13" s="76"/>
      <c r="DS13" s="75">
        <f>C13*0.43534/100</f>
        <v>30343.197999999997</v>
      </c>
      <c r="DT13" s="75">
        <f t="shared" si="73"/>
        <v>758.5799499999999</v>
      </c>
      <c r="DU13" s="75">
        <f t="shared" si="74"/>
        <v>31101.777949999996</v>
      </c>
      <c r="DV13" s="75">
        <f t="shared" si="75"/>
        <v>2458.7654928</v>
      </c>
      <c r="DW13" s="74">
        <f t="shared" si="76"/>
        <v>380.8093116</v>
      </c>
      <c r="DX13" s="76"/>
      <c r="DY13" s="75">
        <f>C13*2.24029/100</f>
        <v>156148.213</v>
      </c>
      <c r="DZ13" s="75">
        <f t="shared" si="77"/>
        <v>3903.705325</v>
      </c>
      <c r="EA13" s="75">
        <f t="shared" si="78"/>
        <v>160051.91832499998</v>
      </c>
      <c r="EB13" s="75">
        <f t="shared" si="79"/>
        <v>12652.9786968</v>
      </c>
      <c r="EC13" s="74">
        <f t="shared" si="80"/>
        <v>1959.6712746</v>
      </c>
      <c r="ED13" s="76"/>
      <c r="EE13" s="75">
        <f>C13*0.63958/100</f>
        <v>44578.726</v>
      </c>
      <c r="EF13" s="75">
        <f t="shared" si="81"/>
        <v>1114.46815</v>
      </c>
      <c r="EG13" s="75">
        <f t="shared" si="82"/>
        <v>45693.19415</v>
      </c>
      <c r="EH13" s="75">
        <f t="shared" si="83"/>
        <v>3612.2966736</v>
      </c>
      <c r="EI13" s="74">
        <f t="shared" si="84"/>
        <v>559.4662092</v>
      </c>
      <c r="EJ13" s="76"/>
      <c r="EK13" s="75">
        <f>C13*0.00642/100</f>
        <v>447.474</v>
      </c>
      <c r="EL13" s="75">
        <f t="shared" si="85"/>
        <v>11.186850000000002</v>
      </c>
      <c r="EM13" s="75">
        <f t="shared" si="86"/>
        <v>458.66085</v>
      </c>
      <c r="EN13" s="75">
        <f t="shared" si="87"/>
        <v>36.2596464</v>
      </c>
      <c r="EO13" s="74">
        <f t="shared" si="88"/>
        <v>5.6158308</v>
      </c>
      <c r="EP13" s="76"/>
      <c r="EQ13" s="75">
        <f>C13*0.01192/100</f>
        <v>830.824</v>
      </c>
      <c r="ER13" s="75">
        <f t="shared" si="89"/>
        <v>20.770599999999998</v>
      </c>
      <c r="ES13" s="75">
        <f t="shared" si="90"/>
        <v>851.5945999999999</v>
      </c>
      <c r="ET13" s="75">
        <f t="shared" si="91"/>
        <v>67.3232064</v>
      </c>
      <c r="EU13" s="74">
        <f t="shared" si="92"/>
        <v>10.4269008</v>
      </c>
      <c r="EV13" s="76"/>
      <c r="EW13" s="75">
        <f>C13*2.15476/100</f>
        <v>150186.772</v>
      </c>
      <c r="EX13" s="75">
        <f t="shared" si="93"/>
        <v>3754.6693</v>
      </c>
      <c r="EY13" s="75">
        <f t="shared" si="94"/>
        <v>153941.4413</v>
      </c>
      <c r="EZ13" s="75">
        <f t="shared" si="95"/>
        <v>12169.9120992</v>
      </c>
      <c r="FA13" s="74">
        <f t="shared" si="96"/>
        <v>1884.8547624</v>
      </c>
      <c r="FB13" s="76"/>
      <c r="FC13" s="75">
        <f>C13*4.00516/100</f>
        <v>279159.652</v>
      </c>
      <c r="FD13" s="75">
        <f t="shared" si="97"/>
        <v>6978.9913</v>
      </c>
      <c r="FE13" s="75">
        <f t="shared" si="98"/>
        <v>286138.6433</v>
      </c>
      <c r="FF13" s="75">
        <f t="shared" si="99"/>
        <v>22620.8232672</v>
      </c>
      <c r="FG13" s="74">
        <f t="shared" si="100"/>
        <v>3503.4736583999997</v>
      </c>
      <c r="FH13" s="76"/>
      <c r="FI13" s="77"/>
      <c r="FJ13" s="75"/>
      <c r="FK13" s="75"/>
      <c r="FL13" s="75"/>
      <c r="FM13" s="74">
        <f t="shared" si="101"/>
        <v>0</v>
      </c>
    </row>
    <row r="14" spans="3:169" ht="12.75">
      <c r="C14" s="42"/>
      <c r="D14" s="42"/>
      <c r="E14" s="42"/>
      <c r="F14" s="42"/>
      <c r="G14" s="42"/>
      <c r="J14" s="50"/>
      <c r="M14" s="42"/>
      <c r="S14" s="42"/>
      <c r="Y14" s="42"/>
      <c r="AA14" s="33"/>
      <c r="AB14" s="33"/>
      <c r="AE14" s="42"/>
      <c r="AG14" s="33"/>
      <c r="AH14" s="33"/>
      <c r="AI14" s="33"/>
      <c r="AJ14" s="33"/>
      <c r="AK14" s="42"/>
      <c r="AM14" s="20"/>
      <c r="AN14" s="20"/>
      <c r="AO14" s="20"/>
      <c r="AP14" s="20"/>
      <c r="AQ14" s="42"/>
      <c r="AR14" s="33"/>
      <c r="AS14" s="33"/>
      <c r="AT14" s="33"/>
      <c r="AU14" s="33"/>
      <c r="AV14" s="33"/>
      <c r="AW14" s="42"/>
      <c r="AX14" s="33"/>
      <c r="AY14" s="33"/>
      <c r="AZ14" s="33"/>
      <c r="BA14" s="33"/>
      <c r="BB14" s="33"/>
      <c r="BC14" s="42"/>
      <c r="BD14" s="33"/>
      <c r="BE14" s="33"/>
      <c r="BF14" s="33"/>
      <c r="BG14" s="33"/>
      <c r="BH14" s="33"/>
      <c r="BI14" s="42"/>
      <c r="BJ14" s="33"/>
      <c r="BK14" s="33"/>
      <c r="BL14" s="33"/>
      <c r="BM14" s="33"/>
      <c r="BN14" s="33"/>
      <c r="BO14" s="42"/>
      <c r="BP14" s="33"/>
      <c r="BQ14" s="33"/>
      <c r="BR14" s="33"/>
      <c r="BS14" s="33"/>
      <c r="BT14" s="33"/>
      <c r="BU14" s="42"/>
      <c r="BV14" s="33"/>
      <c r="BW14" s="33"/>
      <c r="BX14" s="33"/>
      <c r="BY14" s="33"/>
      <c r="BZ14" s="33"/>
      <c r="CA14" s="42"/>
      <c r="CB14" s="33"/>
      <c r="CC14" s="33"/>
      <c r="CD14" s="33"/>
      <c r="CE14" s="33"/>
      <c r="CF14" s="33"/>
      <c r="CG14" s="42"/>
      <c r="CH14" s="33"/>
      <c r="CI14" s="33"/>
      <c r="CJ14" s="33"/>
      <c r="CK14" s="33"/>
      <c r="CL14" s="33"/>
      <c r="CM14" s="42"/>
      <c r="CN14" s="33"/>
      <c r="CO14" s="33"/>
      <c r="CP14" s="33"/>
      <c r="CQ14" s="33"/>
      <c r="CR14" s="33"/>
      <c r="CS14" s="42"/>
      <c r="CT14" s="33"/>
      <c r="CU14" s="33"/>
      <c r="CV14" s="33"/>
      <c r="CW14" s="33"/>
      <c r="CX14" s="33"/>
      <c r="CY14" s="42"/>
      <c r="CZ14" s="33"/>
      <c r="DA14" s="33"/>
      <c r="DB14" s="33"/>
      <c r="DC14" s="33"/>
      <c r="DD14" s="33"/>
      <c r="DE14" s="42"/>
      <c r="DF14" s="33"/>
      <c r="DG14" s="33"/>
      <c r="DH14" s="33"/>
      <c r="DI14" s="33"/>
      <c r="DJ14" s="33"/>
      <c r="DK14" s="42"/>
      <c r="DL14" s="33"/>
      <c r="DM14" s="90"/>
      <c r="DN14" s="90"/>
      <c r="DO14" s="90"/>
      <c r="DP14" s="90"/>
      <c r="DQ14" s="91"/>
      <c r="DR14" s="33"/>
      <c r="DS14" s="33"/>
      <c r="DT14" s="33"/>
      <c r="DU14" s="33"/>
      <c r="DV14" s="33"/>
      <c r="DW14" s="42"/>
      <c r="DX14" s="33"/>
      <c r="DY14" s="33"/>
      <c r="DZ14" s="33"/>
      <c r="EA14" s="33"/>
      <c r="EB14" s="33"/>
      <c r="EC14" s="42"/>
      <c r="ED14" s="33"/>
      <c r="EE14" s="33"/>
      <c r="EF14" s="33"/>
      <c r="EG14" s="33"/>
      <c r="EH14" s="33"/>
      <c r="EI14" s="42"/>
      <c r="EJ14" s="33"/>
      <c r="EK14" s="33"/>
      <c r="EL14" s="33"/>
      <c r="EM14" s="33"/>
      <c r="EN14" s="33"/>
      <c r="EO14" s="42"/>
      <c r="EP14" s="33"/>
      <c r="EQ14" s="33"/>
      <c r="ER14" s="33"/>
      <c r="ES14" s="33"/>
      <c r="ET14" s="33"/>
      <c r="EU14" s="42"/>
      <c r="EV14" s="33"/>
      <c r="EW14" s="33"/>
      <c r="EX14" s="33"/>
      <c r="EY14" s="33"/>
      <c r="EZ14" s="33"/>
      <c r="FA14" s="42"/>
      <c r="FB14" s="33"/>
      <c r="FC14" s="33"/>
      <c r="FD14" s="33"/>
      <c r="FE14" s="33"/>
      <c r="FF14" s="33"/>
      <c r="FG14" s="42"/>
      <c r="FH14" s="33"/>
      <c r="FI14" s="50"/>
      <c r="FJ14" s="50"/>
      <c r="FK14" s="50"/>
      <c r="FL14" s="50"/>
      <c r="FM14" s="42"/>
    </row>
    <row r="15" spans="1:169" ht="13.5" thickBot="1">
      <c r="A15" s="31" t="s">
        <v>4</v>
      </c>
      <c r="C15" s="49">
        <f>SUM(C8:C14)</f>
        <v>17535000</v>
      </c>
      <c r="D15" s="49">
        <f>SUM(D8:D14)</f>
        <v>1937360</v>
      </c>
      <c r="E15" s="49">
        <f>SUM(E8:E14)</f>
        <v>19472360</v>
      </c>
      <c r="F15" s="49">
        <f>SUM(F8:F14)</f>
        <v>3388749</v>
      </c>
      <c r="G15" s="49">
        <f>SUM(G8:G14)</f>
        <v>524841</v>
      </c>
      <c r="I15" s="49">
        <f>SUM(I8:I14)</f>
        <v>9518452.1565</v>
      </c>
      <c r="J15" s="49">
        <f>SUM(J8:J14)</f>
        <v>1051649.185624</v>
      </c>
      <c r="K15" s="49">
        <f>SUM(K8:K14)</f>
        <v>10570101.342124</v>
      </c>
      <c r="L15" s="49">
        <f>SUM(L8:L14)</f>
        <v>1839500.7257990998</v>
      </c>
      <c r="M15" s="49">
        <f>SUM(M8:M14)</f>
        <v>284897.2881819</v>
      </c>
      <c r="O15" s="49">
        <f>SUM(O8:O14)</f>
        <v>8016547.843499999</v>
      </c>
      <c r="P15" s="49">
        <f>SUM(P8:P14)</f>
        <v>885710.8143760001</v>
      </c>
      <c r="Q15" s="49">
        <f>SUM(Q8:Q14)</f>
        <v>8902258.657876</v>
      </c>
      <c r="R15" s="49">
        <f>SUM(R8:R14)</f>
        <v>1549248.2742009005</v>
      </c>
      <c r="S15" s="49">
        <f>SUM(S8:S14)</f>
        <v>239943.71181809998</v>
      </c>
      <c r="U15" s="49">
        <f>SUM(U8:U14)</f>
        <v>1433030.34</v>
      </c>
      <c r="V15" s="49">
        <f>SUM(V8:V14)</f>
        <v>158328.80864</v>
      </c>
      <c r="W15" s="49">
        <f>SUM(W8:W14)</f>
        <v>1591359.14864</v>
      </c>
      <c r="X15" s="49">
        <f>SUM(X8:X14)</f>
        <v>276942.123276</v>
      </c>
      <c r="Y15" s="49">
        <f>SUM(Y8:Y14)</f>
        <v>42892.105884000004</v>
      </c>
      <c r="AA15" s="49">
        <f>SUM(AA8:AA14)</f>
        <v>1044465.2609999999</v>
      </c>
      <c r="AB15" s="49">
        <f>SUM(AB8:AB14)</f>
        <v>115398.073456</v>
      </c>
      <c r="AC15" s="49">
        <f>SUM(AC8:AC14)</f>
        <v>1159863.334456</v>
      </c>
      <c r="AD15" s="49">
        <f>SUM(AD8:AD14)</f>
        <v>201849.4786854</v>
      </c>
      <c r="AE15" s="49">
        <f>SUM(AE8:AE14)</f>
        <v>31261.9442286</v>
      </c>
      <c r="AG15" s="49">
        <f>SUM(AG8:AG14)</f>
        <v>553762.314</v>
      </c>
      <c r="AH15" s="49">
        <f>SUM(AH8:AH14)</f>
        <v>61182.60374400001</v>
      </c>
      <c r="AI15" s="49">
        <f>SUM(AI8:AI14)</f>
        <v>614944.9177440001</v>
      </c>
      <c r="AJ15" s="49">
        <f>SUM(AJ8:AJ14)</f>
        <v>107018.04891960001</v>
      </c>
      <c r="AK15" s="49">
        <f>SUM(AK8:AK14)</f>
        <v>16574.688716399996</v>
      </c>
      <c r="AM15" s="49">
        <f>SUM(AM8:AM14)</f>
        <v>402743.88000000006</v>
      </c>
      <c r="AN15" s="49">
        <f>SUM(AN8:AN14)</f>
        <v>44497.28448</v>
      </c>
      <c r="AO15" s="49">
        <f>SUM(AO8:AO14)</f>
        <v>447241.1644800001</v>
      </c>
      <c r="AP15" s="49">
        <f>SUM(AP8:AP14)</f>
        <v>77832.787032</v>
      </c>
      <c r="AQ15" s="49">
        <f>SUM(AQ8:AQ14)</f>
        <v>12054.548088</v>
      </c>
      <c r="AR15" s="33"/>
      <c r="AS15" s="49">
        <f>SUM(AS8:AS14)</f>
        <v>46132.8315</v>
      </c>
      <c r="AT15" s="49">
        <f>SUM(AT8:AT14)</f>
        <v>5097.000424</v>
      </c>
      <c r="AU15" s="49">
        <f>SUM(AU8:AU14)</f>
        <v>51229.831924</v>
      </c>
      <c r="AV15" s="49">
        <f>SUM(AV8:AV14)</f>
        <v>8915.4597441</v>
      </c>
      <c r="AW15" s="49">
        <f>SUM(AW8:AW14)</f>
        <v>1380.8041869</v>
      </c>
      <c r="AX15" s="33"/>
      <c r="AY15" s="49">
        <f>SUM(AY8:AY14)</f>
        <v>729857.5514999998</v>
      </c>
      <c r="AZ15" s="49">
        <f>SUM(AZ8:AZ14)</f>
        <v>80638.54154399998</v>
      </c>
      <c r="BA15" s="49">
        <f>SUM(BA8:BA14)</f>
        <v>810496.093044</v>
      </c>
      <c r="BB15" s="49">
        <f>SUM(BB8:BB14)</f>
        <v>141049.5607521</v>
      </c>
      <c r="BC15" s="49">
        <f>SUM(BC8:BC14)</f>
        <v>21845.404458899997</v>
      </c>
      <c r="BD15" s="33"/>
      <c r="BE15" s="49">
        <f>SUM(BE8:BE14)</f>
        <v>79119.6735</v>
      </c>
      <c r="BF15" s="49">
        <f>SUM(BF8:BF14)</f>
        <v>8741.562056</v>
      </c>
      <c r="BG15" s="49">
        <f>SUM(BG8:BG14)</f>
        <v>87861.235556</v>
      </c>
      <c r="BH15" s="49">
        <f>SUM(BH8:BH14)</f>
        <v>15290.374362900002</v>
      </c>
      <c r="BI15" s="49">
        <f>SUM(BI8:BI14)</f>
        <v>2368.1350761</v>
      </c>
      <c r="BJ15" s="33"/>
      <c r="BK15" s="49">
        <f>SUM(BK8:BK14)</f>
        <v>247501.26450000002</v>
      </c>
      <c r="BL15" s="49">
        <f>SUM(BL8:BL14)</f>
        <v>27345.255191999997</v>
      </c>
      <c r="BM15" s="49">
        <f>SUM(BM8:BM14)</f>
        <v>274846.519692</v>
      </c>
      <c r="BN15" s="49">
        <f>SUM(BN8:BN14)</f>
        <v>47831.1755103</v>
      </c>
      <c r="BO15" s="49">
        <f>SUM(BO8:BO14)</f>
        <v>7407.9732627</v>
      </c>
      <c r="BP15" s="33"/>
      <c r="BQ15" s="49">
        <f>SUM(BQ8:BQ14)</f>
        <v>125513.7765</v>
      </c>
      <c r="BR15" s="49">
        <f>SUM(BR8:BR14)</f>
        <v>13867.429144000002</v>
      </c>
      <c r="BS15" s="49">
        <f>SUM(BS8:BS14)</f>
        <v>139381.205644</v>
      </c>
      <c r="BT15" s="49">
        <f>SUM(BT8:BT14)</f>
        <v>24256.326467100003</v>
      </c>
      <c r="BU15" s="49">
        <f>SUM(BU8:BU14)</f>
        <v>3756.7593939</v>
      </c>
      <c r="BV15" s="33"/>
      <c r="BW15" s="49">
        <f>SUM(BW8:BW14)</f>
        <v>24375.4035</v>
      </c>
      <c r="BX15" s="49">
        <f>SUM(BX8:BX14)</f>
        <v>2693.124136</v>
      </c>
      <c r="BY15" s="49">
        <f>SUM(BY8:BY14)</f>
        <v>27068.527636</v>
      </c>
      <c r="BZ15" s="49">
        <f>SUM(BZ8:BZ14)</f>
        <v>4710.6999849</v>
      </c>
      <c r="CA15" s="49">
        <f>SUM(CA8:CA14)</f>
        <v>729.5814741</v>
      </c>
      <c r="CB15" s="33"/>
      <c r="CC15" s="49">
        <f>SUM(CC8:CC14)</f>
        <v>96852.81900000002</v>
      </c>
      <c r="CD15" s="49">
        <f>SUM(CD8:CD14)</f>
        <v>10700.814224000002</v>
      </c>
      <c r="CE15" s="49">
        <f>SUM(CE8:CE14)</f>
        <v>107553.63322399999</v>
      </c>
      <c r="CF15" s="49">
        <f>SUM(CF8:CF14)</f>
        <v>18717.416226600002</v>
      </c>
      <c r="CG15" s="49">
        <f>SUM(CG8:CG14)</f>
        <v>2898.9067794</v>
      </c>
      <c r="CH15" s="33"/>
      <c r="CI15" s="49">
        <f>SUM(CI8:CI14)</f>
        <v>236219.24550000002</v>
      </c>
      <c r="CJ15" s="49">
        <f>SUM(CJ8:CJ14)</f>
        <v>26098.757768000003</v>
      </c>
      <c r="CK15" s="49">
        <f>SUM(CK8:CK14)</f>
        <v>262318.003268</v>
      </c>
      <c r="CL15" s="49">
        <f>SUM(CL8:CL14)</f>
        <v>45650.8544037</v>
      </c>
      <c r="CM15" s="49">
        <f>SUM(CM8:CM14)</f>
        <v>7070.290563300001</v>
      </c>
      <c r="CN15" s="33"/>
      <c r="CO15" s="49">
        <f>SUM(CO8:CO14)</f>
        <v>528722.334</v>
      </c>
      <c r="CP15" s="49">
        <f>SUM(CP8:CP14)</f>
        <v>58416.05366399999</v>
      </c>
      <c r="CQ15" s="49">
        <f>SUM(CQ8:CQ14)</f>
        <v>587138.387664</v>
      </c>
      <c r="CR15" s="49">
        <f>SUM(CR8:CR14)</f>
        <v>102178.9153476</v>
      </c>
      <c r="CS15" s="49">
        <f>SUM(CS8:CS14)</f>
        <v>15825.2157684</v>
      </c>
      <c r="CT15" s="33"/>
      <c r="CU15" s="49">
        <f>SUM(CU8:CU14)</f>
        <v>79992.91649999999</v>
      </c>
      <c r="CV15" s="49">
        <f>SUM(CV8:CV14)</f>
        <v>8838.042583999999</v>
      </c>
      <c r="CW15" s="49">
        <f>SUM(CW8:CW14)</f>
        <v>88830.95908399999</v>
      </c>
      <c r="CX15" s="49">
        <f>SUM(CX8:CX14)</f>
        <v>15459.1340631</v>
      </c>
      <c r="CY15" s="49">
        <f>SUM(CY8:CY14)</f>
        <v>2394.2721579</v>
      </c>
      <c r="CZ15" s="33"/>
      <c r="DA15" s="49">
        <f>SUM(DA8:DA14)</f>
        <v>229847.0265</v>
      </c>
      <c r="DB15" s="49">
        <f>SUM(DB8:DB14)</f>
        <v>25394.721143999996</v>
      </c>
      <c r="DC15" s="49">
        <f>SUM(DC8:DC14)</f>
        <v>255241.747644</v>
      </c>
      <c r="DD15" s="49">
        <f>SUM(DD8:DD14)</f>
        <v>44419.3830171</v>
      </c>
      <c r="DE15" s="49">
        <f>SUM(DE8:DE14)</f>
        <v>6879.563343899999</v>
      </c>
      <c r="DF15" s="33"/>
      <c r="DG15" s="49">
        <f>SUM(DG8:DG14)</f>
        <v>8856.9285</v>
      </c>
      <c r="DH15" s="49">
        <f>SUM(DH8:DH14)</f>
        <v>978.5605360000001</v>
      </c>
      <c r="DI15" s="49">
        <f>SUM(DI8:DI14)</f>
        <v>9835.489036</v>
      </c>
      <c r="DJ15" s="49">
        <f>SUM(DJ8:DJ14)</f>
        <v>1711.6571198999995</v>
      </c>
      <c r="DK15" s="49">
        <f>SUM(DK8:DK14)</f>
        <v>265.09718910000004</v>
      </c>
      <c r="DL15" s="33"/>
      <c r="DM15" s="92">
        <f>SUM(DM8:DM14)</f>
        <v>484874.31299999997</v>
      </c>
      <c r="DN15" s="92">
        <f>SUM(DN8:DN14)</f>
        <v>53571.491248000006</v>
      </c>
      <c r="DO15" s="92">
        <f>SUM(DO8:DO14)</f>
        <v>538445.804248</v>
      </c>
      <c r="DP15" s="92">
        <f>SUM(DP8:DP14)</f>
        <v>93705.0095982</v>
      </c>
      <c r="DQ15" s="92">
        <f>SUM(DQ8:DQ14)</f>
        <v>14512.798363799999</v>
      </c>
      <c r="DR15" s="33"/>
      <c r="DS15" s="49">
        <f>SUM(DS8:DS14)</f>
        <v>76336.86899999999</v>
      </c>
      <c r="DT15" s="49">
        <f>SUM(DT8:DT14)</f>
        <v>8434.103024</v>
      </c>
      <c r="DU15" s="49">
        <f>SUM(DU8:DU14)</f>
        <v>84770.97202399999</v>
      </c>
      <c r="DV15" s="49">
        <f>SUM(DV8:DV14)</f>
        <v>14752.579896600004</v>
      </c>
      <c r="DW15" s="49">
        <f>SUM(DW8:DW14)</f>
        <v>2284.8428094</v>
      </c>
      <c r="DX15" s="33"/>
      <c r="DY15" s="49">
        <f>SUM(DY8:DY14)</f>
        <v>392834.8515</v>
      </c>
      <c r="DZ15" s="49">
        <f>SUM(DZ8:DZ14)</f>
        <v>43402.482344000004</v>
      </c>
      <c r="EA15" s="49">
        <f>SUM(EA8:EA14)</f>
        <v>436237.33384399995</v>
      </c>
      <c r="EB15" s="49">
        <f>SUM(EB8:EB14)</f>
        <v>75917.8049721</v>
      </c>
      <c r="EC15" s="49">
        <f>SUM(EC8:EC14)</f>
        <v>11757.9604389</v>
      </c>
      <c r="ED15" s="33"/>
      <c r="EE15" s="49">
        <f>SUM(EE8:EE14)</f>
        <v>112150.353</v>
      </c>
      <c r="EF15" s="49">
        <f>SUM(EF8:EF14)</f>
        <v>12390.967088000001</v>
      </c>
      <c r="EG15" s="49">
        <f>SUM(EG8:EG14)</f>
        <v>124541.32008800001</v>
      </c>
      <c r="EH15" s="49">
        <f>SUM(EH8:EH14)</f>
        <v>21673.7608542</v>
      </c>
      <c r="EI15" s="49">
        <f>SUM(EI8:EI14)</f>
        <v>3356.7780677999995</v>
      </c>
      <c r="EJ15" s="33"/>
      <c r="EK15" s="49">
        <f>SUM(EK8:EK14)</f>
        <v>1125.747</v>
      </c>
      <c r="EL15" s="49">
        <f>SUM(EL8:EL14)</f>
        <v>124.37851200000001</v>
      </c>
      <c r="EM15" s="49">
        <f>SUM(EM8:EM14)</f>
        <v>1250.125512</v>
      </c>
      <c r="EN15" s="49">
        <f>SUM(EN8:EN14)</f>
        <v>217.55768580000003</v>
      </c>
      <c r="EO15" s="49">
        <f>SUM(EO8:EO14)</f>
        <v>33.6947922</v>
      </c>
      <c r="EP15" s="33"/>
      <c r="EQ15" s="49">
        <f>SUM(EQ8:EQ14)</f>
        <v>2090.172</v>
      </c>
      <c r="ER15" s="49">
        <f>SUM(ER8:ER14)</f>
        <v>230.933312</v>
      </c>
      <c r="ES15" s="49">
        <f>SUM(ES8:ES14)</f>
        <v>2321.1053119999997</v>
      </c>
      <c r="ET15" s="49">
        <f>SUM(ET8:ET14)</f>
        <v>403.9388808</v>
      </c>
      <c r="EU15" s="49">
        <f>SUM(EU8:EU14)</f>
        <v>62.5610472</v>
      </c>
      <c r="EV15" s="33"/>
      <c r="EW15" s="49">
        <f>SUM(EW8:EW14)</f>
        <v>377837.16599999997</v>
      </c>
      <c r="EX15" s="49">
        <f>SUM(EX8:EX14)</f>
        <v>41745.458336</v>
      </c>
      <c r="EY15" s="49">
        <f>SUM(EY8:EY14)</f>
        <v>419582.624336</v>
      </c>
      <c r="EZ15" s="49">
        <f>SUM(EZ8:EZ14)</f>
        <v>73019.40795240001</v>
      </c>
      <c r="FA15" s="49">
        <f>SUM(FA8:FA14)</f>
        <v>11309.0639316</v>
      </c>
      <c r="FB15" s="33"/>
      <c r="FC15" s="49">
        <f>SUM(FC8:FC14)</f>
        <v>702304.806</v>
      </c>
      <c r="FD15" s="49">
        <f>SUM(FD8:FD14)</f>
        <v>77594.36777599998</v>
      </c>
      <c r="FE15" s="49">
        <f>SUM(FE8:FE14)</f>
        <v>779899.1737759999</v>
      </c>
      <c r="FF15" s="49">
        <f>SUM(FF8:FF14)</f>
        <v>135724.8194484</v>
      </c>
      <c r="FG15" s="49">
        <f>SUM(FG8:FG14)</f>
        <v>21020.7217956</v>
      </c>
      <c r="FH15" s="33"/>
      <c r="FI15" s="49">
        <f>SUM(FI8:FI14)</f>
        <v>0</v>
      </c>
      <c r="FJ15" s="49">
        <f>SUM(FJ8:FJ14)</f>
        <v>0</v>
      </c>
      <c r="FK15" s="49">
        <f>SUM(FK8:IV14)</f>
        <v>0</v>
      </c>
      <c r="FL15" s="42"/>
      <c r="FM15" s="49">
        <f>SUM(FM8:FM14)</f>
        <v>0</v>
      </c>
    </row>
    <row r="16" spans="33:43" ht="13.5" thickTop="1">
      <c r="AG16" s="33"/>
      <c r="AH16" s="33"/>
      <c r="AI16" s="33"/>
      <c r="AJ16" s="33"/>
      <c r="AK16" s="33"/>
      <c r="AM16" s="20"/>
      <c r="AN16" s="20"/>
      <c r="AO16" s="20"/>
      <c r="AP16" s="20"/>
      <c r="AQ16" s="20"/>
    </row>
    <row r="17" spans="3:43" ht="12.75">
      <c r="C17" s="33">
        <f>I15+O15</f>
        <v>17535000</v>
      </c>
      <c r="D17" s="33">
        <f>J15+P15</f>
        <v>1937360</v>
      </c>
      <c r="E17" s="33">
        <f>K15+Q15</f>
        <v>19472360</v>
      </c>
      <c r="F17" s="33">
        <f>L15+R15</f>
        <v>3388749</v>
      </c>
      <c r="G17" s="33">
        <f>M15+S15</f>
        <v>524841</v>
      </c>
      <c r="P17" s="33"/>
      <c r="AG17" s="33"/>
      <c r="AH17" s="33"/>
      <c r="AI17" s="33"/>
      <c r="AJ17" s="33"/>
      <c r="AK17" s="33"/>
      <c r="AM17" s="20"/>
      <c r="AN17" s="20"/>
      <c r="AO17" s="20"/>
      <c r="AP17" s="20"/>
      <c r="AQ17" s="20"/>
    </row>
    <row r="18" spans="33:43" ht="12.75">
      <c r="AG18" s="33"/>
      <c r="AH18" s="33"/>
      <c r="AI18" s="33"/>
      <c r="AJ18" s="33"/>
      <c r="AK18" s="33"/>
      <c r="AM18" s="20"/>
      <c r="AN18" s="20"/>
      <c r="AO18" s="20"/>
      <c r="AP18" s="20"/>
      <c r="AQ18" s="20"/>
    </row>
    <row r="19" spans="33:43" ht="12.75">
      <c r="AG19" s="33"/>
      <c r="AH19" s="33"/>
      <c r="AI19" s="33"/>
      <c r="AJ19" s="33"/>
      <c r="AK19" s="33"/>
      <c r="AM19" s="20"/>
      <c r="AN19" s="20"/>
      <c r="AO19" s="20"/>
      <c r="AP19" s="20"/>
      <c r="AQ19" s="20"/>
    </row>
    <row r="20" spans="33:43" ht="12.75">
      <c r="AG20" s="33"/>
      <c r="AH20" s="33"/>
      <c r="AI20" s="33"/>
      <c r="AJ20" s="33"/>
      <c r="AK20" s="33"/>
      <c r="AM20" s="20"/>
      <c r="AN20" s="20"/>
      <c r="AO20" s="20"/>
      <c r="AP20" s="20"/>
      <c r="AQ20" s="20"/>
    </row>
    <row r="21" spans="33:43" ht="12.75">
      <c r="AG21" s="33"/>
      <c r="AH21" s="33"/>
      <c r="AI21" s="33"/>
      <c r="AJ21" s="33"/>
      <c r="AK21" s="33"/>
      <c r="AM21" s="20"/>
      <c r="AN21" s="20"/>
      <c r="AO21" s="20"/>
      <c r="AP21" s="20"/>
      <c r="AQ21" s="20"/>
    </row>
    <row r="22" spans="33:43" ht="12.75">
      <c r="AG22" s="33"/>
      <c r="AH22" s="33"/>
      <c r="AI22" s="33"/>
      <c r="AJ22" s="33"/>
      <c r="AK22" s="33"/>
      <c r="AM22" s="20"/>
      <c r="AN22" s="20"/>
      <c r="AO22" s="20"/>
      <c r="AP22" s="20"/>
      <c r="AQ22" s="20"/>
    </row>
    <row r="23" spans="33:43" ht="12.75">
      <c r="AG23" s="33"/>
      <c r="AH23" s="33"/>
      <c r="AI23" s="33"/>
      <c r="AJ23" s="33"/>
      <c r="AK23" s="33"/>
      <c r="AM23" s="20"/>
      <c r="AN23" s="20"/>
      <c r="AO23" s="20"/>
      <c r="AP23" s="20"/>
      <c r="AQ23" s="20"/>
    </row>
    <row r="24" spans="33:43" ht="12.75">
      <c r="AG24" s="33"/>
      <c r="AH24" s="33"/>
      <c r="AI24" s="33"/>
      <c r="AJ24" s="33"/>
      <c r="AK24" s="33"/>
      <c r="AM24" s="20"/>
      <c r="AN24" s="20"/>
      <c r="AO24" s="20"/>
      <c r="AP24" s="20"/>
      <c r="AQ24" s="20"/>
    </row>
    <row r="25" spans="33:43" ht="12.75">
      <c r="AG25" s="33"/>
      <c r="AH25" s="33"/>
      <c r="AI25" s="33"/>
      <c r="AJ25" s="33"/>
      <c r="AK25" s="33"/>
      <c r="AM25" s="20"/>
      <c r="AN25" s="20"/>
      <c r="AO25" s="20"/>
      <c r="AP25" s="20"/>
      <c r="AQ25" s="20"/>
    </row>
    <row r="26" spans="33:43" ht="12.75">
      <c r="AG26" s="33"/>
      <c r="AH26" s="33"/>
      <c r="AI26" s="33"/>
      <c r="AJ26" s="33"/>
      <c r="AK26" s="33"/>
      <c r="AM26" s="20"/>
      <c r="AN26" s="20"/>
      <c r="AO26" s="20"/>
      <c r="AP26" s="20"/>
      <c r="AQ26" s="20"/>
    </row>
    <row r="27" spans="33:43" ht="12.75">
      <c r="AG27" s="33"/>
      <c r="AH27" s="33"/>
      <c r="AI27" s="33"/>
      <c r="AJ27" s="33"/>
      <c r="AK27" s="33"/>
      <c r="AM27" s="20"/>
      <c r="AN27" s="20"/>
      <c r="AO27" s="20"/>
      <c r="AP27" s="20"/>
      <c r="AQ27" s="20"/>
    </row>
    <row r="28" spans="33:43" ht="12.75">
      <c r="AG28" s="33"/>
      <c r="AH28" s="33"/>
      <c r="AI28" s="33"/>
      <c r="AJ28" s="33"/>
      <c r="AK28" s="33"/>
      <c r="AM28" s="20"/>
      <c r="AN28" s="20"/>
      <c r="AO28" s="20"/>
      <c r="AP28" s="20"/>
      <c r="AQ28" s="20"/>
    </row>
    <row r="29" spans="1:168" ht="12.75">
      <c r="A29"/>
      <c r="C29"/>
      <c r="D29"/>
      <c r="E29"/>
      <c r="F29"/>
      <c r="G29"/>
      <c r="H29"/>
      <c r="I29"/>
      <c r="J29"/>
      <c r="K29"/>
      <c r="L29"/>
      <c r="M29"/>
      <c r="N29"/>
      <c r="T29"/>
      <c r="AG29" s="33"/>
      <c r="AH29" s="33"/>
      <c r="AI29" s="33"/>
      <c r="AJ29" s="33"/>
      <c r="AK29" s="33"/>
      <c r="AM29" s="20"/>
      <c r="AN29" s="20"/>
      <c r="AO29" s="20"/>
      <c r="AP29" s="20"/>
      <c r="AQ29" s="20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</row>
    <row r="30" spans="1:168" ht="12.75">
      <c r="A30"/>
      <c r="C30"/>
      <c r="D30"/>
      <c r="E30"/>
      <c r="F30"/>
      <c r="G30"/>
      <c r="H30"/>
      <c r="I30"/>
      <c r="J30"/>
      <c r="K30"/>
      <c r="L30"/>
      <c r="M30"/>
      <c r="N30"/>
      <c r="T30"/>
      <c r="AG30" s="33"/>
      <c r="AH30" s="33"/>
      <c r="AI30" s="33"/>
      <c r="AJ30" s="33"/>
      <c r="AK30" s="33"/>
      <c r="AM30" s="20"/>
      <c r="AN30" s="20"/>
      <c r="AO30" s="20"/>
      <c r="AP30" s="20"/>
      <c r="AQ30" s="2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</row>
    <row r="31" spans="1:168" ht="12.75">
      <c r="A31"/>
      <c r="C31"/>
      <c r="D31"/>
      <c r="E31"/>
      <c r="F31"/>
      <c r="G31"/>
      <c r="H31"/>
      <c r="I31"/>
      <c r="J31"/>
      <c r="K31"/>
      <c r="L31"/>
      <c r="M31"/>
      <c r="N31"/>
      <c r="T31"/>
      <c r="AG31" s="33"/>
      <c r="AH31" s="33"/>
      <c r="AI31" s="33"/>
      <c r="AJ31" s="33"/>
      <c r="AK31" s="33"/>
      <c r="AM31" s="20"/>
      <c r="AN31" s="20"/>
      <c r="AO31" s="20"/>
      <c r="AP31" s="20"/>
      <c r="AQ31" s="2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</row>
    <row r="32" spans="1:168" ht="12.75">
      <c r="A32"/>
      <c r="C32"/>
      <c r="D32"/>
      <c r="E32"/>
      <c r="F32"/>
      <c r="G32"/>
      <c r="H32"/>
      <c r="I32"/>
      <c r="J32"/>
      <c r="K32"/>
      <c r="L32"/>
      <c r="M32"/>
      <c r="N32"/>
      <c r="T32"/>
      <c r="AG32" s="33"/>
      <c r="AH32" s="33"/>
      <c r="AI32" s="33"/>
      <c r="AJ32" s="33"/>
      <c r="AK32" s="33"/>
      <c r="AM32" s="20"/>
      <c r="AN32" s="20"/>
      <c r="AO32" s="20"/>
      <c r="AP32" s="20"/>
      <c r="AQ32" s="20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</row>
    <row r="33" spans="1:168" ht="12.75">
      <c r="A33"/>
      <c r="C33"/>
      <c r="D33"/>
      <c r="E33"/>
      <c r="F33"/>
      <c r="G33"/>
      <c r="H33"/>
      <c r="I33"/>
      <c r="J33"/>
      <c r="K33"/>
      <c r="L33"/>
      <c r="M33"/>
      <c r="N33"/>
      <c r="T33"/>
      <c r="AG33" s="33"/>
      <c r="AH33" s="33"/>
      <c r="AI33" s="33"/>
      <c r="AJ33" s="33"/>
      <c r="AK33" s="33"/>
      <c r="AM33" s="20"/>
      <c r="AN33" s="20"/>
      <c r="AO33" s="20"/>
      <c r="AP33" s="20"/>
      <c r="AQ33" s="20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</row>
    <row r="34" spans="1:168" ht="12.75">
      <c r="A34"/>
      <c r="C34"/>
      <c r="D34"/>
      <c r="E34"/>
      <c r="F34"/>
      <c r="G34"/>
      <c r="H34"/>
      <c r="I34"/>
      <c r="J34"/>
      <c r="K34"/>
      <c r="L34"/>
      <c r="M34"/>
      <c r="N34"/>
      <c r="T34"/>
      <c r="AG34" s="33"/>
      <c r="AH34" s="33"/>
      <c r="AI34" s="33"/>
      <c r="AJ34" s="33"/>
      <c r="AK34" s="33"/>
      <c r="AM34" s="20"/>
      <c r="AN34" s="20"/>
      <c r="AO34" s="20"/>
      <c r="AP34" s="20"/>
      <c r="AQ34" s="20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</row>
    <row r="35" spans="1:168" ht="12.75">
      <c r="A35"/>
      <c r="C35"/>
      <c r="D35"/>
      <c r="E35"/>
      <c r="F35"/>
      <c r="G35"/>
      <c r="H35"/>
      <c r="I35"/>
      <c r="J35"/>
      <c r="K35"/>
      <c r="L35"/>
      <c r="M35"/>
      <c r="N35"/>
      <c r="T35"/>
      <c r="AG35" s="33"/>
      <c r="AH35" s="33"/>
      <c r="AI35" s="33"/>
      <c r="AJ35" s="33"/>
      <c r="AK35" s="33"/>
      <c r="AM35" s="20"/>
      <c r="AN35" s="20"/>
      <c r="AO35" s="20"/>
      <c r="AP35" s="20"/>
      <c r="AQ35" s="20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</row>
    <row r="36" spans="1:168" ht="12.75">
      <c r="A36"/>
      <c r="C36"/>
      <c r="D36"/>
      <c r="E36"/>
      <c r="F36"/>
      <c r="G36"/>
      <c r="H36"/>
      <c r="I36"/>
      <c r="J36"/>
      <c r="K36"/>
      <c r="L36"/>
      <c r="M36"/>
      <c r="N36"/>
      <c r="T36"/>
      <c r="AG36" s="33"/>
      <c r="AH36" s="33"/>
      <c r="AI36" s="33"/>
      <c r="AJ36" s="33"/>
      <c r="AK36" s="33"/>
      <c r="AM36" s="20"/>
      <c r="AN36" s="20"/>
      <c r="AO36" s="20"/>
      <c r="AP36" s="20"/>
      <c r="AQ36" s="2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</row>
    <row r="37" spans="1:168" ht="12.75">
      <c r="A37"/>
      <c r="C37"/>
      <c r="D37"/>
      <c r="E37"/>
      <c r="F37"/>
      <c r="G37"/>
      <c r="H37"/>
      <c r="I37"/>
      <c r="J37"/>
      <c r="K37"/>
      <c r="L37"/>
      <c r="M37"/>
      <c r="N37"/>
      <c r="T37"/>
      <c r="AG37" s="33"/>
      <c r="AH37" s="33"/>
      <c r="AI37" s="33"/>
      <c r="AJ37" s="33"/>
      <c r="AK37" s="33"/>
      <c r="AM37" s="20"/>
      <c r="AN37" s="20"/>
      <c r="AO37" s="20"/>
      <c r="AP37" s="20"/>
      <c r="AQ37" s="20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</row>
    <row r="38" spans="1:168" ht="12.75">
      <c r="A38"/>
      <c r="C38"/>
      <c r="D38"/>
      <c r="E38"/>
      <c r="F38"/>
      <c r="G38"/>
      <c r="H38"/>
      <c r="I38"/>
      <c r="J38"/>
      <c r="K38"/>
      <c r="L38"/>
      <c r="M38"/>
      <c r="N38"/>
      <c r="T38"/>
      <c r="AG38" s="33"/>
      <c r="AH38" s="33"/>
      <c r="AI38" s="33"/>
      <c r="AJ38" s="33"/>
      <c r="AK38" s="33"/>
      <c r="AM38" s="20"/>
      <c r="AN38" s="20"/>
      <c r="AO38" s="20"/>
      <c r="AP38" s="20"/>
      <c r="AQ38" s="20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</row>
    <row r="39" spans="1:168" ht="12.75">
      <c r="A39"/>
      <c r="C39"/>
      <c r="D39"/>
      <c r="E39"/>
      <c r="F39"/>
      <c r="G39"/>
      <c r="H39"/>
      <c r="I39"/>
      <c r="J39"/>
      <c r="K39"/>
      <c r="L39"/>
      <c r="M39"/>
      <c r="N39"/>
      <c r="T39"/>
      <c r="AG39" s="33"/>
      <c r="AH39" s="33"/>
      <c r="AI39" s="33"/>
      <c r="AJ39" s="33"/>
      <c r="AK39" s="33"/>
      <c r="AM39" s="20"/>
      <c r="AN39" s="20"/>
      <c r="AO39" s="20"/>
      <c r="AP39" s="20"/>
      <c r="AQ39" s="20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</row>
    <row r="40" spans="1:168" ht="12.75">
      <c r="A40"/>
      <c r="C40"/>
      <c r="D40"/>
      <c r="E40"/>
      <c r="F40"/>
      <c r="G40"/>
      <c r="H40"/>
      <c r="I40"/>
      <c r="J40"/>
      <c r="K40"/>
      <c r="L40"/>
      <c r="M40"/>
      <c r="N40"/>
      <c r="T40"/>
      <c r="AG40" s="33"/>
      <c r="AH40" s="33"/>
      <c r="AI40" s="33"/>
      <c r="AJ40" s="33"/>
      <c r="AK40" s="33"/>
      <c r="AM40" s="20"/>
      <c r="AN40" s="20"/>
      <c r="AO40" s="20"/>
      <c r="AP40" s="20"/>
      <c r="AQ40" s="2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</row>
    <row r="41" spans="1:168" ht="12.75">
      <c r="A41"/>
      <c r="C41"/>
      <c r="D41"/>
      <c r="E41"/>
      <c r="F41"/>
      <c r="G41"/>
      <c r="H41"/>
      <c r="I41"/>
      <c r="J41"/>
      <c r="K41"/>
      <c r="L41"/>
      <c r="M41"/>
      <c r="N41"/>
      <c r="T41"/>
      <c r="AG41" s="33"/>
      <c r="AH41" s="33"/>
      <c r="AI41" s="33"/>
      <c r="AJ41" s="33"/>
      <c r="AK41" s="33"/>
      <c r="AM41" s="20"/>
      <c r="AN41" s="20"/>
      <c r="AO41" s="20"/>
      <c r="AP41" s="20"/>
      <c r="AQ41" s="20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</row>
    <row r="42" spans="1:168" ht="12.75">
      <c r="A42"/>
      <c r="C42"/>
      <c r="D42"/>
      <c r="E42"/>
      <c r="F42"/>
      <c r="G42"/>
      <c r="H42"/>
      <c r="I42"/>
      <c r="J42"/>
      <c r="K42"/>
      <c r="L42"/>
      <c r="M42"/>
      <c r="N42"/>
      <c r="T42"/>
      <c r="AG42" s="33"/>
      <c r="AH42" s="33"/>
      <c r="AI42" s="33"/>
      <c r="AJ42" s="33"/>
      <c r="AK42" s="33"/>
      <c r="AM42" s="20"/>
      <c r="AN42" s="20"/>
      <c r="AO42" s="20"/>
      <c r="AP42" s="20"/>
      <c r="AQ42" s="20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</row>
    <row r="43" spans="1:168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55"/>
  <sheetViews>
    <sheetView zoomScalePageLayoutView="0" workbookViewId="0" topLeftCell="A1">
      <selection activeCell="F10" sqref="F10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7109375" style="33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.75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.75">
      <c r="A2" s="44"/>
      <c r="B2" s="30"/>
      <c r="C2" s="43"/>
      <c r="D2" s="45"/>
      <c r="E2" s="93" t="s">
        <v>176</v>
      </c>
      <c r="G2" s="45"/>
      <c r="H2" s="45"/>
      <c r="I2" s="36"/>
      <c r="K2" s="45"/>
      <c r="O2" s="43" t="str">
        <f>E2</f>
        <v>Distribution of Debt Services after 2021A Bond Issue</v>
      </c>
      <c r="W2" s="45"/>
      <c r="AA2" s="43" t="str">
        <f>O2</f>
        <v>Distribution of Debt Services after 2021A Bond Issue</v>
      </c>
      <c r="AE2"/>
      <c r="AF2"/>
      <c r="AG2"/>
      <c r="AI2" s="45"/>
      <c r="AJ2"/>
      <c r="AK2"/>
      <c r="AL2"/>
      <c r="AM2" s="43" t="str">
        <f>AA2</f>
        <v>Distribution of Debt Services after 2021A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2021A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2021A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2021A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2021A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2021A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2021A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2021A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2021A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.75">
      <c r="A3" s="44"/>
      <c r="B3" s="30"/>
      <c r="C3" s="43"/>
      <c r="D3" s="43"/>
      <c r="E3" s="45" t="s">
        <v>172</v>
      </c>
      <c r="G3" s="43"/>
      <c r="H3" s="43"/>
      <c r="I3" s="36"/>
      <c r="K3" s="45"/>
      <c r="O3" s="45" t="s">
        <v>172</v>
      </c>
      <c r="W3" s="45"/>
      <c r="AA3" s="45" t="s">
        <v>172</v>
      </c>
      <c r="AE3"/>
      <c r="AF3" s="12"/>
      <c r="AG3"/>
      <c r="AI3" s="45"/>
      <c r="AJ3"/>
      <c r="AK3"/>
      <c r="AL3"/>
      <c r="AM3" s="45" t="s">
        <v>172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172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172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172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172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172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172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172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172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.75">
      <c r="A4" s="44"/>
      <c r="B4" s="30"/>
    </row>
    <row r="5" spans="1:211" ht="12.75">
      <c r="A5" s="22" t="s">
        <v>9</v>
      </c>
      <c r="C5" s="96" t="s">
        <v>175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.75">
      <c r="A6" s="46" t="s">
        <v>10</v>
      </c>
      <c r="C6" s="40"/>
      <c r="D6" s="61" t="str">
        <f>'2021A'!C6</f>
        <v>2003A Refinanced on 2021A</v>
      </c>
      <c r="E6" s="39"/>
      <c r="F6" s="41" t="s">
        <v>168</v>
      </c>
      <c r="G6" s="41" t="s">
        <v>173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173</v>
      </c>
      <c r="N6" s="33"/>
      <c r="O6" s="40"/>
      <c r="P6" s="53">
        <v>0.0661452</v>
      </c>
      <c r="Q6" s="39"/>
      <c r="R6" s="41" t="s">
        <v>168</v>
      </c>
      <c r="S6" s="41" t="s">
        <v>173</v>
      </c>
      <c r="T6" s="33"/>
      <c r="U6" s="40"/>
      <c r="V6" s="53">
        <v>0.0011296</v>
      </c>
      <c r="W6" s="39"/>
      <c r="X6" s="41" t="s">
        <v>168</v>
      </c>
      <c r="Y6" s="41" t="s">
        <v>173</v>
      </c>
      <c r="Z6" s="33"/>
      <c r="AA6" s="40"/>
      <c r="AB6" s="53">
        <v>0.0050994</v>
      </c>
      <c r="AC6" s="39"/>
      <c r="AD6" s="41" t="s">
        <v>168</v>
      </c>
      <c r="AE6" s="41" t="s">
        <v>173</v>
      </c>
      <c r="AF6" s="33"/>
      <c r="AG6" s="40"/>
      <c r="AH6" s="53">
        <v>0.0886797</v>
      </c>
      <c r="AI6" s="39"/>
      <c r="AJ6" s="41" t="s">
        <v>168</v>
      </c>
      <c r="AK6" s="41" t="s">
        <v>173</v>
      </c>
      <c r="AL6" s="33"/>
      <c r="AM6" s="40"/>
      <c r="AN6" s="53">
        <v>0.0010742</v>
      </c>
      <c r="AO6" s="39"/>
      <c r="AP6" s="41" t="s">
        <v>168</v>
      </c>
      <c r="AQ6" s="41" t="s">
        <v>173</v>
      </c>
      <c r="AR6" s="63"/>
      <c r="AS6" s="40"/>
      <c r="AT6" s="53">
        <v>0.0009059</v>
      </c>
      <c r="AU6" s="39"/>
      <c r="AV6" s="41" t="s">
        <v>168</v>
      </c>
      <c r="AW6" s="41" t="s">
        <v>173</v>
      </c>
      <c r="AX6" s="33"/>
      <c r="AY6" s="40"/>
      <c r="AZ6" s="53">
        <v>0.0371668</v>
      </c>
      <c r="BA6" s="39"/>
      <c r="BB6" s="41" t="s">
        <v>168</v>
      </c>
      <c r="BC6" s="41" t="s">
        <v>173</v>
      </c>
      <c r="BD6" s="33"/>
      <c r="BE6" s="40"/>
      <c r="BF6" s="53">
        <v>0.0762623</v>
      </c>
      <c r="BG6" s="39"/>
      <c r="BH6" s="41" t="s">
        <v>168</v>
      </c>
      <c r="BI6" s="41" t="s">
        <v>173</v>
      </c>
      <c r="BJ6" s="33"/>
      <c r="BK6" s="40"/>
      <c r="BL6" s="53">
        <v>0.0008804</v>
      </c>
      <c r="BM6" s="39"/>
      <c r="BN6" s="41" t="s">
        <v>168</v>
      </c>
      <c r="BO6" s="41" t="s">
        <v>173</v>
      </c>
      <c r="BP6" s="33"/>
      <c r="BQ6" s="40"/>
      <c r="BR6" s="53">
        <v>0.0005914</v>
      </c>
      <c r="BS6" s="39"/>
      <c r="BT6" s="41" t="s">
        <v>168</v>
      </c>
      <c r="BU6" s="41" t="s">
        <v>173</v>
      </c>
      <c r="BV6" s="33"/>
      <c r="BW6" s="40"/>
      <c r="BX6" s="53">
        <v>-8.81E-05</v>
      </c>
      <c r="BY6" s="39"/>
      <c r="BZ6" s="41" t="s">
        <v>168</v>
      </c>
      <c r="CA6" s="41" t="s">
        <v>173</v>
      </c>
      <c r="CB6" s="63"/>
      <c r="CC6" s="40"/>
      <c r="CD6" s="53">
        <v>-5.74E-05</v>
      </c>
      <c r="CE6" s="39"/>
      <c r="CF6" s="41" t="s">
        <v>168</v>
      </c>
      <c r="CG6" s="41" t="s">
        <v>173</v>
      </c>
      <c r="CH6" s="33"/>
      <c r="CI6" s="40"/>
      <c r="CJ6" s="53">
        <v>0.0021346</v>
      </c>
      <c r="CK6" s="39"/>
      <c r="CL6" s="41" t="s">
        <v>168</v>
      </c>
      <c r="CM6" s="41" t="s">
        <v>173</v>
      </c>
      <c r="CN6" s="33"/>
      <c r="CO6" s="40"/>
      <c r="CP6" s="53">
        <v>0.013127</v>
      </c>
      <c r="CQ6" s="39"/>
      <c r="CR6" s="41" t="s">
        <v>168</v>
      </c>
      <c r="CS6" s="41" t="s">
        <v>173</v>
      </c>
      <c r="CT6" s="33"/>
      <c r="CU6" s="40"/>
      <c r="CV6" s="53">
        <v>0.0881851</v>
      </c>
      <c r="CW6" s="39"/>
      <c r="CX6" s="41" t="s">
        <v>168</v>
      </c>
      <c r="CY6" s="41" t="s">
        <v>173</v>
      </c>
      <c r="CZ6" s="33"/>
      <c r="DA6" s="40"/>
      <c r="DB6" s="53">
        <v>0.0127232</v>
      </c>
      <c r="DC6" s="39"/>
      <c r="DD6" s="41" t="s">
        <v>168</v>
      </c>
      <c r="DE6" s="41" t="s">
        <v>173</v>
      </c>
      <c r="DF6" s="33"/>
      <c r="DG6" s="40"/>
      <c r="DH6" s="53">
        <v>0.0259972</v>
      </c>
      <c r="DI6" s="39"/>
      <c r="DJ6" s="41" t="s">
        <v>168</v>
      </c>
      <c r="DK6" s="41" t="s">
        <v>173</v>
      </c>
      <c r="DL6" s="33"/>
      <c r="DM6" s="40"/>
      <c r="DN6" s="53">
        <v>0.0042162</v>
      </c>
      <c r="DO6" s="39"/>
      <c r="DP6" s="41" t="s">
        <v>168</v>
      </c>
      <c r="DQ6" s="41" t="s">
        <v>173</v>
      </c>
      <c r="DR6" s="33"/>
      <c r="DS6" s="40"/>
      <c r="DT6" s="53">
        <v>0.0216282</v>
      </c>
      <c r="DU6" s="39"/>
      <c r="DV6" s="41" t="s">
        <v>168</v>
      </c>
      <c r="DW6" s="41" t="s">
        <v>173</v>
      </c>
      <c r="DX6" s="33"/>
      <c r="DY6" s="40"/>
      <c r="DZ6" s="53">
        <v>0.0001933</v>
      </c>
      <c r="EA6" s="39"/>
      <c r="EB6" s="41" t="s">
        <v>168</v>
      </c>
      <c r="EC6" s="41" t="s">
        <v>173</v>
      </c>
      <c r="ED6" s="33"/>
      <c r="EE6" s="40"/>
      <c r="EF6" s="53">
        <v>0.0002544</v>
      </c>
      <c r="EG6" s="39"/>
      <c r="EH6" s="41" t="s">
        <v>168</v>
      </c>
      <c r="EI6" s="41" t="s">
        <v>173</v>
      </c>
      <c r="EJ6" s="33"/>
      <c r="EK6" s="40"/>
      <c r="EL6" s="53">
        <v>0.0128187</v>
      </c>
      <c r="EM6" s="39"/>
      <c r="EN6" s="41" t="s">
        <v>168</v>
      </c>
      <c r="EO6" s="41" t="s">
        <v>173</v>
      </c>
      <c r="EP6" s="33"/>
      <c r="EQ6" s="40"/>
      <c r="ER6" s="53">
        <v>0.000244</v>
      </c>
      <c r="ES6" s="39"/>
      <c r="ET6" s="41" t="s">
        <v>168</v>
      </c>
      <c r="EU6" s="41" t="s">
        <v>173</v>
      </c>
      <c r="EV6" s="33"/>
      <c r="EW6" s="40"/>
      <c r="EX6" s="53">
        <v>0.0036459</v>
      </c>
      <c r="EY6" s="39"/>
      <c r="EZ6" s="41" t="s">
        <v>168</v>
      </c>
      <c r="FA6" s="41" t="s">
        <v>173</v>
      </c>
      <c r="FB6" s="33"/>
      <c r="FC6" s="40"/>
      <c r="FD6" s="53">
        <v>0.0025327</v>
      </c>
      <c r="FE6" s="39"/>
      <c r="FF6" s="41" t="s">
        <v>168</v>
      </c>
      <c r="FG6" s="41" t="s">
        <v>173</v>
      </c>
      <c r="FH6" s="33"/>
      <c r="FI6" s="40"/>
      <c r="FJ6" s="53">
        <v>0.0009887</v>
      </c>
      <c r="FK6" s="39"/>
      <c r="FL6" s="41" t="s">
        <v>168</v>
      </c>
      <c r="FM6" s="41" t="s">
        <v>173</v>
      </c>
      <c r="FN6" s="33"/>
      <c r="FO6" s="40"/>
      <c r="FP6" s="53">
        <v>0.0111111</v>
      </c>
      <c r="FQ6" s="39"/>
      <c r="FR6" s="41" t="s">
        <v>168</v>
      </c>
      <c r="FS6" s="41" t="s">
        <v>173</v>
      </c>
      <c r="FT6" s="33"/>
      <c r="FU6" s="40"/>
      <c r="FV6" s="53">
        <v>0.0250422</v>
      </c>
      <c r="FW6" s="39"/>
      <c r="FX6" s="41" t="s">
        <v>168</v>
      </c>
      <c r="FY6" s="41" t="s">
        <v>173</v>
      </c>
      <c r="FZ6" s="33"/>
      <c r="GA6" s="40"/>
      <c r="GB6" s="53">
        <v>0.0031957</v>
      </c>
      <c r="GC6" s="39"/>
      <c r="GD6" s="41" t="s">
        <v>168</v>
      </c>
      <c r="GE6" s="41" t="s">
        <v>173</v>
      </c>
      <c r="GF6" s="33"/>
      <c r="GG6" s="40"/>
      <c r="GH6" s="53">
        <v>0.0050748</v>
      </c>
      <c r="GI6" s="39"/>
      <c r="GJ6" s="41" t="s">
        <v>168</v>
      </c>
      <c r="GK6" s="41" t="s">
        <v>173</v>
      </c>
      <c r="GL6" s="33"/>
      <c r="GM6" s="40"/>
      <c r="GN6" s="53">
        <v>0.0235189</v>
      </c>
      <c r="GO6" s="39"/>
      <c r="GP6" s="41" t="s">
        <v>168</v>
      </c>
      <c r="GQ6" s="41" t="s">
        <v>173</v>
      </c>
      <c r="GR6" s="33"/>
      <c r="GS6" s="40"/>
      <c r="GT6" s="53">
        <v>0.0012482</v>
      </c>
      <c r="GU6" s="39"/>
      <c r="GV6" s="41" t="s">
        <v>168</v>
      </c>
      <c r="GW6" s="41" t="s">
        <v>173</v>
      </c>
      <c r="GX6" s="33"/>
      <c r="GY6" s="40"/>
      <c r="GZ6" s="53">
        <v>0.0071564</v>
      </c>
      <c r="HA6" s="39"/>
      <c r="HB6" s="41" t="s">
        <v>168</v>
      </c>
      <c r="HC6" s="41" t="s">
        <v>173</v>
      </c>
      <c r="HD6" s="33"/>
    </row>
    <row r="7" spans="1:211" ht="12.75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7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97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97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97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97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97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97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97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97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97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97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97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97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97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97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97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97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97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97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97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97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97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97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97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97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97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97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97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97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97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97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97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97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97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97" t="s">
        <v>170</v>
      </c>
    </row>
    <row r="8" spans="1:217" s="52" customFormat="1" ht="12.75">
      <c r="A8" s="51">
        <v>44470</v>
      </c>
      <c r="C8" s="36"/>
      <c r="D8" s="36">
        <v>528485</v>
      </c>
      <c r="E8" s="74">
        <f aca="true" t="shared" si="0" ref="E8:E13">SUM(C8:D8)</f>
        <v>528485</v>
      </c>
      <c r="F8" s="74">
        <v>564789</v>
      </c>
      <c r="G8" s="74">
        <v>87471</v>
      </c>
      <c r="H8" s="76"/>
      <c r="I8" s="76"/>
      <c r="J8" s="76">
        <f aca="true" t="shared" si="1" ref="J8:J13">P8+V8+AB8+AH8+AN8+AT8+AZ8+BF8+BL8+BR8+BX8+CD8+CJ8+CP8+CV8+DB8+DH8+DN8+DT8+DZ8+EF8+EL8+ER8+EX8+FD8+FJ8+FP8+FV8+GB8+GH8+GN8+GT8+GZ8</f>
        <v>286875.34576149995</v>
      </c>
      <c r="K8" s="76">
        <f aca="true" t="shared" si="2" ref="K8:K13">I8+J8</f>
        <v>286875.34576149995</v>
      </c>
      <c r="L8" s="76">
        <f aca="true" t="shared" si="3" ref="L8:M13">R8+X8+AD8+AJ8+AP8+AV8+BB8+BH8+BN8+BT8+BZ8+CF8+CL8+CR8+CX8+DD8+DJ8+DP8+DV8+EB8+EH8+EN8+ET8+EZ8+FF8+FL8+FR8+FX8+GD8+GJ8+GP8+GV8+HB8</f>
        <v>306582.09723510005</v>
      </c>
      <c r="M8" s="76">
        <f t="shared" si="3"/>
        <v>47481.52429889999</v>
      </c>
      <c r="N8" s="76"/>
      <c r="O8" s="75"/>
      <c r="P8" s="75">
        <f aca="true" t="shared" si="4" ref="P8:P13">D8*6.61452/100</f>
        <v>34956.746022</v>
      </c>
      <c r="Q8" s="76">
        <f>O8+P8</f>
        <v>34956.746022</v>
      </c>
      <c r="R8" s="76">
        <f aca="true" t="shared" si="5" ref="R8:R13">P$6*$F8</f>
        <v>37358.0813628</v>
      </c>
      <c r="S8" s="74">
        <f aca="true" t="shared" si="6" ref="S8:S13">P$6*$G8</f>
        <v>5785.7867892</v>
      </c>
      <c r="T8" s="76"/>
      <c r="U8" s="75"/>
      <c r="V8" s="75">
        <f aca="true" t="shared" si="7" ref="V8:V13">D8*0.11296/100</f>
        <v>596.976656</v>
      </c>
      <c r="W8" s="75">
        <f aca="true" t="shared" si="8" ref="W8:W13">U8+V8</f>
        <v>596.976656</v>
      </c>
      <c r="X8" s="76">
        <f aca="true" t="shared" si="9" ref="X8:X13">V$6*$F8</f>
        <v>637.9856543999999</v>
      </c>
      <c r="Y8" s="74">
        <f aca="true" t="shared" si="10" ref="Y8:Y13">V$6*$G8</f>
        <v>98.8072416</v>
      </c>
      <c r="Z8" s="76"/>
      <c r="AA8" s="76"/>
      <c r="AB8" s="75">
        <f aca="true" t="shared" si="11" ref="AB8:AB13">D8*0.50994/100</f>
        <v>2694.956409</v>
      </c>
      <c r="AC8" s="75">
        <f aca="true" t="shared" si="12" ref="AC8:AC13">AA8+AB8</f>
        <v>2694.956409</v>
      </c>
      <c r="AD8" s="76">
        <f aca="true" t="shared" si="13" ref="AD8:AD13">AB$6*$F8</f>
        <v>2880.0850265999998</v>
      </c>
      <c r="AE8" s="74">
        <f aca="true" t="shared" si="14" ref="AE8:AE13">AB$6*$G8</f>
        <v>446.0496174</v>
      </c>
      <c r="AF8" s="76"/>
      <c r="AG8" s="75"/>
      <c r="AH8" s="75">
        <f aca="true" t="shared" si="15" ref="AH8:AH13">D8*8.86797/100</f>
        <v>46865.8912545</v>
      </c>
      <c r="AI8" s="75">
        <f aca="true" t="shared" si="16" ref="AI8:AI13">AG8+AH8</f>
        <v>46865.8912545</v>
      </c>
      <c r="AJ8" s="76">
        <f aca="true" t="shared" si="17" ref="AJ8:AJ13">AH$6*$F8</f>
        <v>50085.3190833</v>
      </c>
      <c r="AK8" s="74">
        <f aca="true" t="shared" si="18" ref="AK8:AK13">AH$6*$G8</f>
        <v>7756.9020387</v>
      </c>
      <c r="AL8" s="76"/>
      <c r="AM8" s="75"/>
      <c r="AN8" s="75">
        <f aca="true" t="shared" si="19" ref="AN8:AN13">D8*0.10742/100</f>
        <v>567.6985870000001</v>
      </c>
      <c r="AO8" s="75">
        <f aca="true" t="shared" si="20" ref="AO8:AO13">AM8+AN8</f>
        <v>567.6985870000001</v>
      </c>
      <c r="AP8" s="76">
        <f aca="true" t="shared" si="21" ref="AP8:AP13">AN$6*$F8</f>
        <v>606.6963438</v>
      </c>
      <c r="AQ8" s="74">
        <f aca="true" t="shared" si="22" ref="AQ8:AQ13">AN$6*$G8</f>
        <v>93.9613482</v>
      </c>
      <c r="AR8" s="75"/>
      <c r="AS8" s="75"/>
      <c r="AT8" s="75">
        <f aca="true" t="shared" si="23" ref="AT8:AT13">D8*0.09059/100</f>
        <v>478.7545615000001</v>
      </c>
      <c r="AU8" s="75">
        <f aca="true" t="shared" si="24" ref="AU8:AU13">AS8+AT8</f>
        <v>478.7545615000001</v>
      </c>
      <c r="AV8" s="76">
        <f aca="true" t="shared" si="25" ref="AV8:AV13">AT$6*$F8</f>
        <v>511.6423551</v>
      </c>
      <c r="AW8" s="74">
        <f aca="true" t="shared" si="26" ref="AW8:AW13">AT$6*$G8</f>
        <v>79.2399789</v>
      </c>
      <c r="AX8" s="76"/>
      <c r="AY8" s="75"/>
      <c r="AZ8" s="75">
        <f aca="true" t="shared" si="27" ref="AZ8:AZ13">D8*3.71668/100</f>
        <v>19642.096298</v>
      </c>
      <c r="BA8" s="75">
        <f aca="true" t="shared" si="28" ref="BA8:BA13">AY8+AZ8</f>
        <v>19642.096298</v>
      </c>
      <c r="BB8" s="76">
        <f aca="true" t="shared" si="29" ref="BB8:BB13">AZ$6*$F8</f>
        <v>20991.3998052</v>
      </c>
      <c r="BC8" s="74">
        <f aca="true" t="shared" si="30" ref="BC8:BC13">AZ$6*$G8</f>
        <v>3251.0171628</v>
      </c>
      <c r="BD8" s="76"/>
      <c r="BE8" s="75"/>
      <c r="BF8" s="75">
        <f aca="true" t="shared" si="31" ref="BF8:BF13">D8*7.62623/100</f>
        <v>40303.4816155</v>
      </c>
      <c r="BG8" s="75">
        <f aca="true" t="shared" si="32" ref="BG8:BG13">BE8+BF8</f>
        <v>40303.4816155</v>
      </c>
      <c r="BH8" s="76">
        <f aca="true" t="shared" si="33" ref="BH8:BH13">BF$6*$F8</f>
        <v>43072.1081547</v>
      </c>
      <c r="BI8" s="74">
        <f aca="true" t="shared" si="34" ref="BI8:BI13">BF$6*$G8</f>
        <v>6670.7396433</v>
      </c>
      <c r="BJ8" s="76"/>
      <c r="BK8" s="75"/>
      <c r="BL8" s="75">
        <f aca="true" t="shared" si="35" ref="BL8:BL13">D8*0.08804/100</f>
        <v>465.2781939999999</v>
      </c>
      <c r="BM8" s="75">
        <f aca="true" t="shared" si="36" ref="BM8:BM13">BK8+BL8</f>
        <v>465.2781939999999</v>
      </c>
      <c r="BN8" s="76">
        <f aca="true" t="shared" si="37" ref="BN8:BN13">BL$6*$F8</f>
        <v>497.2402356</v>
      </c>
      <c r="BO8" s="74">
        <f aca="true" t="shared" si="38" ref="BO8:BO13">BL$6*$G8</f>
        <v>77.0094684</v>
      </c>
      <c r="BP8" s="76"/>
      <c r="BQ8" s="75"/>
      <c r="BR8" s="75">
        <f aca="true" t="shared" si="39" ref="BR8:BR13">D8*0.05914/100</f>
        <v>312.546029</v>
      </c>
      <c r="BS8" s="75">
        <f aca="true" t="shared" si="40" ref="BS8:BS13">BQ8+BR8</f>
        <v>312.546029</v>
      </c>
      <c r="BT8" s="76">
        <f aca="true" t="shared" si="41" ref="BT8:BT13">BR$6*$F8</f>
        <v>334.01621459999996</v>
      </c>
      <c r="BU8" s="74">
        <f aca="true" t="shared" si="42" ref="BU8:BU13">BR$6*$G8</f>
        <v>51.730349399999994</v>
      </c>
      <c r="BV8" s="76"/>
      <c r="BW8" s="75"/>
      <c r="BX8" s="75">
        <f aca="true" t="shared" si="43" ref="BX8:BX13">D8*-0.00881/100</f>
        <v>-46.5595285</v>
      </c>
      <c r="BY8" s="75">
        <f aca="true" t="shared" si="44" ref="BY8:BY13">BW8+BX8</f>
        <v>-46.5595285</v>
      </c>
      <c r="BZ8" s="76">
        <f aca="true" t="shared" si="45" ref="BZ8:BZ13">BX$6*$F8</f>
        <v>-49.7579109</v>
      </c>
      <c r="CA8" s="74">
        <f aca="true" t="shared" si="46" ref="CA8:CA13">BX$6*$G8</f>
        <v>-7.7061951</v>
      </c>
      <c r="CB8" s="75"/>
      <c r="CC8" s="75"/>
      <c r="CD8" s="75">
        <f aca="true" t="shared" si="47" ref="CD8:CD13">D8*-0.00574/100</f>
        <v>-30.335039000000002</v>
      </c>
      <c r="CE8" s="75">
        <f aca="true" t="shared" si="48" ref="CE8:CE13">CC8+CD8</f>
        <v>-30.335039000000002</v>
      </c>
      <c r="CF8" s="76">
        <f aca="true" t="shared" si="49" ref="CF8:CF13">CD$6*$F8</f>
        <v>-32.4188886</v>
      </c>
      <c r="CG8" s="74">
        <f aca="true" t="shared" si="50" ref="CG8:CG13">CD$6*$G8</f>
        <v>-5.0208354</v>
      </c>
      <c r="CH8" s="76"/>
      <c r="CI8" s="75"/>
      <c r="CJ8" s="75">
        <f aca="true" t="shared" si="51" ref="CJ8:CJ13">D8*0.21346/100</f>
        <v>1128.104081</v>
      </c>
      <c r="CK8" s="75">
        <f aca="true" t="shared" si="52" ref="CK8:CK13">CI8+CJ8</f>
        <v>1128.104081</v>
      </c>
      <c r="CL8" s="76">
        <f aca="true" t="shared" si="53" ref="CL8:CL13">CJ$6*$F8</f>
        <v>1205.5985994</v>
      </c>
      <c r="CM8" s="74">
        <f aca="true" t="shared" si="54" ref="CM8:CM13">CJ$6*$G8</f>
        <v>186.7155966</v>
      </c>
      <c r="CN8" s="76"/>
      <c r="CO8" s="75"/>
      <c r="CP8" s="75">
        <f aca="true" t="shared" si="55" ref="CP8:CP13">D8*1.3127/100</f>
        <v>6937.422595</v>
      </c>
      <c r="CQ8" s="75">
        <f aca="true" t="shared" si="56" ref="CQ8:CQ13">CO8+CP8</f>
        <v>6937.422595</v>
      </c>
      <c r="CR8" s="76">
        <f aca="true" t="shared" si="57" ref="CR8:CR13">CP$6*$F8</f>
        <v>7413.985203</v>
      </c>
      <c r="CS8" s="74">
        <f aca="true" t="shared" si="58" ref="CS8:CS13">CP$6*$G8</f>
        <v>1148.231817</v>
      </c>
      <c r="CT8" s="76"/>
      <c r="CU8" s="75"/>
      <c r="CV8" s="75">
        <f aca="true" t="shared" si="59" ref="CV8:CV13">D8*8.81851/100</f>
        <v>46604.502573499994</v>
      </c>
      <c r="CW8" s="75">
        <f aca="true" t="shared" si="60" ref="CW8:CW13">CU8+CV8</f>
        <v>46604.502573499994</v>
      </c>
      <c r="CX8" s="76">
        <f aca="true" t="shared" si="61" ref="CX8:CX13">CV$6*$F8</f>
        <v>49805.9744439</v>
      </c>
      <c r="CY8" s="74">
        <f aca="true" t="shared" si="62" ref="CY8:CY13">CV$6*$G8</f>
        <v>7713.6388821</v>
      </c>
      <c r="CZ8" s="76"/>
      <c r="DA8" s="75"/>
      <c r="DB8" s="75">
        <f aca="true" t="shared" si="63" ref="DB8:DB13">D8*1.27232/100</f>
        <v>6724.020352</v>
      </c>
      <c r="DC8" s="75">
        <f aca="true" t="shared" si="64" ref="DC8:DC13">DA8+DB8</f>
        <v>6724.020352</v>
      </c>
      <c r="DD8" s="76">
        <f aca="true" t="shared" si="65" ref="DD8:DD13">DB$6*$F8</f>
        <v>7185.9234048</v>
      </c>
      <c r="DE8" s="74">
        <f aca="true" t="shared" si="66" ref="DE8:DE13">DB$6*$G8</f>
        <v>1112.9110272</v>
      </c>
      <c r="DF8" s="76"/>
      <c r="DG8" s="75"/>
      <c r="DH8" s="75">
        <f aca="true" t="shared" si="67" ref="DH8:DH13">D8*2.59972/100</f>
        <v>13739.130242000001</v>
      </c>
      <c r="DI8" s="75">
        <f aca="true" t="shared" si="68" ref="DI8:DI13">DG8+DH8</f>
        <v>13739.130242000001</v>
      </c>
      <c r="DJ8" s="76">
        <f aca="true" t="shared" si="69" ref="DJ8:DJ13">DH$6*$F8</f>
        <v>14682.932590800001</v>
      </c>
      <c r="DK8" s="74">
        <f aca="true" t="shared" si="70" ref="DK8:DK13">DH$6*$G8</f>
        <v>2274.0010812</v>
      </c>
      <c r="DL8" s="76"/>
      <c r="DM8" s="75"/>
      <c r="DN8" s="75">
        <f aca="true" t="shared" si="71" ref="DN8:DN13">D8*0.42162/100</f>
        <v>2228.198457</v>
      </c>
      <c r="DO8" s="75">
        <f aca="true" t="shared" si="72" ref="DO8:DO13">DM8+DN8</f>
        <v>2228.198457</v>
      </c>
      <c r="DP8" s="76">
        <f aca="true" t="shared" si="73" ref="DP8:DP13">DN$6*$F8</f>
        <v>2381.2633818</v>
      </c>
      <c r="DQ8" s="74">
        <f aca="true" t="shared" si="74" ref="DQ8:DQ13">DN$6*$G8</f>
        <v>368.7952302</v>
      </c>
      <c r="DR8" s="76"/>
      <c r="DS8" s="75"/>
      <c r="DT8" s="75">
        <f aca="true" t="shared" si="75" ref="DT8:DT13">D8*2.16282/100</f>
        <v>11430.179277</v>
      </c>
      <c r="DU8" s="75">
        <f aca="true" t="shared" si="76" ref="DU8:DU13">DS8+DT8</f>
        <v>11430.179277</v>
      </c>
      <c r="DV8" s="76">
        <f aca="true" t="shared" si="77" ref="DV8:DV13">DT$6*$F8</f>
        <v>12215.3694498</v>
      </c>
      <c r="DW8" s="74">
        <f aca="true" t="shared" si="78" ref="DW8:DW13">DT$6*$G8</f>
        <v>1891.8402822</v>
      </c>
      <c r="DX8" s="76"/>
      <c r="DY8" s="75"/>
      <c r="DZ8" s="75">
        <f aca="true" t="shared" si="79" ref="DZ8:DZ13">D8*0.01933/100</f>
        <v>102.15615050000001</v>
      </c>
      <c r="EA8" s="75">
        <f aca="true" t="shared" si="80" ref="EA8:EA13">DY8+DZ8</f>
        <v>102.15615050000001</v>
      </c>
      <c r="EB8" s="76">
        <f aca="true" t="shared" si="81" ref="EB8:EB13">DZ$6*$F8</f>
        <v>109.17371370000001</v>
      </c>
      <c r="EC8" s="74">
        <f aca="true" t="shared" si="82" ref="EC8:EC13">DZ$6*$G8</f>
        <v>16.9081443</v>
      </c>
      <c r="ED8" s="76"/>
      <c r="EE8" s="75"/>
      <c r="EF8" s="75">
        <f aca="true" t="shared" si="83" ref="EF8:EF13">D8*0.02544/100</f>
        <v>134.446584</v>
      </c>
      <c r="EG8" s="75">
        <f aca="true" t="shared" si="84" ref="EG8:EG13">EE8+EF8</f>
        <v>134.446584</v>
      </c>
      <c r="EH8" s="76">
        <f aca="true" t="shared" si="85" ref="EH8:EH13">EF$6*$F8</f>
        <v>143.6823216</v>
      </c>
      <c r="EI8" s="74">
        <f aca="true" t="shared" si="86" ref="EI8:EI13">EF$6*$G8</f>
        <v>22.2526224</v>
      </c>
      <c r="EJ8" s="76"/>
      <c r="EK8" s="75"/>
      <c r="EL8" s="75">
        <f aca="true" t="shared" si="87" ref="EL8:EL13">D8*1.28187/100</f>
        <v>6774.4906695</v>
      </c>
      <c r="EM8" s="75">
        <f aca="true" t="shared" si="88" ref="EM8:EM13">EK8+EL8</f>
        <v>6774.4906695</v>
      </c>
      <c r="EN8" s="76">
        <f aca="true" t="shared" si="89" ref="EN8:EN13">EL$6*$F8</f>
        <v>7239.860754300001</v>
      </c>
      <c r="EO8" s="74">
        <f aca="true" t="shared" si="90" ref="EO8:EO13">EL$6*$G8</f>
        <v>1121.2645077</v>
      </c>
      <c r="EP8" s="76"/>
      <c r="EQ8" s="75"/>
      <c r="ER8" s="75">
        <f aca="true" t="shared" si="91" ref="ER8:ER13">D8*0.0244/100</f>
        <v>128.95034</v>
      </c>
      <c r="ES8" s="75">
        <f aca="true" t="shared" si="92" ref="ES8:ES13">EQ8+ER8</f>
        <v>128.95034</v>
      </c>
      <c r="ET8" s="76">
        <f aca="true" t="shared" si="93" ref="ET8:ET13">ER$6*$F8</f>
        <v>137.808516</v>
      </c>
      <c r="EU8" s="74">
        <f aca="true" t="shared" si="94" ref="EU8:EU13">ER$6*$G8</f>
        <v>21.342924</v>
      </c>
      <c r="EV8" s="76"/>
      <c r="EW8" s="75"/>
      <c r="EX8" s="75">
        <f aca="true" t="shared" si="95" ref="EX8:EX13">D8*0.36459/100</f>
        <v>1926.8034615000004</v>
      </c>
      <c r="EY8" s="75">
        <f aca="true" t="shared" si="96" ref="EY8:EY13">EW8+EX8</f>
        <v>1926.8034615000004</v>
      </c>
      <c r="EZ8" s="76">
        <f aca="true" t="shared" si="97" ref="EZ8:EZ13">EX$6*$F8</f>
        <v>2059.1642151</v>
      </c>
      <c r="FA8" s="74">
        <f aca="true" t="shared" si="98" ref="FA8:FA13">EX$6*$G8</f>
        <v>318.9105189</v>
      </c>
      <c r="FB8" s="76"/>
      <c r="FC8" s="75"/>
      <c r="FD8" s="75">
        <f aca="true" t="shared" si="99" ref="FD8:FD13">D8*0.25327/100</f>
        <v>1338.4939595</v>
      </c>
      <c r="FE8" s="75">
        <f aca="true" t="shared" si="100" ref="FE8:FE13">FC8+FD8</f>
        <v>1338.4939595</v>
      </c>
      <c r="FF8" s="76">
        <f aca="true" t="shared" si="101" ref="FF8:FF13">FD$6*$F8</f>
        <v>1430.4411003</v>
      </c>
      <c r="FG8" s="74">
        <f aca="true" t="shared" si="102" ref="FG8:FG13">FD$6*$G8</f>
        <v>221.53780170000002</v>
      </c>
      <c r="FH8" s="76"/>
      <c r="FI8" s="75"/>
      <c r="FJ8" s="75">
        <f aca="true" t="shared" si="103" ref="FJ8:FJ13">D8*0.09887/100</f>
        <v>522.5131195</v>
      </c>
      <c r="FK8" s="75">
        <f aca="true" t="shared" si="104" ref="FK8:FK13">FI8+FJ8</f>
        <v>522.5131195</v>
      </c>
      <c r="FL8" s="76">
        <f aca="true" t="shared" si="105" ref="FL8:FL13">FJ$6*$F8</f>
        <v>558.4068843</v>
      </c>
      <c r="FM8" s="74">
        <f aca="true" t="shared" si="106" ref="FM8:FM13">FJ$6*$G8</f>
        <v>86.4825777</v>
      </c>
      <c r="FN8" s="76"/>
      <c r="FO8" s="75"/>
      <c r="FP8" s="75">
        <f aca="true" t="shared" si="107" ref="FP8:FP13">D8*1.11111/100</f>
        <v>5872.049683499999</v>
      </c>
      <c r="FQ8" s="75">
        <f aca="true" t="shared" si="108" ref="FQ8:FQ13">FO8+FP8</f>
        <v>5872.049683499999</v>
      </c>
      <c r="FR8" s="76">
        <f aca="true" t="shared" si="109" ref="FR8:FR13">FP$6*$F8</f>
        <v>6275.4270579</v>
      </c>
      <c r="FS8" s="74">
        <f aca="true" t="shared" si="110" ref="FS8:FS13">FP$6*$G8</f>
        <v>971.8990281</v>
      </c>
      <c r="FT8" s="76"/>
      <c r="FU8" s="75"/>
      <c r="FV8" s="75">
        <f aca="true" t="shared" si="111" ref="FV8:FV13">D8*2.50422/100</f>
        <v>13234.427067</v>
      </c>
      <c r="FW8" s="75">
        <f aca="true" t="shared" si="112" ref="FW8:FW13">FU8+FV8</f>
        <v>13234.427067</v>
      </c>
      <c r="FX8" s="76">
        <f aca="true" t="shared" si="113" ref="FX8:FX13">FV$6*$F8</f>
        <v>14143.559095800001</v>
      </c>
      <c r="FY8" s="74">
        <f aca="true" t="shared" si="114" ref="FY8:FY13">FV$6*$G8</f>
        <v>2190.4662762000003</v>
      </c>
      <c r="FZ8" s="76"/>
      <c r="GA8" s="75"/>
      <c r="GB8" s="75">
        <f aca="true" t="shared" si="115" ref="GB8:GB13">D8*0.31957/100</f>
        <v>1688.8795145000001</v>
      </c>
      <c r="GC8" s="75">
        <f aca="true" t="shared" si="116" ref="GC8:GC13">GA8+GB8</f>
        <v>1688.8795145000001</v>
      </c>
      <c r="GD8" s="76">
        <f aca="true" t="shared" si="117" ref="GD8:GD13">GB$6*$F8</f>
        <v>1804.8962073</v>
      </c>
      <c r="GE8" s="74">
        <f aca="true" t="shared" si="118" ref="GE8:GE13">GB$6*$G8</f>
        <v>279.53107470000003</v>
      </c>
      <c r="GF8" s="76"/>
      <c r="GG8" s="75"/>
      <c r="GH8" s="75">
        <f aca="true" t="shared" si="119" ref="GH8:GH13">D8*0.50748/100</f>
        <v>2681.9556780000003</v>
      </c>
      <c r="GI8" s="75">
        <f aca="true" t="shared" si="120" ref="GI8:GI13">GG8+GH8</f>
        <v>2681.9556780000003</v>
      </c>
      <c r="GJ8" s="76">
        <f aca="true" t="shared" si="121" ref="GJ8:GJ13">GH$6*$F8</f>
        <v>2866.1912172</v>
      </c>
      <c r="GK8" s="74">
        <f aca="true" t="shared" si="122" ref="GK8:GK13">GH$6*$G8</f>
        <v>443.8978308</v>
      </c>
      <c r="GL8" s="76"/>
      <c r="GM8" s="75"/>
      <c r="GN8" s="75">
        <f aca="true" t="shared" si="123" ref="GN8:GN13">D8*2.35189/100</f>
        <v>12429.385866499999</v>
      </c>
      <c r="GO8" s="75">
        <f aca="true" t="shared" si="124" ref="GO8:GO13">GM8+GN8</f>
        <v>12429.385866499999</v>
      </c>
      <c r="GP8" s="76">
        <f aca="true" t="shared" si="125" ref="GP8:GP13">GN$6*$F8</f>
        <v>13283.2160121</v>
      </c>
      <c r="GQ8" s="74">
        <f aca="true" t="shared" si="126" ref="GQ8:GQ13">GN$6*$G8</f>
        <v>2057.2217019</v>
      </c>
      <c r="GR8" s="76"/>
      <c r="GS8" s="75"/>
      <c r="GT8" s="75">
        <f aca="true" t="shared" si="127" ref="GT8:GT13">D8*0.12482/100</f>
        <v>659.654977</v>
      </c>
      <c r="GU8" s="75">
        <f aca="true" t="shared" si="128" ref="GU8:GU13">GS8+GT8</f>
        <v>659.654977</v>
      </c>
      <c r="GV8" s="76">
        <f aca="true" t="shared" si="129" ref="GV8:GV13">GT$6*$F8</f>
        <v>704.9696298</v>
      </c>
      <c r="GW8" s="74">
        <f aca="true" t="shared" si="130" ref="GW8:GW13">GT$6*$G8</f>
        <v>109.1813022</v>
      </c>
      <c r="GX8" s="76"/>
      <c r="GY8" s="75"/>
      <c r="GZ8" s="75">
        <f aca="true" t="shared" si="131" ref="GZ8:GZ13">D8*0.71564/100</f>
        <v>3782.0500540000003</v>
      </c>
      <c r="HA8" s="75">
        <f aca="true" t="shared" si="132" ref="HA8:HA13">GY8+GZ8</f>
        <v>3782.0500540000003</v>
      </c>
      <c r="HB8" s="76">
        <f aca="true" t="shared" si="133" ref="HB8:HB13">GZ$6*$F8</f>
        <v>4041.8559996000004</v>
      </c>
      <c r="HC8" s="74">
        <f aca="true" t="shared" si="134" ref="HC8:HC13">GZ$6*$G8</f>
        <v>625.9774644</v>
      </c>
      <c r="HD8" s="76"/>
      <c r="HE8" s="76"/>
      <c r="HF8" s="76"/>
      <c r="HG8" s="76"/>
      <c r="HH8" s="76"/>
      <c r="HI8" s="76"/>
    </row>
    <row r="9" spans="1:217" s="52" customFormat="1" ht="12.75">
      <c r="A9" s="51">
        <v>44652</v>
      </c>
      <c r="C9" s="36">
        <v>5095000</v>
      </c>
      <c r="D9" s="36">
        <v>438375</v>
      </c>
      <c r="E9" s="74">
        <f t="shared" si="0"/>
        <v>5533375</v>
      </c>
      <c r="F9" s="74">
        <v>564792</v>
      </c>
      <c r="G9" s="74">
        <v>87474</v>
      </c>
      <c r="H9" s="76"/>
      <c r="I9" s="76">
        <f>O9+U9+AA9+AG9+AM9+AS9+AY9+BE9+BK9+BQ9+BW9+CC9+CI9+CO9+CU9+DA9+DG9+DM9+DS9+DY9+EE9+EK9+EQ9+EW9+FC9+FI9+FO9+FU9+GA9+GG9+GM9+GS9+GY9</f>
        <v>2765697.9605000005</v>
      </c>
      <c r="J9" s="76">
        <f t="shared" si="1"/>
        <v>237961.30391249998</v>
      </c>
      <c r="K9" s="76">
        <f t="shared" si="2"/>
        <v>3003659.2644125004</v>
      </c>
      <c r="L9" s="76">
        <f t="shared" si="3"/>
        <v>306583.7257128</v>
      </c>
      <c r="M9" s="76">
        <f t="shared" si="3"/>
        <v>47483.1527766</v>
      </c>
      <c r="N9" s="76"/>
      <c r="O9" s="75">
        <f>C9*6.61452/100</f>
        <v>337009.794</v>
      </c>
      <c r="P9" s="75">
        <f t="shared" si="4"/>
        <v>28996.40205</v>
      </c>
      <c r="Q9" s="76">
        <f>O9+P9</f>
        <v>366006.19604999997</v>
      </c>
      <c r="R9" s="76">
        <f t="shared" si="5"/>
        <v>37358.2797984</v>
      </c>
      <c r="S9" s="74">
        <f t="shared" si="6"/>
        <v>5785.9852248</v>
      </c>
      <c r="T9" s="76"/>
      <c r="U9" s="75">
        <f>C9*0.11296/100</f>
        <v>5755.312000000001</v>
      </c>
      <c r="V9" s="75">
        <f t="shared" si="7"/>
        <v>495.18840000000006</v>
      </c>
      <c r="W9" s="75">
        <f t="shared" si="8"/>
        <v>6250.500400000001</v>
      </c>
      <c r="X9" s="76">
        <f t="shared" si="9"/>
        <v>637.9890432</v>
      </c>
      <c r="Y9" s="74">
        <f t="shared" si="10"/>
        <v>98.8106304</v>
      </c>
      <c r="Z9" s="76"/>
      <c r="AA9" s="76">
        <f>C9*0.50994/100</f>
        <v>25981.443</v>
      </c>
      <c r="AB9" s="75">
        <f t="shared" si="11"/>
        <v>2235.449475</v>
      </c>
      <c r="AC9" s="75">
        <f t="shared" si="12"/>
        <v>28216.892475</v>
      </c>
      <c r="AD9" s="76">
        <f t="shared" si="13"/>
        <v>2880.1003247999997</v>
      </c>
      <c r="AE9" s="74">
        <f t="shared" si="14"/>
        <v>446.06491559999995</v>
      </c>
      <c r="AF9" s="76"/>
      <c r="AG9" s="75">
        <f>C9*8.86797/100</f>
        <v>451823.07149999996</v>
      </c>
      <c r="AH9" s="75">
        <f t="shared" si="15"/>
        <v>38874.9634875</v>
      </c>
      <c r="AI9" s="75">
        <f t="shared" si="16"/>
        <v>490698.03498749994</v>
      </c>
      <c r="AJ9" s="76">
        <f t="shared" si="17"/>
        <v>50085.5851224</v>
      </c>
      <c r="AK9" s="74">
        <f t="shared" si="18"/>
        <v>7757.1680778</v>
      </c>
      <c r="AL9" s="76"/>
      <c r="AM9" s="75">
        <f>C9*0.10742/100</f>
        <v>5473.049</v>
      </c>
      <c r="AN9" s="75">
        <f t="shared" si="19"/>
        <v>470.902425</v>
      </c>
      <c r="AO9" s="75">
        <f t="shared" si="20"/>
        <v>5943.951425</v>
      </c>
      <c r="AP9" s="76">
        <f t="shared" si="21"/>
        <v>606.6995664</v>
      </c>
      <c r="AQ9" s="74">
        <f t="shared" si="22"/>
        <v>93.9645708</v>
      </c>
      <c r="AR9" s="75"/>
      <c r="AS9" s="75">
        <f>C9*0.09059/100</f>
        <v>4615.5605000000005</v>
      </c>
      <c r="AT9" s="75">
        <f t="shared" si="23"/>
        <v>397.1239125</v>
      </c>
      <c r="AU9" s="75">
        <f t="shared" si="24"/>
        <v>5012.684412500001</v>
      </c>
      <c r="AV9" s="76">
        <f t="shared" si="25"/>
        <v>511.6450728</v>
      </c>
      <c r="AW9" s="74">
        <f t="shared" si="26"/>
        <v>79.2426966</v>
      </c>
      <c r="AX9" s="76"/>
      <c r="AY9" s="75">
        <f>C9*3.71668/100</f>
        <v>189364.84600000002</v>
      </c>
      <c r="AZ9" s="75">
        <f t="shared" si="27"/>
        <v>16292.995950000002</v>
      </c>
      <c r="BA9" s="75">
        <f t="shared" si="28"/>
        <v>205657.84195000003</v>
      </c>
      <c r="BB9" s="76">
        <f t="shared" si="29"/>
        <v>20991.5113056</v>
      </c>
      <c r="BC9" s="74">
        <f t="shared" si="30"/>
        <v>3251.1286632</v>
      </c>
      <c r="BD9" s="76"/>
      <c r="BE9" s="75">
        <f>C9*7.62623/100</f>
        <v>388556.4185</v>
      </c>
      <c r="BF9" s="75">
        <f t="shared" si="31"/>
        <v>33431.4857625</v>
      </c>
      <c r="BG9" s="75">
        <f t="shared" si="32"/>
        <v>421987.9042625</v>
      </c>
      <c r="BH9" s="76">
        <f t="shared" si="33"/>
        <v>43072.336941600006</v>
      </c>
      <c r="BI9" s="74">
        <f t="shared" si="34"/>
        <v>6670.9684302000005</v>
      </c>
      <c r="BJ9" s="76"/>
      <c r="BK9" s="75">
        <f>C9*0.08804/100</f>
        <v>4485.638</v>
      </c>
      <c r="BL9" s="75">
        <f t="shared" si="35"/>
        <v>385.94534999999996</v>
      </c>
      <c r="BM9" s="75">
        <f t="shared" si="36"/>
        <v>4871.58335</v>
      </c>
      <c r="BN9" s="76">
        <f t="shared" si="37"/>
        <v>497.24287680000003</v>
      </c>
      <c r="BO9" s="74">
        <f t="shared" si="38"/>
        <v>77.0121096</v>
      </c>
      <c r="BP9" s="76"/>
      <c r="BQ9" s="75">
        <f>C9*0.05914/100</f>
        <v>3013.183</v>
      </c>
      <c r="BR9" s="75">
        <f t="shared" si="39"/>
        <v>259.254975</v>
      </c>
      <c r="BS9" s="75">
        <f t="shared" si="40"/>
        <v>3272.437975</v>
      </c>
      <c r="BT9" s="76">
        <f t="shared" si="41"/>
        <v>334.01798879999996</v>
      </c>
      <c r="BU9" s="74">
        <f t="shared" si="42"/>
        <v>51.732123599999994</v>
      </c>
      <c r="BV9" s="76"/>
      <c r="BW9" s="75">
        <f>C9*-0.00881/100</f>
        <v>-448.86949999999996</v>
      </c>
      <c r="BX9" s="75">
        <f t="shared" si="43"/>
        <v>-38.6208375</v>
      </c>
      <c r="BY9" s="75">
        <f t="shared" si="44"/>
        <v>-487.49033749999995</v>
      </c>
      <c r="BZ9" s="76">
        <f t="shared" si="45"/>
        <v>-49.7581752</v>
      </c>
      <c r="CA9" s="74">
        <f t="shared" si="46"/>
        <v>-7.7064594</v>
      </c>
      <c r="CB9" s="75"/>
      <c r="CC9" s="75">
        <f>C9*-0.00574/100</f>
        <v>-292.45300000000003</v>
      </c>
      <c r="CD9" s="75">
        <f t="shared" si="47"/>
        <v>-25.162725000000002</v>
      </c>
      <c r="CE9" s="75">
        <f t="shared" si="48"/>
        <v>-317.61572500000005</v>
      </c>
      <c r="CF9" s="76">
        <f t="shared" si="49"/>
        <v>-32.4190608</v>
      </c>
      <c r="CG9" s="74">
        <f t="shared" si="50"/>
        <v>-5.0210076</v>
      </c>
      <c r="CH9" s="76"/>
      <c r="CI9" s="75">
        <f>C9*0.21346/100</f>
        <v>10875.787</v>
      </c>
      <c r="CJ9" s="75">
        <f t="shared" si="51"/>
        <v>935.7552750000001</v>
      </c>
      <c r="CK9" s="75">
        <f t="shared" si="52"/>
        <v>11811.542275</v>
      </c>
      <c r="CL9" s="76">
        <f t="shared" si="53"/>
        <v>1205.6050032</v>
      </c>
      <c r="CM9" s="74">
        <f t="shared" si="54"/>
        <v>186.72200039999998</v>
      </c>
      <c r="CN9" s="76"/>
      <c r="CO9" s="75">
        <f>C9*1.3127/100</f>
        <v>66882.065</v>
      </c>
      <c r="CP9" s="75">
        <f t="shared" si="55"/>
        <v>5754.548625</v>
      </c>
      <c r="CQ9" s="75">
        <f t="shared" si="56"/>
        <v>72636.613625</v>
      </c>
      <c r="CR9" s="76">
        <f t="shared" si="57"/>
        <v>7414.024584</v>
      </c>
      <c r="CS9" s="74">
        <f t="shared" si="58"/>
        <v>1148.271198</v>
      </c>
      <c r="CT9" s="76"/>
      <c r="CU9" s="75">
        <f>C9*8.81851/100</f>
        <v>449303.08449999994</v>
      </c>
      <c r="CV9" s="75">
        <f t="shared" si="59"/>
        <v>38658.1432125</v>
      </c>
      <c r="CW9" s="75">
        <f t="shared" si="60"/>
        <v>487961.2277124999</v>
      </c>
      <c r="CX9" s="76">
        <f t="shared" si="61"/>
        <v>49806.2389992</v>
      </c>
      <c r="CY9" s="74">
        <f t="shared" si="62"/>
        <v>7713.9034374</v>
      </c>
      <c r="CZ9" s="76"/>
      <c r="DA9" s="75">
        <f>C9*1.27232/100</f>
        <v>64824.704</v>
      </c>
      <c r="DB9" s="75">
        <f t="shared" si="63"/>
        <v>5577.532799999999</v>
      </c>
      <c r="DC9" s="75">
        <f t="shared" si="64"/>
        <v>70402.2368</v>
      </c>
      <c r="DD9" s="76">
        <f t="shared" si="65"/>
        <v>7185.9615744</v>
      </c>
      <c r="DE9" s="74">
        <f t="shared" si="66"/>
        <v>1112.9491968</v>
      </c>
      <c r="DF9" s="76"/>
      <c r="DG9" s="75">
        <f>C9*2.59972/100</f>
        <v>132455.734</v>
      </c>
      <c r="DH9" s="75">
        <f t="shared" si="67"/>
        <v>11396.522550000002</v>
      </c>
      <c r="DI9" s="75">
        <f t="shared" si="68"/>
        <v>143852.25655</v>
      </c>
      <c r="DJ9" s="76">
        <f t="shared" si="69"/>
        <v>14683.0105824</v>
      </c>
      <c r="DK9" s="74">
        <f t="shared" si="70"/>
        <v>2274.0790728</v>
      </c>
      <c r="DL9" s="76"/>
      <c r="DM9" s="75">
        <f>C9*0.42162/100</f>
        <v>21481.539</v>
      </c>
      <c r="DN9" s="75">
        <f t="shared" si="71"/>
        <v>1848.276675</v>
      </c>
      <c r="DO9" s="75">
        <f t="shared" si="72"/>
        <v>23329.815675</v>
      </c>
      <c r="DP9" s="76">
        <f t="shared" si="73"/>
        <v>2381.2760304</v>
      </c>
      <c r="DQ9" s="74">
        <f t="shared" si="74"/>
        <v>368.80787879999997</v>
      </c>
      <c r="DR9" s="76"/>
      <c r="DS9" s="75">
        <f>C9*2.16282/100</f>
        <v>110195.679</v>
      </c>
      <c r="DT9" s="75">
        <f t="shared" si="75"/>
        <v>9481.262175</v>
      </c>
      <c r="DU9" s="75">
        <f t="shared" si="76"/>
        <v>119676.941175</v>
      </c>
      <c r="DV9" s="76">
        <f t="shared" si="77"/>
        <v>12215.4343344</v>
      </c>
      <c r="DW9" s="74">
        <f t="shared" si="78"/>
        <v>1891.9051668</v>
      </c>
      <c r="DX9" s="76"/>
      <c r="DY9" s="75">
        <f>C9*0.01933/100</f>
        <v>984.8635</v>
      </c>
      <c r="DZ9" s="75">
        <f t="shared" si="79"/>
        <v>84.7378875</v>
      </c>
      <c r="EA9" s="75">
        <f t="shared" si="80"/>
        <v>1069.6013875</v>
      </c>
      <c r="EB9" s="76">
        <f t="shared" si="81"/>
        <v>109.1742936</v>
      </c>
      <c r="EC9" s="74">
        <f t="shared" si="82"/>
        <v>16.9087242</v>
      </c>
      <c r="ED9" s="76"/>
      <c r="EE9" s="75">
        <f>C9*0.02544/100</f>
        <v>1296.1680000000001</v>
      </c>
      <c r="EF9" s="75">
        <f t="shared" si="83"/>
        <v>111.5226</v>
      </c>
      <c r="EG9" s="75">
        <f t="shared" si="84"/>
        <v>1407.6906000000001</v>
      </c>
      <c r="EH9" s="76">
        <f t="shared" si="85"/>
        <v>143.6830848</v>
      </c>
      <c r="EI9" s="74">
        <f t="shared" si="86"/>
        <v>22.2533856</v>
      </c>
      <c r="EJ9" s="76"/>
      <c r="EK9" s="75">
        <f>C9*1.28187/100</f>
        <v>65311.27650000001</v>
      </c>
      <c r="EL9" s="75">
        <f t="shared" si="87"/>
        <v>5619.3976125</v>
      </c>
      <c r="EM9" s="75">
        <f t="shared" si="88"/>
        <v>70930.67411250001</v>
      </c>
      <c r="EN9" s="76">
        <f t="shared" si="89"/>
        <v>7239.8992104</v>
      </c>
      <c r="EO9" s="74">
        <f t="shared" si="90"/>
        <v>1121.3029638</v>
      </c>
      <c r="EP9" s="76"/>
      <c r="EQ9" s="75">
        <f>C9*0.0244/100</f>
        <v>1243.18</v>
      </c>
      <c r="ER9" s="75">
        <f t="shared" si="91"/>
        <v>106.96350000000001</v>
      </c>
      <c r="ES9" s="75">
        <f t="shared" si="92"/>
        <v>1350.1435000000001</v>
      </c>
      <c r="ET9" s="76">
        <f t="shared" si="93"/>
        <v>137.809248</v>
      </c>
      <c r="EU9" s="74">
        <f t="shared" si="94"/>
        <v>21.343656</v>
      </c>
      <c r="EV9" s="76"/>
      <c r="EW9" s="75">
        <f>C9*0.36459/100</f>
        <v>18575.8605</v>
      </c>
      <c r="EX9" s="75">
        <f t="shared" si="95"/>
        <v>1598.2714125000002</v>
      </c>
      <c r="EY9" s="75">
        <f t="shared" si="96"/>
        <v>20174.1319125</v>
      </c>
      <c r="EZ9" s="76">
        <f t="shared" si="97"/>
        <v>2059.1751528</v>
      </c>
      <c r="FA9" s="74">
        <f t="shared" si="98"/>
        <v>318.9214566</v>
      </c>
      <c r="FB9" s="76"/>
      <c r="FC9" s="75">
        <f>C9*0.25327/100</f>
        <v>12904.1065</v>
      </c>
      <c r="FD9" s="75">
        <f t="shared" si="99"/>
        <v>1110.2723625</v>
      </c>
      <c r="FE9" s="75">
        <f t="shared" si="100"/>
        <v>14014.3788625</v>
      </c>
      <c r="FF9" s="76">
        <f t="shared" si="101"/>
        <v>1430.4486984</v>
      </c>
      <c r="FG9" s="74">
        <f t="shared" si="102"/>
        <v>221.5453998</v>
      </c>
      <c r="FH9" s="76"/>
      <c r="FI9" s="75">
        <f>C9*0.09887/100</f>
        <v>5037.4265000000005</v>
      </c>
      <c r="FJ9" s="75">
        <f t="shared" si="103"/>
        <v>433.42136250000004</v>
      </c>
      <c r="FK9" s="75">
        <f t="shared" si="104"/>
        <v>5470.847862500001</v>
      </c>
      <c r="FL9" s="76">
        <f t="shared" si="105"/>
        <v>558.4098504</v>
      </c>
      <c r="FM9" s="74">
        <f t="shared" si="106"/>
        <v>86.48554379999999</v>
      </c>
      <c r="FN9" s="76"/>
      <c r="FO9" s="75">
        <f>C9*1.11111/100</f>
        <v>56611.0545</v>
      </c>
      <c r="FP9" s="75">
        <f t="shared" si="107"/>
        <v>4870.8284625</v>
      </c>
      <c r="FQ9" s="75">
        <f t="shared" si="108"/>
        <v>61481.8829625</v>
      </c>
      <c r="FR9" s="76">
        <f t="shared" si="109"/>
        <v>6275.4603912</v>
      </c>
      <c r="FS9" s="74">
        <f t="shared" si="110"/>
        <v>971.9323614</v>
      </c>
      <c r="FT9" s="76"/>
      <c r="FU9" s="75">
        <f>C9*2.50422/100</f>
        <v>127590.009</v>
      </c>
      <c r="FV9" s="75">
        <f t="shared" si="111"/>
        <v>10977.874425000002</v>
      </c>
      <c r="FW9" s="75">
        <f t="shared" si="112"/>
        <v>138567.883425</v>
      </c>
      <c r="FX9" s="76">
        <f t="shared" si="113"/>
        <v>14143.6342224</v>
      </c>
      <c r="FY9" s="74">
        <f t="shared" si="114"/>
        <v>2190.5414028</v>
      </c>
      <c r="FZ9" s="76"/>
      <c r="GA9" s="75">
        <f>C9*0.31957/100</f>
        <v>16282.091500000002</v>
      </c>
      <c r="GB9" s="75">
        <f t="shared" si="115"/>
        <v>1400.9149875</v>
      </c>
      <c r="GC9" s="75">
        <f t="shared" si="116"/>
        <v>17683.006487500003</v>
      </c>
      <c r="GD9" s="76">
        <f t="shared" si="117"/>
        <v>1804.9057944</v>
      </c>
      <c r="GE9" s="74">
        <f t="shared" si="118"/>
        <v>279.5406618</v>
      </c>
      <c r="GF9" s="76"/>
      <c r="GG9" s="75">
        <f>C9*0.50748/100</f>
        <v>25856.106</v>
      </c>
      <c r="GH9" s="75">
        <f t="shared" si="119"/>
        <v>2224.66545</v>
      </c>
      <c r="GI9" s="75">
        <f t="shared" si="120"/>
        <v>28080.77145</v>
      </c>
      <c r="GJ9" s="76">
        <f t="shared" si="121"/>
        <v>2866.2064416</v>
      </c>
      <c r="GK9" s="74">
        <f t="shared" si="122"/>
        <v>443.9130552</v>
      </c>
      <c r="GL9" s="76"/>
      <c r="GM9" s="75">
        <f>C9*2.35189/100</f>
        <v>119828.79550000001</v>
      </c>
      <c r="GN9" s="75">
        <f t="shared" si="123"/>
        <v>10310.0977875</v>
      </c>
      <c r="GO9" s="75">
        <f t="shared" si="124"/>
        <v>130138.8932875</v>
      </c>
      <c r="GP9" s="76">
        <f t="shared" si="125"/>
        <v>13283.2865688</v>
      </c>
      <c r="GQ9" s="74">
        <f t="shared" si="126"/>
        <v>2057.2922586</v>
      </c>
      <c r="GR9" s="76"/>
      <c r="GS9" s="75">
        <f>C9*0.12482/100</f>
        <v>6359.579000000001</v>
      </c>
      <c r="GT9" s="75">
        <f t="shared" si="127"/>
        <v>547.179675</v>
      </c>
      <c r="GU9" s="75">
        <f t="shared" si="128"/>
        <v>6906.758675000001</v>
      </c>
      <c r="GV9" s="76">
        <f t="shared" si="129"/>
        <v>704.9733744</v>
      </c>
      <c r="GW9" s="74">
        <f t="shared" si="130"/>
        <v>109.18504680000001</v>
      </c>
      <c r="GX9" s="76"/>
      <c r="GY9" s="75">
        <f>C9*0.71564/100</f>
        <v>36461.858</v>
      </c>
      <c r="GZ9" s="75">
        <f t="shared" si="131"/>
        <v>3137.18685</v>
      </c>
      <c r="HA9" s="75">
        <f t="shared" si="132"/>
        <v>39599.04485</v>
      </c>
      <c r="HB9" s="76">
        <f t="shared" si="133"/>
        <v>4041.8774688000003</v>
      </c>
      <c r="HC9" s="74">
        <f t="shared" si="134"/>
        <v>625.9989336</v>
      </c>
      <c r="HD9" s="76"/>
      <c r="HE9" s="76"/>
      <c r="HF9" s="76"/>
      <c r="HG9" s="76"/>
      <c r="HH9" s="76"/>
      <c r="HI9" s="76"/>
    </row>
    <row r="10" spans="1:217" s="52" customFormat="1" ht="12.75">
      <c r="A10" s="51">
        <v>44835</v>
      </c>
      <c r="C10" s="36"/>
      <c r="D10" s="36">
        <v>311000</v>
      </c>
      <c r="E10" s="74">
        <f t="shared" si="0"/>
        <v>311000</v>
      </c>
      <c r="F10" s="74">
        <v>564792</v>
      </c>
      <c r="G10" s="74">
        <v>87474</v>
      </c>
      <c r="H10" s="76"/>
      <c r="I10" s="76"/>
      <c r="J10" s="76">
        <f t="shared" si="1"/>
        <v>168818.85489999998</v>
      </c>
      <c r="K10" s="76">
        <f t="shared" si="2"/>
        <v>168818.85489999998</v>
      </c>
      <c r="L10" s="76">
        <f t="shared" si="3"/>
        <v>306583.7257128</v>
      </c>
      <c r="M10" s="76">
        <f t="shared" si="3"/>
        <v>47483.1527766</v>
      </c>
      <c r="N10" s="76"/>
      <c r="O10" s="75"/>
      <c r="P10" s="75">
        <f t="shared" si="4"/>
        <v>20571.1572</v>
      </c>
      <c r="Q10" s="76">
        <f>O10+P10</f>
        <v>20571.1572</v>
      </c>
      <c r="R10" s="76">
        <f t="shared" si="5"/>
        <v>37358.2797984</v>
      </c>
      <c r="S10" s="74">
        <f t="shared" si="6"/>
        <v>5785.9852248</v>
      </c>
      <c r="T10" s="76"/>
      <c r="U10" s="75"/>
      <c r="V10" s="75">
        <f t="shared" si="7"/>
        <v>351.3056</v>
      </c>
      <c r="W10" s="75">
        <f t="shared" si="8"/>
        <v>351.3056</v>
      </c>
      <c r="X10" s="76">
        <f t="shared" si="9"/>
        <v>637.9890432</v>
      </c>
      <c r="Y10" s="74">
        <f t="shared" si="10"/>
        <v>98.8106304</v>
      </c>
      <c r="Z10" s="76"/>
      <c r="AA10" s="76"/>
      <c r="AB10" s="75">
        <f t="shared" si="11"/>
        <v>1585.9134</v>
      </c>
      <c r="AC10" s="75">
        <f t="shared" si="12"/>
        <v>1585.9134</v>
      </c>
      <c r="AD10" s="76">
        <f t="shared" si="13"/>
        <v>2880.1003247999997</v>
      </c>
      <c r="AE10" s="74">
        <f t="shared" si="14"/>
        <v>446.06491559999995</v>
      </c>
      <c r="AF10" s="76"/>
      <c r="AG10" s="75"/>
      <c r="AH10" s="75">
        <f t="shared" si="15"/>
        <v>27579.3867</v>
      </c>
      <c r="AI10" s="75">
        <f t="shared" si="16"/>
        <v>27579.3867</v>
      </c>
      <c r="AJ10" s="76">
        <f t="shared" si="17"/>
        <v>50085.5851224</v>
      </c>
      <c r="AK10" s="74">
        <f t="shared" si="18"/>
        <v>7757.1680778</v>
      </c>
      <c r="AL10" s="76"/>
      <c r="AM10" s="75"/>
      <c r="AN10" s="75">
        <f t="shared" si="19"/>
        <v>334.07620000000003</v>
      </c>
      <c r="AO10" s="75">
        <f t="shared" si="20"/>
        <v>334.07620000000003</v>
      </c>
      <c r="AP10" s="76">
        <f t="shared" si="21"/>
        <v>606.6995664</v>
      </c>
      <c r="AQ10" s="74">
        <f t="shared" si="22"/>
        <v>93.9645708</v>
      </c>
      <c r="AR10" s="75"/>
      <c r="AS10" s="75"/>
      <c r="AT10" s="75">
        <f t="shared" si="23"/>
        <v>281.73490000000004</v>
      </c>
      <c r="AU10" s="75">
        <f t="shared" si="24"/>
        <v>281.73490000000004</v>
      </c>
      <c r="AV10" s="76">
        <f t="shared" si="25"/>
        <v>511.6450728</v>
      </c>
      <c r="AW10" s="74">
        <f t="shared" si="26"/>
        <v>79.2426966</v>
      </c>
      <c r="AX10" s="76"/>
      <c r="AY10" s="75"/>
      <c r="AZ10" s="75">
        <f t="shared" si="27"/>
        <v>11558.8748</v>
      </c>
      <c r="BA10" s="75">
        <f t="shared" si="28"/>
        <v>11558.8748</v>
      </c>
      <c r="BB10" s="76">
        <f t="shared" si="29"/>
        <v>20991.5113056</v>
      </c>
      <c r="BC10" s="74">
        <f t="shared" si="30"/>
        <v>3251.1286632</v>
      </c>
      <c r="BD10" s="76"/>
      <c r="BE10" s="75"/>
      <c r="BF10" s="75">
        <f t="shared" si="31"/>
        <v>23717.575299999997</v>
      </c>
      <c r="BG10" s="75">
        <f t="shared" si="32"/>
        <v>23717.575299999997</v>
      </c>
      <c r="BH10" s="76">
        <f t="shared" si="33"/>
        <v>43072.336941600006</v>
      </c>
      <c r="BI10" s="74">
        <f t="shared" si="34"/>
        <v>6670.9684302000005</v>
      </c>
      <c r="BJ10" s="76"/>
      <c r="BK10" s="75"/>
      <c r="BL10" s="75">
        <f t="shared" si="35"/>
        <v>273.8044</v>
      </c>
      <c r="BM10" s="75">
        <f t="shared" si="36"/>
        <v>273.8044</v>
      </c>
      <c r="BN10" s="76">
        <f t="shared" si="37"/>
        <v>497.24287680000003</v>
      </c>
      <c r="BO10" s="74">
        <f t="shared" si="38"/>
        <v>77.0121096</v>
      </c>
      <c r="BP10" s="76"/>
      <c r="BQ10" s="75"/>
      <c r="BR10" s="75">
        <f t="shared" si="39"/>
        <v>183.9254</v>
      </c>
      <c r="BS10" s="75">
        <f t="shared" si="40"/>
        <v>183.9254</v>
      </c>
      <c r="BT10" s="76">
        <f t="shared" si="41"/>
        <v>334.01798879999996</v>
      </c>
      <c r="BU10" s="74">
        <f t="shared" si="42"/>
        <v>51.732123599999994</v>
      </c>
      <c r="BV10" s="76"/>
      <c r="BW10" s="75"/>
      <c r="BX10" s="75">
        <f t="shared" si="43"/>
        <v>-27.399099999999997</v>
      </c>
      <c r="BY10" s="75">
        <f t="shared" si="44"/>
        <v>-27.399099999999997</v>
      </c>
      <c r="BZ10" s="76">
        <f t="shared" si="45"/>
        <v>-49.7581752</v>
      </c>
      <c r="CA10" s="74">
        <f t="shared" si="46"/>
        <v>-7.7064594</v>
      </c>
      <c r="CB10" s="75"/>
      <c r="CC10" s="75"/>
      <c r="CD10" s="75">
        <f t="shared" si="47"/>
        <v>-17.8514</v>
      </c>
      <c r="CE10" s="75">
        <f t="shared" si="48"/>
        <v>-17.8514</v>
      </c>
      <c r="CF10" s="76">
        <f t="shared" si="49"/>
        <v>-32.4190608</v>
      </c>
      <c r="CG10" s="74">
        <f t="shared" si="50"/>
        <v>-5.0210076</v>
      </c>
      <c r="CH10" s="76"/>
      <c r="CI10" s="75"/>
      <c r="CJ10" s="75">
        <f t="shared" si="51"/>
        <v>663.8606</v>
      </c>
      <c r="CK10" s="75">
        <f t="shared" si="52"/>
        <v>663.8606</v>
      </c>
      <c r="CL10" s="76">
        <f t="shared" si="53"/>
        <v>1205.6050032</v>
      </c>
      <c r="CM10" s="74">
        <f t="shared" si="54"/>
        <v>186.72200039999998</v>
      </c>
      <c r="CN10" s="76"/>
      <c r="CO10" s="75"/>
      <c r="CP10" s="75">
        <f t="shared" si="55"/>
        <v>4082.4970000000003</v>
      </c>
      <c r="CQ10" s="75">
        <f t="shared" si="56"/>
        <v>4082.4970000000003</v>
      </c>
      <c r="CR10" s="76">
        <f t="shared" si="57"/>
        <v>7414.024584</v>
      </c>
      <c r="CS10" s="74">
        <f t="shared" si="58"/>
        <v>1148.271198</v>
      </c>
      <c r="CT10" s="76"/>
      <c r="CU10" s="75"/>
      <c r="CV10" s="75">
        <f t="shared" si="59"/>
        <v>27425.5661</v>
      </c>
      <c r="CW10" s="75">
        <f t="shared" si="60"/>
        <v>27425.5661</v>
      </c>
      <c r="CX10" s="76">
        <f t="shared" si="61"/>
        <v>49806.2389992</v>
      </c>
      <c r="CY10" s="74">
        <f t="shared" si="62"/>
        <v>7713.9034374</v>
      </c>
      <c r="CZ10" s="76"/>
      <c r="DA10" s="75"/>
      <c r="DB10" s="75">
        <f t="shared" si="63"/>
        <v>3956.9151999999995</v>
      </c>
      <c r="DC10" s="75">
        <f t="shared" si="64"/>
        <v>3956.9151999999995</v>
      </c>
      <c r="DD10" s="76">
        <f t="shared" si="65"/>
        <v>7185.9615744</v>
      </c>
      <c r="DE10" s="74">
        <f t="shared" si="66"/>
        <v>1112.9491968</v>
      </c>
      <c r="DF10" s="76"/>
      <c r="DG10" s="75"/>
      <c r="DH10" s="75">
        <f t="shared" si="67"/>
        <v>8085.1292</v>
      </c>
      <c r="DI10" s="75">
        <f t="shared" si="68"/>
        <v>8085.1292</v>
      </c>
      <c r="DJ10" s="76">
        <f t="shared" si="69"/>
        <v>14683.0105824</v>
      </c>
      <c r="DK10" s="74">
        <f t="shared" si="70"/>
        <v>2274.0790728</v>
      </c>
      <c r="DL10" s="76"/>
      <c r="DM10" s="75"/>
      <c r="DN10" s="75">
        <f t="shared" si="71"/>
        <v>1311.2382</v>
      </c>
      <c r="DO10" s="75">
        <f t="shared" si="72"/>
        <v>1311.2382</v>
      </c>
      <c r="DP10" s="76">
        <f t="shared" si="73"/>
        <v>2381.2760304</v>
      </c>
      <c r="DQ10" s="74">
        <f t="shared" si="74"/>
        <v>368.80787879999997</v>
      </c>
      <c r="DR10" s="76"/>
      <c r="DS10" s="75"/>
      <c r="DT10" s="75">
        <f t="shared" si="75"/>
        <v>6726.3702</v>
      </c>
      <c r="DU10" s="75">
        <f t="shared" si="76"/>
        <v>6726.3702</v>
      </c>
      <c r="DV10" s="76">
        <f t="shared" si="77"/>
        <v>12215.4343344</v>
      </c>
      <c r="DW10" s="74">
        <f t="shared" si="78"/>
        <v>1891.9051668</v>
      </c>
      <c r="DX10" s="76"/>
      <c r="DY10" s="75"/>
      <c r="DZ10" s="75">
        <f t="shared" si="79"/>
        <v>60.1163</v>
      </c>
      <c r="EA10" s="75">
        <f t="shared" si="80"/>
        <v>60.1163</v>
      </c>
      <c r="EB10" s="76">
        <f t="shared" si="81"/>
        <v>109.1742936</v>
      </c>
      <c r="EC10" s="74">
        <f t="shared" si="82"/>
        <v>16.9087242</v>
      </c>
      <c r="ED10" s="76"/>
      <c r="EE10" s="75"/>
      <c r="EF10" s="75">
        <f t="shared" si="83"/>
        <v>79.11840000000001</v>
      </c>
      <c r="EG10" s="75">
        <f t="shared" si="84"/>
        <v>79.11840000000001</v>
      </c>
      <c r="EH10" s="76">
        <f t="shared" si="85"/>
        <v>143.6830848</v>
      </c>
      <c r="EI10" s="74">
        <f t="shared" si="86"/>
        <v>22.2533856</v>
      </c>
      <c r="EJ10" s="76"/>
      <c r="EK10" s="75"/>
      <c r="EL10" s="75">
        <f t="shared" si="87"/>
        <v>3986.6157000000003</v>
      </c>
      <c r="EM10" s="75">
        <f t="shared" si="88"/>
        <v>3986.6157000000003</v>
      </c>
      <c r="EN10" s="76">
        <f t="shared" si="89"/>
        <v>7239.8992104</v>
      </c>
      <c r="EO10" s="74">
        <f t="shared" si="90"/>
        <v>1121.3029638</v>
      </c>
      <c r="EP10" s="76"/>
      <c r="EQ10" s="75"/>
      <c r="ER10" s="75">
        <f t="shared" si="91"/>
        <v>75.884</v>
      </c>
      <c r="ES10" s="75">
        <f t="shared" si="92"/>
        <v>75.884</v>
      </c>
      <c r="ET10" s="76">
        <f t="shared" si="93"/>
        <v>137.809248</v>
      </c>
      <c r="EU10" s="74">
        <f t="shared" si="94"/>
        <v>21.343656</v>
      </c>
      <c r="EV10" s="76"/>
      <c r="EW10" s="75"/>
      <c r="EX10" s="75">
        <f t="shared" si="95"/>
        <v>1133.8749</v>
      </c>
      <c r="EY10" s="75">
        <f t="shared" si="96"/>
        <v>1133.8749</v>
      </c>
      <c r="EZ10" s="76">
        <f t="shared" si="97"/>
        <v>2059.1751528</v>
      </c>
      <c r="FA10" s="74">
        <f t="shared" si="98"/>
        <v>318.9214566</v>
      </c>
      <c r="FB10" s="76"/>
      <c r="FC10" s="75"/>
      <c r="FD10" s="75">
        <f t="shared" si="99"/>
        <v>787.6697</v>
      </c>
      <c r="FE10" s="75">
        <f t="shared" si="100"/>
        <v>787.6697</v>
      </c>
      <c r="FF10" s="76">
        <f t="shared" si="101"/>
        <v>1430.4486984</v>
      </c>
      <c r="FG10" s="74">
        <f t="shared" si="102"/>
        <v>221.5453998</v>
      </c>
      <c r="FH10" s="76"/>
      <c r="FI10" s="75"/>
      <c r="FJ10" s="75">
        <f t="shared" si="103"/>
        <v>307.4857</v>
      </c>
      <c r="FK10" s="75">
        <f t="shared" si="104"/>
        <v>307.4857</v>
      </c>
      <c r="FL10" s="76">
        <f t="shared" si="105"/>
        <v>558.4098504</v>
      </c>
      <c r="FM10" s="74">
        <f t="shared" si="106"/>
        <v>86.48554379999999</v>
      </c>
      <c r="FN10" s="76"/>
      <c r="FO10" s="75"/>
      <c r="FP10" s="75">
        <f t="shared" si="107"/>
        <v>3455.5521000000003</v>
      </c>
      <c r="FQ10" s="75">
        <f t="shared" si="108"/>
        <v>3455.5521000000003</v>
      </c>
      <c r="FR10" s="76">
        <f t="shared" si="109"/>
        <v>6275.4603912</v>
      </c>
      <c r="FS10" s="74">
        <f t="shared" si="110"/>
        <v>971.9323614</v>
      </c>
      <c r="FT10" s="76"/>
      <c r="FU10" s="75"/>
      <c r="FV10" s="75">
        <f t="shared" si="111"/>
        <v>7788.1242</v>
      </c>
      <c r="FW10" s="75">
        <f t="shared" si="112"/>
        <v>7788.1242</v>
      </c>
      <c r="FX10" s="76">
        <f t="shared" si="113"/>
        <v>14143.6342224</v>
      </c>
      <c r="FY10" s="74">
        <f t="shared" si="114"/>
        <v>2190.5414028</v>
      </c>
      <c r="FZ10" s="76"/>
      <c r="GA10" s="75"/>
      <c r="GB10" s="75">
        <f t="shared" si="115"/>
        <v>993.8627</v>
      </c>
      <c r="GC10" s="75">
        <f t="shared" si="116"/>
        <v>993.8627</v>
      </c>
      <c r="GD10" s="76">
        <f t="shared" si="117"/>
        <v>1804.9057944</v>
      </c>
      <c r="GE10" s="74">
        <f t="shared" si="118"/>
        <v>279.5406618</v>
      </c>
      <c r="GF10" s="76"/>
      <c r="GG10" s="75"/>
      <c r="GH10" s="75">
        <f t="shared" si="119"/>
        <v>1578.2628</v>
      </c>
      <c r="GI10" s="75">
        <f t="shared" si="120"/>
        <v>1578.2628</v>
      </c>
      <c r="GJ10" s="76">
        <f t="shared" si="121"/>
        <v>2866.2064416</v>
      </c>
      <c r="GK10" s="74">
        <f t="shared" si="122"/>
        <v>443.9130552</v>
      </c>
      <c r="GL10" s="76"/>
      <c r="GM10" s="75"/>
      <c r="GN10" s="75">
        <f t="shared" si="123"/>
        <v>7314.3779</v>
      </c>
      <c r="GO10" s="75">
        <f t="shared" si="124"/>
        <v>7314.3779</v>
      </c>
      <c r="GP10" s="76">
        <f t="shared" si="125"/>
        <v>13283.2865688</v>
      </c>
      <c r="GQ10" s="74">
        <f t="shared" si="126"/>
        <v>2057.2922586</v>
      </c>
      <c r="GR10" s="76"/>
      <c r="GS10" s="75"/>
      <c r="GT10" s="75">
        <f t="shared" si="127"/>
        <v>388.19019999999995</v>
      </c>
      <c r="GU10" s="75">
        <f t="shared" si="128"/>
        <v>388.19019999999995</v>
      </c>
      <c r="GV10" s="76">
        <f t="shared" si="129"/>
        <v>704.9733744</v>
      </c>
      <c r="GW10" s="74">
        <f t="shared" si="130"/>
        <v>109.18504680000001</v>
      </c>
      <c r="GX10" s="76"/>
      <c r="GY10" s="75"/>
      <c r="GZ10" s="75">
        <f t="shared" si="131"/>
        <v>2225.6404</v>
      </c>
      <c r="HA10" s="75">
        <f t="shared" si="132"/>
        <v>2225.6404</v>
      </c>
      <c r="HB10" s="76">
        <f t="shared" si="133"/>
        <v>4041.8774688000003</v>
      </c>
      <c r="HC10" s="74">
        <f t="shared" si="134"/>
        <v>625.9989336</v>
      </c>
      <c r="HD10" s="76"/>
      <c r="HE10" s="76"/>
      <c r="HF10" s="76"/>
      <c r="HG10" s="76"/>
      <c r="HH10" s="76"/>
      <c r="HI10" s="76"/>
    </row>
    <row r="11" spans="1:217" s="52" customFormat="1" ht="12.75">
      <c r="A11" s="51">
        <v>45017</v>
      </c>
      <c r="C11" s="36">
        <v>5470000</v>
      </c>
      <c r="D11" s="36">
        <v>311000</v>
      </c>
      <c r="E11" s="74">
        <f t="shared" si="0"/>
        <v>5781000</v>
      </c>
      <c r="F11" s="74">
        <v>564792</v>
      </c>
      <c r="G11" s="74">
        <v>87474</v>
      </c>
      <c r="H11" s="76"/>
      <c r="I11" s="76">
        <f>O11+U11+AA11+AG11+AM11+AS11+AY11+BE11+BK11+BQ11+BW11+CC11+CI11+CO11+CU11+DA11+DG11+DM11+DS11+DY11+EE11+EK11+EQ11+EW11+FC11+FI11+FO11+FU11+GA11+GG11+GM11+GS11+GY11</f>
        <v>2969257.6729999995</v>
      </c>
      <c r="J11" s="76">
        <f t="shared" si="1"/>
        <v>168818.85489999998</v>
      </c>
      <c r="K11" s="76">
        <f t="shared" si="2"/>
        <v>3138076.5278999996</v>
      </c>
      <c r="L11" s="76">
        <f t="shared" si="3"/>
        <v>306583.7257128</v>
      </c>
      <c r="M11" s="76">
        <f t="shared" si="3"/>
        <v>47483.1527766</v>
      </c>
      <c r="N11" s="76"/>
      <c r="O11" s="75">
        <f>C11*6.61452/100</f>
        <v>361814.244</v>
      </c>
      <c r="P11" s="75">
        <f t="shared" si="4"/>
        <v>20571.1572</v>
      </c>
      <c r="Q11" s="76">
        <f>O11+P11</f>
        <v>382385.4012</v>
      </c>
      <c r="R11" s="76">
        <f t="shared" si="5"/>
        <v>37358.2797984</v>
      </c>
      <c r="S11" s="74">
        <f t="shared" si="6"/>
        <v>5785.9852248</v>
      </c>
      <c r="T11" s="76"/>
      <c r="U11" s="75">
        <f>C11*0.11296/100</f>
        <v>6178.912</v>
      </c>
      <c r="V11" s="75">
        <f t="shared" si="7"/>
        <v>351.3056</v>
      </c>
      <c r="W11" s="75">
        <f t="shared" si="8"/>
        <v>6530.2176</v>
      </c>
      <c r="X11" s="76">
        <f t="shared" si="9"/>
        <v>637.9890432</v>
      </c>
      <c r="Y11" s="74">
        <f t="shared" si="10"/>
        <v>98.8106304</v>
      </c>
      <c r="Z11" s="76"/>
      <c r="AA11" s="76">
        <f>C11*0.50994/100</f>
        <v>27893.717999999997</v>
      </c>
      <c r="AB11" s="75">
        <f t="shared" si="11"/>
        <v>1585.9134</v>
      </c>
      <c r="AC11" s="75">
        <f t="shared" si="12"/>
        <v>29479.6314</v>
      </c>
      <c r="AD11" s="76">
        <f t="shared" si="13"/>
        <v>2880.1003247999997</v>
      </c>
      <c r="AE11" s="74">
        <f t="shared" si="14"/>
        <v>446.06491559999995</v>
      </c>
      <c r="AF11" s="76"/>
      <c r="AG11" s="75">
        <f>C11*8.86797/100</f>
        <v>485077.959</v>
      </c>
      <c r="AH11" s="75">
        <f t="shared" si="15"/>
        <v>27579.3867</v>
      </c>
      <c r="AI11" s="75">
        <f t="shared" si="16"/>
        <v>512657.34569999995</v>
      </c>
      <c r="AJ11" s="76">
        <f t="shared" si="17"/>
        <v>50085.5851224</v>
      </c>
      <c r="AK11" s="74">
        <f t="shared" si="18"/>
        <v>7757.1680778</v>
      </c>
      <c r="AL11" s="76"/>
      <c r="AM11" s="75">
        <f>C11*0.10742/100</f>
        <v>5875.874</v>
      </c>
      <c r="AN11" s="75">
        <f t="shared" si="19"/>
        <v>334.07620000000003</v>
      </c>
      <c r="AO11" s="75">
        <f t="shared" si="20"/>
        <v>6209.9502</v>
      </c>
      <c r="AP11" s="76">
        <f t="shared" si="21"/>
        <v>606.6995664</v>
      </c>
      <c r="AQ11" s="74">
        <f t="shared" si="22"/>
        <v>93.9645708</v>
      </c>
      <c r="AR11" s="75"/>
      <c r="AS11" s="75">
        <f>C11*0.09059/100</f>
        <v>4955.273</v>
      </c>
      <c r="AT11" s="75">
        <f t="shared" si="23"/>
        <v>281.73490000000004</v>
      </c>
      <c r="AU11" s="75">
        <f t="shared" si="24"/>
        <v>5237.0079000000005</v>
      </c>
      <c r="AV11" s="76">
        <f t="shared" si="25"/>
        <v>511.6450728</v>
      </c>
      <c r="AW11" s="74">
        <f t="shared" si="26"/>
        <v>79.2426966</v>
      </c>
      <c r="AX11" s="76"/>
      <c r="AY11" s="75">
        <f>C11*3.71668/100</f>
        <v>203302.396</v>
      </c>
      <c r="AZ11" s="75">
        <f t="shared" si="27"/>
        <v>11558.8748</v>
      </c>
      <c r="BA11" s="75">
        <f t="shared" si="28"/>
        <v>214861.2708</v>
      </c>
      <c r="BB11" s="76">
        <f t="shared" si="29"/>
        <v>20991.5113056</v>
      </c>
      <c r="BC11" s="74">
        <f t="shared" si="30"/>
        <v>3251.1286632</v>
      </c>
      <c r="BD11" s="76"/>
      <c r="BE11" s="75">
        <f>C11*7.62623/100</f>
        <v>417154.781</v>
      </c>
      <c r="BF11" s="75">
        <f t="shared" si="31"/>
        <v>23717.575299999997</v>
      </c>
      <c r="BG11" s="75">
        <f t="shared" si="32"/>
        <v>440872.3563</v>
      </c>
      <c r="BH11" s="76">
        <f t="shared" si="33"/>
        <v>43072.336941600006</v>
      </c>
      <c r="BI11" s="74">
        <f t="shared" si="34"/>
        <v>6670.9684302000005</v>
      </c>
      <c r="BJ11" s="76"/>
      <c r="BK11" s="75">
        <f>C11*0.08804/100</f>
        <v>4815.788</v>
      </c>
      <c r="BL11" s="75">
        <f t="shared" si="35"/>
        <v>273.8044</v>
      </c>
      <c r="BM11" s="75">
        <f t="shared" si="36"/>
        <v>5089.5923999999995</v>
      </c>
      <c r="BN11" s="76">
        <f t="shared" si="37"/>
        <v>497.24287680000003</v>
      </c>
      <c r="BO11" s="74">
        <f t="shared" si="38"/>
        <v>77.0121096</v>
      </c>
      <c r="BP11" s="76"/>
      <c r="BQ11" s="75">
        <f>C11*0.05914/100</f>
        <v>3234.958</v>
      </c>
      <c r="BR11" s="75">
        <f t="shared" si="39"/>
        <v>183.9254</v>
      </c>
      <c r="BS11" s="75">
        <f t="shared" si="40"/>
        <v>3418.8834</v>
      </c>
      <c r="BT11" s="76">
        <f t="shared" si="41"/>
        <v>334.01798879999996</v>
      </c>
      <c r="BU11" s="74">
        <f t="shared" si="42"/>
        <v>51.732123599999994</v>
      </c>
      <c r="BV11" s="76"/>
      <c r="BW11" s="75">
        <f>C11*-0.00881/100</f>
        <v>-481.907</v>
      </c>
      <c r="BX11" s="75">
        <f t="shared" si="43"/>
        <v>-27.399099999999997</v>
      </c>
      <c r="BY11" s="75">
        <f t="shared" si="44"/>
        <v>-509.30609999999996</v>
      </c>
      <c r="BZ11" s="76">
        <f t="shared" si="45"/>
        <v>-49.7581752</v>
      </c>
      <c r="CA11" s="74">
        <f t="shared" si="46"/>
        <v>-7.7064594</v>
      </c>
      <c r="CB11" s="75"/>
      <c r="CC11" s="75">
        <f>C11*-0.00574/100</f>
        <v>-313.978</v>
      </c>
      <c r="CD11" s="75">
        <f t="shared" si="47"/>
        <v>-17.8514</v>
      </c>
      <c r="CE11" s="75">
        <f t="shared" si="48"/>
        <v>-331.8294</v>
      </c>
      <c r="CF11" s="76">
        <f t="shared" si="49"/>
        <v>-32.4190608</v>
      </c>
      <c r="CG11" s="74">
        <f t="shared" si="50"/>
        <v>-5.0210076</v>
      </c>
      <c r="CH11" s="76"/>
      <c r="CI11" s="75">
        <f>C11*0.21346/100</f>
        <v>11676.261999999999</v>
      </c>
      <c r="CJ11" s="75">
        <f t="shared" si="51"/>
        <v>663.8606</v>
      </c>
      <c r="CK11" s="75">
        <f t="shared" si="52"/>
        <v>12340.122599999999</v>
      </c>
      <c r="CL11" s="76">
        <f t="shared" si="53"/>
        <v>1205.6050032</v>
      </c>
      <c r="CM11" s="74">
        <f t="shared" si="54"/>
        <v>186.72200039999998</v>
      </c>
      <c r="CN11" s="76"/>
      <c r="CO11" s="75">
        <f>C11*1.3127/100</f>
        <v>71804.69</v>
      </c>
      <c r="CP11" s="75">
        <f t="shared" si="55"/>
        <v>4082.4970000000003</v>
      </c>
      <c r="CQ11" s="75">
        <f t="shared" si="56"/>
        <v>75887.187</v>
      </c>
      <c r="CR11" s="76">
        <f t="shared" si="57"/>
        <v>7414.024584</v>
      </c>
      <c r="CS11" s="74">
        <f t="shared" si="58"/>
        <v>1148.271198</v>
      </c>
      <c r="CT11" s="76"/>
      <c r="CU11" s="75">
        <f>C11*8.81851/100</f>
        <v>482372.497</v>
      </c>
      <c r="CV11" s="75">
        <f t="shared" si="59"/>
        <v>27425.5661</v>
      </c>
      <c r="CW11" s="75">
        <f t="shared" si="60"/>
        <v>509798.06309999997</v>
      </c>
      <c r="CX11" s="76">
        <f t="shared" si="61"/>
        <v>49806.2389992</v>
      </c>
      <c r="CY11" s="74">
        <f t="shared" si="62"/>
        <v>7713.9034374</v>
      </c>
      <c r="CZ11" s="76"/>
      <c r="DA11" s="75">
        <f>C11*1.27232/100</f>
        <v>69595.904</v>
      </c>
      <c r="DB11" s="75">
        <f t="shared" si="63"/>
        <v>3956.9151999999995</v>
      </c>
      <c r="DC11" s="75">
        <f t="shared" si="64"/>
        <v>73552.8192</v>
      </c>
      <c r="DD11" s="76">
        <f t="shared" si="65"/>
        <v>7185.9615744</v>
      </c>
      <c r="DE11" s="74">
        <f t="shared" si="66"/>
        <v>1112.9491968</v>
      </c>
      <c r="DF11" s="76"/>
      <c r="DG11" s="75">
        <f>C11*2.59972/100</f>
        <v>142204.684</v>
      </c>
      <c r="DH11" s="75">
        <f t="shared" si="67"/>
        <v>8085.1292</v>
      </c>
      <c r="DI11" s="75">
        <f t="shared" si="68"/>
        <v>150289.8132</v>
      </c>
      <c r="DJ11" s="76">
        <f t="shared" si="69"/>
        <v>14683.0105824</v>
      </c>
      <c r="DK11" s="74">
        <f t="shared" si="70"/>
        <v>2274.0790728</v>
      </c>
      <c r="DL11" s="76"/>
      <c r="DM11" s="75">
        <f>C11*0.42162/100</f>
        <v>23062.613999999998</v>
      </c>
      <c r="DN11" s="75">
        <f t="shared" si="71"/>
        <v>1311.2382</v>
      </c>
      <c r="DO11" s="75">
        <f t="shared" si="72"/>
        <v>24373.852199999998</v>
      </c>
      <c r="DP11" s="76">
        <f t="shared" si="73"/>
        <v>2381.2760304</v>
      </c>
      <c r="DQ11" s="74">
        <f t="shared" si="74"/>
        <v>368.80787879999997</v>
      </c>
      <c r="DR11" s="76"/>
      <c r="DS11" s="75">
        <f>C11*2.16282/100</f>
        <v>118306.254</v>
      </c>
      <c r="DT11" s="75">
        <f t="shared" si="75"/>
        <v>6726.3702</v>
      </c>
      <c r="DU11" s="75">
        <f t="shared" si="76"/>
        <v>125032.6242</v>
      </c>
      <c r="DV11" s="76">
        <f t="shared" si="77"/>
        <v>12215.4343344</v>
      </c>
      <c r="DW11" s="74">
        <f t="shared" si="78"/>
        <v>1891.9051668</v>
      </c>
      <c r="DX11" s="76"/>
      <c r="DY11" s="75">
        <f>C11*0.01933/100</f>
        <v>1057.351</v>
      </c>
      <c r="DZ11" s="75">
        <f t="shared" si="79"/>
        <v>60.1163</v>
      </c>
      <c r="EA11" s="75">
        <f t="shared" si="80"/>
        <v>1117.4673</v>
      </c>
      <c r="EB11" s="76">
        <f t="shared" si="81"/>
        <v>109.1742936</v>
      </c>
      <c r="EC11" s="74">
        <f t="shared" si="82"/>
        <v>16.9087242</v>
      </c>
      <c r="ED11" s="76"/>
      <c r="EE11" s="75">
        <f>C11*0.02544/100</f>
        <v>1391.5680000000002</v>
      </c>
      <c r="EF11" s="75">
        <f t="shared" si="83"/>
        <v>79.11840000000001</v>
      </c>
      <c r="EG11" s="75">
        <f t="shared" si="84"/>
        <v>1470.6864000000003</v>
      </c>
      <c r="EH11" s="76">
        <f t="shared" si="85"/>
        <v>143.6830848</v>
      </c>
      <c r="EI11" s="74">
        <f t="shared" si="86"/>
        <v>22.2533856</v>
      </c>
      <c r="EJ11" s="76"/>
      <c r="EK11" s="75">
        <f>C11*1.28187/100</f>
        <v>70118.289</v>
      </c>
      <c r="EL11" s="75">
        <f t="shared" si="87"/>
        <v>3986.6157000000003</v>
      </c>
      <c r="EM11" s="75">
        <f t="shared" si="88"/>
        <v>74104.9047</v>
      </c>
      <c r="EN11" s="76">
        <f t="shared" si="89"/>
        <v>7239.8992104</v>
      </c>
      <c r="EO11" s="74">
        <f t="shared" si="90"/>
        <v>1121.3029638</v>
      </c>
      <c r="EP11" s="76"/>
      <c r="EQ11" s="75">
        <f>C11*0.0244/100</f>
        <v>1334.68</v>
      </c>
      <c r="ER11" s="75">
        <f t="shared" si="91"/>
        <v>75.884</v>
      </c>
      <c r="ES11" s="75">
        <f t="shared" si="92"/>
        <v>1410.564</v>
      </c>
      <c r="ET11" s="76">
        <f t="shared" si="93"/>
        <v>137.809248</v>
      </c>
      <c r="EU11" s="74">
        <f t="shared" si="94"/>
        <v>21.343656</v>
      </c>
      <c r="EV11" s="76"/>
      <c r="EW11" s="75">
        <f>C11*0.36459/100</f>
        <v>19943.073</v>
      </c>
      <c r="EX11" s="75">
        <f t="shared" si="95"/>
        <v>1133.8749</v>
      </c>
      <c r="EY11" s="75">
        <f t="shared" si="96"/>
        <v>21076.9479</v>
      </c>
      <c r="EZ11" s="76">
        <f t="shared" si="97"/>
        <v>2059.1751528</v>
      </c>
      <c r="FA11" s="74">
        <f t="shared" si="98"/>
        <v>318.9214566</v>
      </c>
      <c r="FB11" s="76"/>
      <c r="FC11" s="75">
        <f>C11*0.25327/100</f>
        <v>13853.868999999999</v>
      </c>
      <c r="FD11" s="75">
        <f t="shared" si="99"/>
        <v>787.6697</v>
      </c>
      <c r="FE11" s="75">
        <f t="shared" si="100"/>
        <v>14641.5387</v>
      </c>
      <c r="FF11" s="76">
        <f t="shared" si="101"/>
        <v>1430.4486984</v>
      </c>
      <c r="FG11" s="74">
        <f t="shared" si="102"/>
        <v>221.5453998</v>
      </c>
      <c r="FH11" s="76"/>
      <c r="FI11" s="75">
        <f>C11*0.09887/100</f>
        <v>5408.189</v>
      </c>
      <c r="FJ11" s="75">
        <f t="shared" si="103"/>
        <v>307.4857</v>
      </c>
      <c r="FK11" s="75">
        <f t="shared" si="104"/>
        <v>5715.6747000000005</v>
      </c>
      <c r="FL11" s="76">
        <f t="shared" si="105"/>
        <v>558.4098504</v>
      </c>
      <c r="FM11" s="74">
        <f t="shared" si="106"/>
        <v>86.48554379999999</v>
      </c>
      <c r="FN11" s="76"/>
      <c r="FO11" s="75">
        <f>C11*1.11111/100</f>
        <v>60777.717000000004</v>
      </c>
      <c r="FP11" s="75">
        <f t="shared" si="107"/>
        <v>3455.5521000000003</v>
      </c>
      <c r="FQ11" s="75">
        <f t="shared" si="108"/>
        <v>64233.269100000005</v>
      </c>
      <c r="FR11" s="76">
        <f t="shared" si="109"/>
        <v>6275.4603912</v>
      </c>
      <c r="FS11" s="74">
        <f t="shared" si="110"/>
        <v>971.9323614</v>
      </c>
      <c r="FT11" s="76"/>
      <c r="FU11" s="75">
        <f>C11*2.50422/100</f>
        <v>136980.834</v>
      </c>
      <c r="FV11" s="75">
        <f t="shared" si="111"/>
        <v>7788.1242</v>
      </c>
      <c r="FW11" s="75">
        <f t="shared" si="112"/>
        <v>144768.9582</v>
      </c>
      <c r="FX11" s="76">
        <f t="shared" si="113"/>
        <v>14143.6342224</v>
      </c>
      <c r="FY11" s="74">
        <f t="shared" si="114"/>
        <v>2190.5414028</v>
      </c>
      <c r="FZ11" s="76"/>
      <c r="GA11" s="75">
        <f>C11*0.31957/100</f>
        <v>17480.479000000003</v>
      </c>
      <c r="GB11" s="75">
        <f t="shared" si="115"/>
        <v>993.8627</v>
      </c>
      <c r="GC11" s="75">
        <f t="shared" si="116"/>
        <v>18474.341700000004</v>
      </c>
      <c r="GD11" s="76">
        <f t="shared" si="117"/>
        <v>1804.9057944</v>
      </c>
      <c r="GE11" s="74">
        <f t="shared" si="118"/>
        <v>279.5406618</v>
      </c>
      <c r="GF11" s="76"/>
      <c r="GG11" s="75">
        <f>C11*0.50748/100</f>
        <v>27759.156000000003</v>
      </c>
      <c r="GH11" s="75">
        <f t="shared" si="119"/>
        <v>1578.2628</v>
      </c>
      <c r="GI11" s="75">
        <f t="shared" si="120"/>
        <v>29337.418800000003</v>
      </c>
      <c r="GJ11" s="76">
        <f t="shared" si="121"/>
        <v>2866.2064416</v>
      </c>
      <c r="GK11" s="74">
        <f t="shared" si="122"/>
        <v>443.9130552</v>
      </c>
      <c r="GL11" s="76"/>
      <c r="GM11" s="75">
        <f>C11*2.35189/100</f>
        <v>128648.383</v>
      </c>
      <c r="GN11" s="75">
        <f t="shared" si="123"/>
        <v>7314.3779</v>
      </c>
      <c r="GO11" s="75">
        <f t="shared" si="124"/>
        <v>135962.7609</v>
      </c>
      <c r="GP11" s="76">
        <f t="shared" si="125"/>
        <v>13283.2865688</v>
      </c>
      <c r="GQ11" s="74">
        <f t="shared" si="126"/>
        <v>2057.2922586</v>
      </c>
      <c r="GR11" s="76"/>
      <c r="GS11" s="75">
        <f>C11*0.12482/100</f>
        <v>6827.654</v>
      </c>
      <c r="GT11" s="75">
        <f t="shared" si="127"/>
        <v>388.19019999999995</v>
      </c>
      <c r="GU11" s="75">
        <f t="shared" si="128"/>
        <v>7215.8442000000005</v>
      </c>
      <c r="GV11" s="76">
        <f t="shared" si="129"/>
        <v>704.9733744</v>
      </c>
      <c r="GW11" s="74">
        <f t="shared" si="130"/>
        <v>109.18504680000001</v>
      </c>
      <c r="GX11" s="76"/>
      <c r="GY11" s="75">
        <f>C11*0.71564/100</f>
        <v>39145.508</v>
      </c>
      <c r="GZ11" s="75">
        <f t="shared" si="131"/>
        <v>2225.6404</v>
      </c>
      <c r="HA11" s="75">
        <f t="shared" si="132"/>
        <v>41371.148400000005</v>
      </c>
      <c r="HB11" s="76">
        <f t="shared" si="133"/>
        <v>4041.8774688000003</v>
      </c>
      <c r="HC11" s="74">
        <f t="shared" si="134"/>
        <v>625.9989336</v>
      </c>
      <c r="HD11" s="76"/>
      <c r="HE11" s="76"/>
      <c r="HF11" s="76"/>
      <c r="HG11" s="76"/>
      <c r="HH11" s="76"/>
      <c r="HI11" s="76"/>
    </row>
    <row r="12" spans="1:217" s="52" customFormat="1" ht="12.75">
      <c r="A12" s="51">
        <v>45200</v>
      </c>
      <c r="C12" s="36"/>
      <c r="D12" s="36">
        <v>174250</v>
      </c>
      <c r="E12" s="74">
        <f t="shared" si="0"/>
        <v>174250</v>
      </c>
      <c r="F12" s="74">
        <v>564792</v>
      </c>
      <c r="G12" s="74">
        <v>87474</v>
      </c>
      <c r="H12" s="76"/>
      <c r="I12" s="76"/>
      <c r="J12" s="76">
        <f t="shared" si="1"/>
        <v>94587.41307500002</v>
      </c>
      <c r="K12" s="76">
        <f t="shared" si="2"/>
        <v>94587.41307500002</v>
      </c>
      <c r="L12" s="76">
        <f t="shared" si="3"/>
        <v>306583.7257128</v>
      </c>
      <c r="M12" s="76">
        <f t="shared" si="3"/>
        <v>47483.1527766</v>
      </c>
      <c r="N12" s="76"/>
      <c r="O12" s="75"/>
      <c r="P12" s="75">
        <f t="shared" si="4"/>
        <v>11525.801099999999</v>
      </c>
      <c r="Q12" s="76">
        <f>O12+P12</f>
        <v>11525.801099999999</v>
      </c>
      <c r="R12" s="76">
        <f t="shared" si="5"/>
        <v>37358.2797984</v>
      </c>
      <c r="S12" s="74">
        <f t="shared" si="6"/>
        <v>5785.9852248</v>
      </c>
      <c r="T12" s="76"/>
      <c r="U12" s="75"/>
      <c r="V12" s="75">
        <f t="shared" si="7"/>
        <v>196.83280000000002</v>
      </c>
      <c r="W12" s="75">
        <f t="shared" si="8"/>
        <v>196.83280000000002</v>
      </c>
      <c r="X12" s="76">
        <f t="shared" si="9"/>
        <v>637.9890432</v>
      </c>
      <c r="Y12" s="74">
        <f t="shared" si="10"/>
        <v>98.8106304</v>
      </c>
      <c r="Z12" s="76"/>
      <c r="AA12" s="76"/>
      <c r="AB12" s="75">
        <f t="shared" si="11"/>
        <v>888.5704499999999</v>
      </c>
      <c r="AC12" s="75">
        <f t="shared" si="12"/>
        <v>888.5704499999999</v>
      </c>
      <c r="AD12" s="76">
        <f t="shared" si="13"/>
        <v>2880.1003247999997</v>
      </c>
      <c r="AE12" s="74">
        <f t="shared" si="14"/>
        <v>446.06491559999995</v>
      </c>
      <c r="AF12" s="76"/>
      <c r="AG12" s="75"/>
      <c r="AH12" s="75">
        <f t="shared" si="15"/>
        <v>15452.437725</v>
      </c>
      <c r="AI12" s="75">
        <f t="shared" si="16"/>
        <v>15452.437725</v>
      </c>
      <c r="AJ12" s="76">
        <f t="shared" si="17"/>
        <v>50085.5851224</v>
      </c>
      <c r="AK12" s="74">
        <f t="shared" si="18"/>
        <v>7757.1680778</v>
      </c>
      <c r="AL12" s="76"/>
      <c r="AM12" s="75"/>
      <c r="AN12" s="75">
        <f t="shared" si="19"/>
        <v>187.17935</v>
      </c>
      <c r="AO12" s="75">
        <f t="shared" si="20"/>
        <v>187.17935</v>
      </c>
      <c r="AP12" s="76">
        <f t="shared" si="21"/>
        <v>606.6995664</v>
      </c>
      <c r="AQ12" s="74">
        <f t="shared" si="22"/>
        <v>93.9645708</v>
      </c>
      <c r="AR12" s="75"/>
      <c r="AS12" s="75"/>
      <c r="AT12" s="75">
        <f t="shared" si="23"/>
        <v>157.85307500000002</v>
      </c>
      <c r="AU12" s="75">
        <f t="shared" si="24"/>
        <v>157.85307500000002</v>
      </c>
      <c r="AV12" s="76">
        <f t="shared" si="25"/>
        <v>511.6450728</v>
      </c>
      <c r="AW12" s="74">
        <f t="shared" si="26"/>
        <v>79.2426966</v>
      </c>
      <c r="AX12" s="76"/>
      <c r="AY12" s="75"/>
      <c r="AZ12" s="75">
        <f t="shared" si="27"/>
        <v>6476.3149</v>
      </c>
      <c r="BA12" s="75">
        <f t="shared" si="28"/>
        <v>6476.3149</v>
      </c>
      <c r="BB12" s="76">
        <f t="shared" si="29"/>
        <v>20991.5113056</v>
      </c>
      <c r="BC12" s="74">
        <f t="shared" si="30"/>
        <v>3251.1286632</v>
      </c>
      <c r="BD12" s="76"/>
      <c r="BE12" s="75"/>
      <c r="BF12" s="75">
        <f t="shared" si="31"/>
        <v>13288.705774999999</v>
      </c>
      <c r="BG12" s="75">
        <f t="shared" si="32"/>
        <v>13288.705774999999</v>
      </c>
      <c r="BH12" s="76">
        <f t="shared" si="33"/>
        <v>43072.336941600006</v>
      </c>
      <c r="BI12" s="74">
        <f t="shared" si="34"/>
        <v>6670.9684302000005</v>
      </c>
      <c r="BJ12" s="76"/>
      <c r="BK12" s="75"/>
      <c r="BL12" s="75">
        <f t="shared" si="35"/>
        <v>153.4097</v>
      </c>
      <c r="BM12" s="75">
        <f t="shared" si="36"/>
        <v>153.4097</v>
      </c>
      <c r="BN12" s="76">
        <f t="shared" si="37"/>
        <v>497.24287680000003</v>
      </c>
      <c r="BO12" s="74">
        <f t="shared" si="38"/>
        <v>77.0121096</v>
      </c>
      <c r="BP12" s="76"/>
      <c r="BQ12" s="75"/>
      <c r="BR12" s="75">
        <f t="shared" si="39"/>
        <v>103.05145</v>
      </c>
      <c r="BS12" s="75">
        <f t="shared" si="40"/>
        <v>103.05145</v>
      </c>
      <c r="BT12" s="76">
        <f t="shared" si="41"/>
        <v>334.01798879999996</v>
      </c>
      <c r="BU12" s="74">
        <f t="shared" si="42"/>
        <v>51.732123599999994</v>
      </c>
      <c r="BV12" s="76"/>
      <c r="BW12" s="75"/>
      <c r="BX12" s="75">
        <f t="shared" si="43"/>
        <v>-15.351424999999999</v>
      </c>
      <c r="BY12" s="75">
        <f t="shared" si="44"/>
        <v>-15.351424999999999</v>
      </c>
      <c r="BZ12" s="76">
        <f t="shared" si="45"/>
        <v>-49.7581752</v>
      </c>
      <c r="CA12" s="74">
        <f t="shared" si="46"/>
        <v>-7.7064594</v>
      </c>
      <c r="CB12" s="75"/>
      <c r="CC12" s="75"/>
      <c r="CD12" s="75">
        <f t="shared" si="47"/>
        <v>-10.00195</v>
      </c>
      <c r="CE12" s="75">
        <f t="shared" si="48"/>
        <v>-10.00195</v>
      </c>
      <c r="CF12" s="76">
        <f t="shared" si="49"/>
        <v>-32.4190608</v>
      </c>
      <c r="CG12" s="74">
        <f t="shared" si="50"/>
        <v>-5.0210076</v>
      </c>
      <c r="CH12" s="76"/>
      <c r="CI12" s="75"/>
      <c r="CJ12" s="75">
        <f t="shared" si="51"/>
        <v>371.95405</v>
      </c>
      <c r="CK12" s="75">
        <f t="shared" si="52"/>
        <v>371.95405</v>
      </c>
      <c r="CL12" s="76">
        <f t="shared" si="53"/>
        <v>1205.6050032</v>
      </c>
      <c r="CM12" s="74">
        <f t="shared" si="54"/>
        <v>186.72200039999998</v>
      </c>
      <c r="CN12" s="76"/>
      <c r="CO12" s="75"/>
      <c r="CP12" s="75">
        <f t="shared" si="55"/>
        <v>2287.37975</v>
      </c>
      <c r="CQ12" s="75">
        <f t="shared" si="56"/>
        <v>2287.37975</v>
      </c>
      <c r="CR12" s="76">
        <f t="shared" si="57"/>
        <v>7414.024584</v>
      </c>
      <c r="CS12" s="74">
        <f t="shared" si="58"/>
        <v>1148.271198</v>
      </c>
      <c r="CT12" s="76"/>
      <c r="CU12" s="75"/>
      <c r="CV12" s="75">
        <f t="shared" si="59"/>
        <v>15366.253675</v>
      </c>
      <c r="CW12" s="75">
        <f t="shared" si="60"/>
        <v>15366.253675</v>
      </c>
      <c r="CX12" s="76">
        <f t="shared" si="61"/>
        <v>49806.2389992</v>
      </c>
      <c r="CY12" s="74">
        <f t="shared" si="62"/>
        <v>7713.9034374</v>
      </c>
      <c r="CZ12" s="76"/>
      <c r="DA12" s="75"/>
      <c r="DB12" s="75">
        <f t="shared" si="63"/>
        <v>2217.0175999999997</v>
      </c>
      <c r="DC12" s="75">
        <f t="shared" si="64"/>
        <v>2217.0175999999997</v>
      </c>
      <c r="DD12" s="76">
        <f t="shared" si="65"/>
        <v>7185.9615744</v>
      </c>
      <c r="DE12" s="74">
        <f t="shared" si="66"/>
        <v>1112.9491968</v>
      </c>
      <c r="DF12" s="76"/>
      <c r="DG12" s="75"/>
      <c r="DH12" s="75">
        <f t="shared" si="67"/>
        <v>4530.0121</v>
      </c>
      <c r="DI12" s="75">
        <f t="shared" si="68"/>
        <v>4530.0121</v>
      </c>
      <c r="DJ12" s="76">
        <f t="shared" si="69"/>
        <v>14683.0105824</v>
      </c>
      <c r="DK12" s="74">
        <f t="shared" si="70"/>
        <v>2274.0790728</v>
      </c>
      <c r="DL12" s="76"/>
      <c r="DM12" s="75"/>
      <c r="DN12" s="75">
        <f t="shared" si="71"/>
        <v>734.67285</v>
      </c>
      <c r="DO12" s="75">
        <f t="shared" si="72"/>
        <v>734.67285</v>
      </c>
      <c r="DP12" s="76">
        <f t="shared" si="73"/>
        <v>2381.2760304</v>
      </c>
      <c r="DQ12" s="74">
        <f t="shared" si="74"/>
        <v>368.80787879999997</v>
      </c>
      <c r="DR12" s="76"/>
      <c r="DS12" s="75"/>
      <c r="DT12" s="75">
        <f t="shared" si="75"/>
        <v>3768.71385</v>
      </c>
      <c r="DU12" s="75">
        <f t="shared" si="76"/>
        <v>3768.71385</v>
      </c>
      <c r="DV12" s="76">
        <f t="shared" si="77"/>
        <v>12215.4343344</v>
      </c>
      <c r="DW12" s="74">
        <f t="shared" si="78"/>
        <v>1891.9051668</v>
      </c>
      <c r="DX12" s="76"/>
      <c r="DY12" s="75"/>
      <c r="DZ12" s="75">
        <f t="shared" si="79"/>
        <v>33.682525</v>
      </c>
      <c r="EA12" s="75">
        <f t="shared" si="80"/>
        <v>33.682525</v>
      </c>
      <c r="EB12" s="76">
        <f t="shared" si="81"/>
        <v>109.1742936</v>
      </c>
      <c r="EC12" s="74">
        <f t="shared" si="82"/>
        <v>16.9087242</v>
      </c>
      <c r="ED12" s="76"/>
      <c r="EE12" s="75"/>
      <c r="EF12" s="75">
        <f t="shared" si="83"/>
        <v>44.3292</v>
      </c>
      <c r="EG12" s="75">
        <f t="shared" si="84"/>
        <v>44.3292</v>
      </c>
      <c r="EH12" s="76">
        <f t="shared" si="85"/>
        <v>143.6830848</v>
      </c>
      <c r="EI12" s="74">
        <f t="shared" si="86"/>
        <v>22.2533856</v>
      </c>
      <c r="EJ12" s="76"/>
      <c r="EK12" s="75"/>
      <c r="EL12" s="75">
        <f t="shared" si="87"/>
        <v>2233.658475</v>
      </c>
      <c r="EM12" s="75">
        <f t="shared" si="88"/>
        <v>2233.658475</v>
      </c>
      <c r="EN12" s="76">
        <f t="shared" si="89"/>
        <v>7239.8992104</v>
      </c>
      <c r="EO12" s="74">
        <f t="shared" si="90"/>
        <v>1121.3029638</v>
      </c>
      <c r="EP12" s="76"/>
      <c r="EQ12" s="75"/>
      <c r="ER12" s="75">
        <f t="shared" si="91"/>
        <v>42.516999999999996</v>
      </c>
      <c r="ES12" s="75">
        <f t="shared" si="92"/>
        <v>42.516999999999996</v>
      </c>
      <c r="ET12" s="76">
        <f t="shared" si="93"/>
        <v>137.809248</v>
      </c>
      <c r="EU12" s="74">
        <f t="shared" si="94"/>
        <v>21.343656</v>
      </c>
      <c r="EV12" s="76"/>
      <c r="EW12" s="75"/>
      <c r="EX12" s="75">
        <f t="shared" si="95"/>
        <v>635.298075</v>
      </c>
      <c r="EY12" s="75">
        <f t="shared" si="96"/>
        <v>635.298075</v>
      </c>
      <c r="EZ12" s="76">
        <f t="shared" si="97"/>
        <v>2059.1751528</v>
      </c>
      <c r="FA12" s="74">
        <f t="shared" si="98"/>
        <v>318.9214566</v>
      </c>
      <c r="FB12" s="76"/>
      <c r="FC12" s="75"/>
      <c r="FD12" s="75">
        <f t="shared" si="99"/>
        <v>441.322975</v>
      </c>
      <c r="FE12" s="75">
        <f t="shared" si="100"/>
        <v>441.322975</v>
      </c>
      <c r="FF12" s="76">
        <f t="shared" si="101"/>
        <v>1430.4486984</v>
      </c>
      <c r="FG12" s="74">
        <f t="shared" si="102"/>
        <v>221.5453998</v>
      </c>
      <c r="FH12" s="76"/>
      <c r="FI12" s="75"/>
      <c r="FJ12" s="75">
        <f t="shared" si="103"/>
        <v>172.280975</v>
      </c>
      <c r="FK12" s="75">
        <f t="shared" si="104"/>
        <v>172.280975</v>
      </c>
      <c r="FL12" s="76">
        <f t="shared" si="105"/>
        <v>558.4098504</v>
      </c>
      <c r="FM12" s="74">
        <f t="shared" si="106"/>
        <v>86.48554379999999</v>
      </c>
      <c r="FN12" s="76"/>
      <c r="FO12" s="75"/>
      <c r="FP12" s="75">
        <f t="shared" si="107"/>
        <v>1936.109175</v>
      </c>
      <c r="FQ12" s="75">
        <f t="shared" si="108"/>
        <v>1936.109175</v>
      </c>
      <c r="FR12" s="76">
        <f t="shared" si="109"/>
        <v>6275.4603912</v>
      </c>
      <c r="FS12" s="74">
        <f t="shared" si="110"/>
        <v>971.9323614</v>
      </c>
      <c r="FT12" s="76"/>
      <c r="FU12" s="75"/>
      <c r="FV12" s="75">
        <f t="shared" si="111"/>
        <v>4363.60335</v>
      </c>
      <c r="FW12" s="75">
        <f t="shared" si="112"/>
        <v>4363.60335</v>
      </c>
      <c r="FX12" s="76">
        <f t="shared" si="113"/>
        <v>14143.6342224</v>
      </c>
      <c r="FY12" s="74">
        <f t="shared" si="114"/>
        <v>2190.5414028</v>
      </c>
      <c r="FZ12" s="76"/>
      <c r="GA12" s="75"/>
      <c r="GB12" s="75">
        <f t="shared" si="115"/>
        <v>556.850725</v>
      </c>
      <c r="GC12" s="75">
        <f t="shared" si="116"/>
        <v>556.850725</v>
      </c>
      <c r="GD12" s="76">
        <f t="shared" si="117"/>
        <v>1804.9057944</v>
      </c>
      <c r="GE12" s="74">
        <f t="shared" si="118"/>
        <v>279.5406618</v>
      </c>
      <c r="GF12" s="76"/>
      <c r="GG12" s="75"/>
      <c r="GH12" s="75">
        <f t="shared" si="119"/>
        <v>884.2839000000001</v>
      </c>
      <c r="GI12" s="75">
        <f t="shared" si="120"/>
        <v>884.2839000000001</v>
      </c>
      <c r="GJ12" s="76">
        <f t="shared" si="121"/>
        <v>2866.2064416</v>
      </c>
      <c r="GK12" s="74">
        <f t="shared" si="122"/>
        <v>443.9130552</v>
      </c>
      <c r="GL12" s="76"/>
      <c r="GM12" s="75"/>
      <c r="GN12" s="75">
        <f t="shared" si="123"/>
        <v>4098.168325000001</v>
      </c>
      <c r="GO12" s="75">
        <f t="shared" si="124"/>
        <v>4098.168325000001</v>
      </c>
      <c r="GP12" s="76">
        <f t="shared" si="125"/>
        <v>13283.2865688</v>
      </c>
      <c r="GQ12" s="74">
        <f t="shared" si="126"/>
        <v>2057.2922586</v>
      </c>
      <c r="GR12" s="76"/>
      <c r="GS12" s="75"/>
      <c r="GT12" s="75">
        <f t="shared" si="127"/>
        <v>217.49884999999998</v>
      </c>
      <c r="GU12" s="75">
        <f t="shared" si="128"/>
        <v>217.49884999999998</v>
      </c>
      <c r="GV12" s="76">
        <f t="shared" si="129"/>
        <v>704.9733744</v>
      </c>
      <c r="GW12" s="74">
        <f t="shared" si="130"/>
        <v>109.18504680000001</v>
      </c>
      <c r="GX12" s="76"/>
      <c r="GY12" s="75"/>
      <c r="GZ12" s="75">
        <f t="shared" si="131"/>
        <v>1247.0027</v>
      </c>
      <c r="HA12" s="75">
        <f t="shared" si="132"/>
        <v>1247.0027</v>
      </c>
      <c r="HB12" s="76">
        <f t="shared" si="133"/>
        <v>4041.8774688000003</v>
      </c>
      <c r="HC12" s="74">
        <f t="shared" si="134"/>
        <v>625.9989336</v>
      </c>
      <c r="HD12" s="76"/>
      <c r="HE12" s="76"/>
      <c r="HF12" s="76"/>
      <c r="HG12" s="76"/>
      <c r="HH12" s="76"/>
      <c r="HI12" s="76"/>
    </row>
    <row r="13" spans="1:217" s="52" customFormat="1" ht="12.75">
      <c r="A13" s="51">
        <v>45383</v>
      </c>
      <c r="C13" s="36">
        <v>6970000</v>
      </c>
      <c r="D13" s="36">
        <v>174250</v>
      </c>
      <c r="E13" s="74">
        <f t="shared" si="0"/>
        <v>7144250</v>
      </c>
      <c r="F13" s="74">
        <v>564792</v>
      </c>
      <c r="G13" s="74">
        <v>87474</v>
      </c>
      <c r="H13" s="76"/>
      <c r="I13" s="76">
        <f>O13+U13+AA13+AG13+AM13+AS13+AY13+BE13+BK13+BQ13+BW13+CC13+CI13+CO13+CU13+DA13+DG13+DM13+DS13+DY13+EE13+EK13+EQ13+EW13+FC13+FI13+FO13+FU13+GA13+GG13+GM13+GS13+GY13</f>
        <v>3783496.5230000005</v>
      </c>
      <c r="J13" s="76">
        <f t="shared" si="1"/>
        <v>94587.41307500002</v>
      </c>
      <c r="K13" s="76">
        <f t="shared" si="2"/>
        <v>3878083.9360750006</v>
      </c>
      <c r="L13" s="76">
        <f t="shared" si="3"/>
        <v>306583.7257128</v>
      </c>
      <c r="M13" s="76">
        <f t="shared" si="3"/>
        <v>47483.1527766</v>
      </c>
      <c r="N13" s="76"/>
      <c r="O13" s="75">
        <f>C13*6.61452/100</f>
        <v>461032.044</v>
      </c>
      <c r="P13" s="75">
        <f t="shared" si="4"/>
        <v>11525.801099999999</v>
      </c>
      <c r="Q13" s="76">
        <f>O13+P13</f>
        <v>472557.8451</v>
      </c>
      <c r="R13" s="76">
        <f t="shared" si="5"/>
        <v>37358.2797984</v>
      </c>
      <c r="S13" s="74">
        <f t="shared" si="6"/>
        <v>5785.9852248</v>
      </c>
      <c r="T13" s="76"/>
      <c r="U13" s="75">
        <f>C13*0.11296/100</f>
        <v>7873.312000000001</v>
      </c>
      <c r="V13" s="75">
        <f t="shared" si="7"/>
        <v>196.83280000000002</v>
      </c>
      <c r="W13" s="75">
        <f t="shared" si="8"/>
        <v>8070.144800000001</v>
      </c>
      <c r="X13" s="76">
        <f t="shared" si="9"/>
        <v>637.9890432</v>
      </c>
      <c r="Y13" s="74">
        <f t="shared" si="10"/>
        <v>98.8106304</v>
      </c>
      <c r="Z13" s="76"/>
      <c r="AA13" s="76">
        <f>C13*0.50994/100</f>
        <v>35542.818</v>
      </c>
      <c r="AB13" s="75">
        <f t="shared" si="11"/>
        <v>888.5704499999999</v>
      </c>
      <c r="AC13" s="75">
        <f t="shared" si="12"/>
        <v>36431.38845</v>
      </c>
      <c r="AD13" s="76">
        <f t="shared" si="13"/>
        <v>2880.1003247999997</v>
      </c>
      <c r="AE13" s="74">
        <f t="shared" si="14"/>
        <v>446.06491559999995</v>
      </c>
      <c r="AF13" s="76"/>
      <c r="AG13" s="75">
        <f>C13*8.86797/100</f>
        <v>618097.509</v>
      </c>
      <c r="AH13" s="75">
        <f t="shared" si="15"/>
        <v>15452.437725</v>
      </c>
      <c r="AI13" s="75">
        <f t="shared" si="16"/>
        <v>633549.9467249999</v>
      </c>
      <c r="AJ13" s="76">
        <f t="shared" si="17"/>
        <v>50085.5851224</v>
      </c>
      <c r="AK13" s="74">
        <f t="shared" si="18"/>
        <v>7757.1680778</v>
      </c>
      <c r="AL13" s="76"/>
      <c r="AM13" s="75">
        <f>C13*0.10742/100</f>
        <v>7487.174</v>
      </c>
      <c r="AN13" s="75">
        <f t="shared" si="19"/>
        <v>187.17935</v>
      </c>
      <c r="AO13" s="75">
        <f t="shared" si="20"/>
        <v>7674.35335</v>
      </c>
      <c r="AP13" s="76">
        <f t="shared" si="21"/>
        <v>606.6995664</v>
      </c>
      <c r="AQ13" s="74">
        <f t="shared" si="22"/>
        <v>93.9645708</v>
      </c>
      <c r="AR13" s="75"/>
      <c r="AS13" s="75">
        <f>C13*0.09059/100</f>
        <v>6314.1230000000005</v>
      </c>
      <c r="AT13" s="75">
        <f t="shared" si="23"/>
        <v>157.85307500000002</v>
      </c>
      <c r="AU13" s="75">
        <f t="shared" si="24"/>
        <v>6471.9760750000005</v>
      </c>
      <c r="AV13" s="76">
        <f t="shared" si="25"/>
        <v>511.6450728</v>
      </c>
      <c r="AW13" s="74">
        <f t="shared" si="26"/>
        <v>79.2426966</v>
      </c>
      <c r="AX13" s="76"/>
      <c r="AY13" s="75">
        <f>C13*3.71668/100</f>
        <v>259052.59600000002</v>
      </c>
      <c r="AZ13" s="75">
        <f t="shared" si="27"/>
        <v>6476.3149</v>
      </c>
      <c r="BA13" s="75">
        <f t="shared" si="28"/>
        <v>265528.9109</v>
      </c>
      <c r="BB13" s="76">
        <f t="shared" si="29"/>
        <v>20991.5113056</v>
      </c>
      <c r="BC13" s="74">
        <f t="shared" si="30"/>
        <v>3251.1286632</v>
      </c>
      <c r="BD13" s="76"/>
      <c r="BE13" s="75">
        <f>C13*7.62623/100</f>
        <v>531548.2309999999</v>
      </c>
      <c r="BF13" s="75">
        <f t="shared" si="31"/>
        <v>13288.705774999999</v>
      </c>
      <c r="BG13" s="75">
        <f t="shared" si="32"/>
        <v>544836.936775</v>
      </c>
      <c r="BH13" s="76">
        <f t="shared" si="33"/>
        <v>43072.336941600006</v>
      </c>
      <c r="BI13" s="74">
        <f t="shared" si="34"/>
        <v>6670.9684302000005</v>
      </c>
      <c r="BJ13" s="76"/>
      <c r="BK13" s="75">
        <f>C13*0.08804/100</f>
        <v>6136.387999999999</v>
      </c>
      <c r="BL13" s="75">
        <f t="shared" si="35"/>
        <v>153.4097</v>
      </c>
      <c r="BM13" s="75">
        <f t="shared" si="36"/>
        <v>6289.797699999999</v>
      </c>
      <c r="BN13" s="76">
        <f t="shared" si="37"/>
        <v>497.24287680000003</v>
      </c>
      <c r="BO13" s="74">
        <f t="shared" si="38"/>
        <v>77.0121096</v>
      </c>
      <c r="BP13" s="76"/>
      <c r="BQ13" s="75">
        <f>C13*0.05914/100</f>
        <v>4122.058</v>
      </c>
      <c r="BR13" s="75">
        <f t="shared" si="39"/>
        <v>103.05145</v>
      </c>
      <c r="BS13" s="75">
        <f t="shared" si="40"/>
        <v>4225.10945</v>
      </c>
      <c r="BT13" s="76">
        <f t="shared" si="41"/>
        <v>334.01798879999996</v>
      </c>
      <c r="BU13" s="74">
        <f t="shared" si="42"/>
        <v>51.732123599999994</v>
      </c>
      <c r="BV13" s="76"/>
      <c r="BW13" s="75">
        <f>C13*-0.00881/100</f>
        <v>-614.057</v>
      </c>
      <c r="BX13" s="75">
        <f t="shared" si="43"/>
        <v>-15.351424999999999</v>
      </c>
      <c r="BY13" s="75">
        <f t="shared" si="44"/>
        <v>-629.408425</v>
      </c>
      <c r="BZ13" s="76">
        <f t="shared" si="45"/>
        <v>-49.7581752</v>
      </c>
      <c r="CA13" s="74">
        <f t="shared" si="46"/>
        <v>-7.7064594</v>
      </c>
      <c r="CB13" s="75"/>
      <c r="CC13" s="75">
        <f>C13*-0.00574/100</f>
        <v>-400.07800000000003</v>
      </c>
      <c r="CD13" s="75">
        <f t="shared" si="47"/>
        <v>-10.00195</v>
      </c>
      <c r="CE13" s="75">
        <f t="shared" si="48"/>
        <v>-410.07995000000005</v>
      </c>
      <c r="CF13" s="76">
        <f t="shared" si="49"/>
        <v>-32.4190608</v>
      </c>
      <c r="CG13" s="74">
        <f t="shared" si="50"/>
        <v>-5.0210076</v>
      </c>
      <c r="CH13" s="76"/>
      <c r="CI13" s="75">
        <f>C13*0.21346/100</f>
        <v>14878.162000000002</v>
      </c>
      <c r="CJ13" s="75">
        <f t="shared" si="51"/>
        <v>371.95405</v>
      </c>
      <c r="CK13" s="75">
        <f t="shared" si="52"/>
        <v>15250.116050000002</v>
      </c>
      <c r="CL13" s="76">
        <f t="shared" si="53"/>
        <v>1205.6050032</v>
      </c>
      <c r="CM13" s="74">
        <f t="shared" si="54"/>
        <v>186.72200039999998</v>
      </c>
      <c r="CN13" s="76"/>
      <c r="CO13" s="75">
        <f>C13*1.3127/100</f>
        <v>91495.19</v>
      </c>
      <c r="CP13" s="75">
        <f t="shared" si="55"/>
        <v>2287.37975</v>
      </c>
      <c r="CQ13" s="75">
        <f t="shared" si="56"/>
        <v>93782.56975</v>
      </c>
      <c r="CR13" s="76">
        <f t="shared" si="57"/>
        <v>7414.024584</v>
      </c>
      <c r="CS13" s="74">
        <f t="shared" si="58"/>
        <v>1148.271198</v>
      </c>
      <c r="CT13" s="76"/>
      <c r="CU13" s="75">
        <f>C13*8.81851/100</f>
        <v>614650.147</v>
      </c>
      <c r="CV13" s="75">
        <f t="shared" si="59"/>
        <v>15366.253675</v>
      </c>
      <c r="CW13" s="75">
        <f t="shared" si="60"/>
        <v>630016.400675</v>
      </c>
      <c r="CX13" s="76">
        <f t="shared" si="61"/>
        <v>49806.2389992</v>
      </c>
      <c r="CY13" s="74">
        <f t="shared" si="62"/>
        <v>7713.9034374</v>
      </c>
      <c r="CZ13" s="76"/>
      <c r="DA13" s="75">
        <f>C13*1.27232/100</f>
        <v>88680.70399999998</v>
      </c>
      <c r="DB13" s="75">
        <f t="shared" si="63"/>
        <v>2217.0175999999997</v>
      </c>
      <c r="DC13" s="75">
        <f t="shared" si="64"/>
        <v>90897.72159999999</v>
      </c>
      <c r="DD13" s="76">
        <f t="shared" si="65"/>
        <v>7185.9615744</v>
      </c>
      <c r="DE13" s="74">
        <f t="shared" si="66"/>
        <v>1112.9491968</v>
      </c>
      <c r="DF13" s="76"/>
      <c r="DG13" s="75">
        <f>C13*2.59972/100</f>
        <v>181200.484</v>
      </c>
      <c r="DH13" s="75">
        <f t="shared" si="67"/>
        <v>4530.0121</v>
      </c>
      <c r="DI13" s="75">
        <f t="shared" si="68"/>
        <v>185730.4961</v>
      </c>
      <c r="DJ13" s="76">
        <f t="shared" si="69"/>
        <v>14683.0105824</v>
      </c>
      <c r="DK13" s="74">
        <f t="shared" si="70"/>
        <v>2274.0790728</v>
      </c>
      <c r="DL13" s="76"/>
      <c r="DM13" s="75">
        <f>C13*0.42162/100</f>
        <v>29386.914</v>
      </c>
      <c r="DN13" s="75">
        <f t="shared" si="71"/>
        <v>734.67285</v>
      </c>
      <c r="DO13" s="75">
        <f t="shared" si="72"/>
        <v>30121.58685</v>
      </c>
      <c r="DP13" s="76">
        <f t="shared" si="73"/>
        <v>2381.2760304</v>
      </c>
      <c r="DQ13" s="74">
        <f t="shared" si="74"/>
        <v>368.80787879999997</v>
      </c>
      <c r="DR13" s="76"/>
      <c r="DS13" s="75">
        <f>C13*2.16282/100</f>
        <v>150748.554</v>
      </c>
      <c r="DT13" s="75">
        <f t="shared" si="75"/>
        <v>3768.71385</v>
      </c>
      <c r="DU13" s="75">
        <f t="shared" si="76"/>
        <v>154517.26785</v>
      </c>
      <c r="DV13" s="76">
        <f t="shared" si="77"/>
        <v>12215.4343344</v>
      </c>
      <c r="DW13" s="74">
        <f t="shared" si="78"/>
        <v>1891.9051668</v>
      </c>
      <c r="DX13" s="76"/>
      <c r="DY13" s="75">
        <f>C13*0.01933/100</f>
        <v>1347.3010000000002</v>
      </c>
      <c r="DZ13" s="75">
        <f t="shared" si="79"/>
        <v>33.682525</v>
      </c>
      <c r="EA13" s="75">
        <f t="shared" si="80"/>
        <v>1380.983525</v>
      </c>
      <c r="EB13" s="76">
        <f t="shared" si="81"/>
        <v>109.1742936</v>
      </c>
      <c r="EC13" s="74">
        <f t="shared" si="82"/>
        <v>16.9087242</v>
      </c>
      <c r="ED13" s="76"/>
      <c r="EE13" s="75">
        <f>C13*0.02544/100</f>
        <v>1773.1680000000001</v>
      </c>
      <c r="EF13" s="75">
        <f t="shared" si="83"/>
        <v>44.3292</v>
      </c>
      <c r="EG13" s="75">
        <f t="shared" si="84"/>
        <v>1817.4972</v>
      </c>
      <c r="EH13" s="76">
        <f t="shared" si="85"/>
        <v>143.6830848</v>
      </c>
      <c r="EI13" s="74">
        <f t="shared" si="86"/>
        <v>22.2533856</v>
      </c>
      <c r="EJ13" s="76"/>
      <c r="EK13" s="75">
        <f>C13*1.28187/100</f>
        <v>89346.339</v>
      </c>
      <c r="EL13" s="75">
        <f t="shared" si="87"/>
        <v>2233.658475</v>
      </c>
      <c r="EM13" s="75">
        <f t="shared" si="88"/>
        <v>91579.99747500001</v>
      </c>
      <c r="EN13" s="76">
        <f t="shared" si="89"/>
        <v>7239.8992104</v>
      </c>
      <c r="EO13" s="74">
        <f t="shared" si="90"/>
        <v>1121.3029638</v>
      </c>
      <c r="EP13" s="76"/>
      <c r="EQ13" s="75">
        <f>C13*0.0244/100</f>
        <v>1700.68</v>
      </c>
      <c r="ER13" s="75">
        <f t="shared" si="91"/>
        <v>42.516999999999996</v>
      </c>
      <c r="ES13" s="75">
        <f t="shared" si="92"/>
        <v>1743.1970000000001</v>
      </c>
      <c r="ET13" s="76">
        <f t="shared" si="93"/>
        <v>137.809248</v>
      </c>
      <c r="EU13" s="74">
        <f t="shared" si="94"/>
        <v>21.343656</v>
      </c>
      <c r="EV13" s="76"/>
      <c r="EW13" s="75">
        <f>C13*0.36459/100</f>
        <v>25411.923000000003</v>
      </c>
      <c r="EX13" s="75">
        <f t="shared" si="95"/>
        <v>635.298075</v>
      </c>
      <c r="EY13" s="75">
        <f t="shared" si="96"/>
        <v>26047.221075</v>
      </c>
      <c r="EZ13" s="76">
        <f t="shared" si="97"/>
        <v>2059.1751528</v>
      </c>
      <c r="FA13" s="74">
        <f t="shared" si="98"/>
        <v>318.9214566</v>
      </c>
      <c r="FB13" s="76"/>
      <c r="FC13" s="75">
        <f>C13*0.25327/100</f>
        <v>17652.918999999998</v>
      </c>
      <c r="FD13" s="75">
        <f t="shared" si="99"/>
        <v>441.322975</v>
      </c>
      <c r="FE13" s="75">
        <f t="shared" si="100"/>
        <v>18094.241974999997</v>
      </c>
      <c r="FF13" s="76">
        <f t="shared" si="101"/>
        <v>1430.4486984</v>
      </c>
      <c r="FG13" s="74">
        <f t="shared" si="102"/>
        <v>221.5453998</v>
      </c>
      <c r="FH13" s="76"/>
      <c r="FI13" s="75">
        <f>C13*0.09887/100</f>
        <v>6891.2390000000005</v>
      </c>
      <c r="FJ13" s="75">
        <f t="shared" si="103"/>
        <v>172.280975</v>
      </c>
      <c r="FK13" s="75">
        <f t="shared" si="104"/>
        <v>7063.519975</v>
      </c>
      <c r="FL13" s="76">
        <f t="shared" si="105"/>
        <v>558.4098504</v>
      </c>
      <c r="FM13" s="74">
        <f t="shared" si="106"/>
        <v>86.48554379999999</v>
      </c>
      <c r="FN13" s="76"/>
      <c r="FO13" s="75">
        <f>C13*1.11111/100</f>
        <v>77444.367</v>
      </c>
      <c r="FP13" s="75">
        <f t="shared" si="107"/>
        <v>1936.109175</v>
      </c>
      <c r="FQ13" s="75">
        <f t="shared" si="108"/>
        <v>79380.476175</v>
      </c>
      <c r="FR13" s="76">
        <f t="shared" si="109"/>
        <v>6275.4603912</v>
      </c>
      <c r="FS13" s="74">
        <f t="shared" si="110"/>
        <v>971.9323614</v>
      </c>
      <c r="FT13" s="76"/>
      <c r="FU13" s="75">
        <f>C13*2.50422/100</f>
        <v>174544.13400000002</v>
      </c>
      <c r="FV13" s="75">
        <f t="shared" si="111"/>
        <v>4363.60335</v>
      </c>
      <c r="FW13" s="75">
        <f t="shared" si="112"/>
        <v>178907.73735</v>
      </c>
      <c r="FX13" s="76">
        <f t="shared" si="113"/>
        <v>14143.6342224</v>
      </c>
      <c r="FY13" s="74">
        <f t="shared" si="114"/>
        <v>2190.5414028</v>
      </c>
      <c r="FZ13" s="76"/>
      <c r="GA13" s="75">
        <f>C13*0.31957/100</f>
        <v>22274.029000000002</v>
      </c>
      <c r="GB13" s="75">
        <f t="shared" si="115"/>
        <v>556.850725</v>
      </c>
      <c r="GC13" s="75">
        <f t="shared" si="116"/>
        <v>22830.879725000003</v>
      </c>
      <c r="GD13" s="76">
        <f t="shared" si="117"/>
        <v>1804.9057944</v>
      </c>
      <c r="GE13" s="74">
        <f t="shared" si="118"/>
        <v>279.5406618</v>
      </c>
      <c r="GF13" s="76"/>
      <c r="GG13" s="75">
        <f>C13*0.50748/100</f>
        <v>35371.356</v>
      </c>
      <c r="GH13" s="75">
        <f t="shared" si="119"/>
        <v>884.2839000000001</v>
      </c>
      <c r="GI13" s="75">
        <f t="shared" si="120"/>
        <v>36255.6399</v>
      </c>
      <c r="GJ13" s="76">
        <f t="shared" si="121"/>
        <v>2866.2064416</v>
      </c>
      <c r="GK13" s="74">
        <f t="shared" si="122"/>
        <v>443.9130552</v>
      </c>
      <c r="GL13" s="76"/>
      <c r="GM13" s="75">
        <f>C13*2.35189/100</f>
        <v>163926.733</v>
      </c>
      <c r="GN13" s="75">
        <f t="shared" si="123"/>
        <v>4098.168325000001</v>
      </c>
      <c r="GO13" s="75">
        <f t="shared" si="124"/>
        <v>168024.901325</v>
      </c>
      <c r="GP13" s="76">
        <f t="shared" si="125"/>
        <v>13283.2865688</v>
      </c>
      <c r="GQ13" s="74">
        <f t="shared" si="126"/>
        <v>2057.2922586</v>
      </c>
      <c r="GR13" s="76"/>
      <c r="GS13" s="75">
        <f>C13*0.12482/100</f>
        <v>8699.954</v>
      </c>
      <c r="GT13" s="75">
        <f t="shared" si="127"/>
        <v>217.49884999999998</v>
      </c>
      <c r="GU13" s="75">
        <f t="shared" si="128"/>
        <v>8917.45285</v>
      </c>
      <c r="GV13" s="76">
        <f t="shared" si="129"/>
        <v>704.9733744</v>
      </c>
      <c r="GW13" s="74">
        <f t="shared" si="130"/>
        <v>109.18504680000001</v>
      </c>
      <c r="GX13" s="76"/>
      <c r="GY13" s="75">
        <f>C13*0.71564/100</f>
        <v>49880.10800000001</v>
      </c>
      <c r="GZ13" s="75">
        <f t="shared" si="131"/>
        <v>1247.0027</v>
      </c>
      <c r="HA13" s="75">
        <f t="shared" si="132"/>
        <v>51127.110700000005</v>
      </c>
      <c r="HB13" s="76">
        <f t="shared" si="133"/>
        <v>4041.8774688000003</v>
      </c>
      <c r="HC13" s="74">
        <f t="shared" si="134"/>
        <v>625.9989336</v>
      </c>
      <c r="HD13" s="76"/>
      <c r="HE13" s="76"/>
      <c r="HF13" s="76"/>
      <c r="HG13" s="76"/>
      <c r="HH13" s="76"/>
      <c r="HI13" s="76"/>
    </row>
    <row r="14" spans="3:217" ht="12.75">
      <c r="C14" s="77"/>
      <c r="D14" s="77"/>
      <c r="E14" s="77"/>
      <c r="F14" s="77"/>
      <c r="G14" s="77"/>
      <c r="H14" s="75"/>
      <c r="I14" s="75"/>
      <c r="J14" s="76"/>
      <c r="K14" s="75"/>
      <c r="L14" s="75"/>
      <c r="M14" s="77"/>
      <c r="N14" s="75"/>
      <c r="O14" s="75"/>
      <c r="P14" s="75"/>
      <c r="Q14" s="75"/>
      <c r="R14" s="75"/>
      <c r="S14" s="77"/>
      <c r="T14" s="75"/>
      <c r="U14" s="75"/>
      <c r="V14" s="75"/>
      <c r="W14" s="75"/>
      <c r="X14" s="75"/>
      <c r="Y14" s="77"/>
      <c r="Z14" s="75"/>
      <c r="AA14" s="76"/>
      <c r="AB14" s="75"/>
      <c r="AC14" s="75"/>
      <c r="AD14" s="75"/>
      <c r="AE14" s="77"/>
      <c r="AF14" s="75"/>
      <c r="AG14" s="75"/>
      <c r="AH14" s="75"/>
      <c r="AI14" s="75"/>
      <c r="AJ14" s="75"/>
      <c r="AK14" s="77"/>
      <c r="AL14" s="75"/>
      <c r="AM14" s="75"/>
      <c r="AN14" s="75"/>
      <c r="AO14" s="75"/>
      <c r="AP14" s="75"/>
      <c r="AQ14" s="77"/>
      <c r="AR14" s="75"/>
      <c r="AS14" s="75"/>
      <c r="AT14" s="75"/>
      <c r="AU14" s="75"/>
      <c r="AV14" s="75"/>
      <c r="AW14" s="77"/>
      <c r="AX14" s="75"/>
      <c r="AY14" s="75"/>
      <c r="AZ14" s="75"/>
      <c r="BA14" s="75"/>
      <c r="BB14" s="75"/>
      <c r="BC14" s="77"/>
      <c r="BD14" s="75"/>
      <c r="BE14" s="75"/>
      <c r="BF14" s="75"/>
      <c r="BG14" s="75"/>
      <c r="BH14" s="75"/>
      <c r="BI14" s="77"/>
      <c r="BJ14" s="75"/>
      <c r="BK14" s="75"/>
      <c r="BL14" s="75"/>
      <c r="BM14" s="75"/>
      <c r="BN14" s="75"/>
      <c r="BO14" s="77"/>
      <c r="BP14" s="75"/>
      <c r="BQ14" s="75"/>
      <c r="BR14" s="75"/>
      <c r="BS14" s="75"/>
      <c r="BT14" s="75"/>
      <c r="BU14" s="77"/>
      <c r="BV14" s="75"/>
      <c r="BW14" s="75"/>
      <c r="BX14" s="75"/>
      <c r="BY14" s="75"/>
      <c r="BZ14" s="75"/>
      <c r="CA14" s="77"/>
      <c r="CB14" s="75"/>
      <c r="CC14" s="75"/>
      <c r="CD14" s="75"/>
      <c r="CE14" s="75"/>
      <c r="CF14" s="75"/>
      <c r="CG14" s="77"/>
      <c r="CH14" s="75"/>
      <c r="CI14" s="75"/>
      <c r="CJ14" s="75"/>
      <c r="CK14" s="75"/>
      <c r="CL14" s="75"/>
      <c r="CM14" s="77"/>
      <c r="CN14" s="75"/>
      <c r="CO14" s="75"/>
      <c r="CP14" s="75"/>
      <c r="CQ14" s="75"/>
      <c r="CR14" s="75"/>
      <c r="CS14" s="77"/>
      <c r="CT14" s="75"/>
      <c r="CU14" s="75"/>
      <c r="CV14" s="75"/>
      <c r="CW14" s="75"/>
      <c r="CX14" s="75"/>
      <c r="CY14" s="77"/>
      <c r="CZ14" s="75"/>
      <c r="DA14" s="75"/>
      <c r="DB14" s="75"/>
      <c r="DC14" s="75"/>
      <c r="DD14" s="75"/>
      <c r="DE14" s="77"/>
      <c r="DF14" s="75"/>
      <c r="DG14" s="75"/>
      <c r="DH14" s="75"/>
      <c r="DI14" s="75"/>
      <c r="DJ14" s="75"/>
      <c r="DK14" s="77"/>
      <c r="DL14" s="75"/>
      <c r="DM14" s="75"/>
      <c r="DN14" s="75"/>
      <c r="DO14" s="75"/>
      <c r="DP14" s="75"/>
      <c r="DQ14" s="77"/>
      <c r="DR14" s="75"/>
      <c r="DS14" s="75"/>
      <c r="DT14" s="75"/>
      <c r="DU14" s="75"/>
      <c r="DV14" s="75"/>
      <c r="DW14" s="77"/>
      <c r="DX14" s="75"/>
      <c r="DY14" s="75"/>
      <c r="DZ14" s="75"/>
      <c r="EA14" s="75"/>
      <c r="EB14" s="75"/>
      <c r="EC14" s="77"/>
      <c r="ED14" s="75"/>
      <c r="EE14" s="75"/>
      <c r="EF14" s="75"/>
      <c r="EG14" s="75"/>
      <c r="EH14" s="75"/>
      <c r="EI14" s="77"/>
      <c r="EJ14" s="75"/>
      <c r="EK14" s="75"/>
      <c r="EL14" s="75"/>
      <c r="EM14" s="75"/>
      <c r="EN14" s="75"/>
      <c r="EO14" s="77"/>
      <c r="EP14" s="75"/>
      <c r="EQ14" s="75"/>
      <c r="ER14" s="75"/>
      <c r="ES14" s="75"/>
      <c r="ET14" s="75"/>
      <c r="EU14" s="77"/>
      <c r="EV14" s="75"/>
      <c r="EW14" s="75"/>
      <c r="EX14" s="75"/>
      <c r="EY14" s="75"/>
      <c r="EZ14" s="75"/>
      <c r="FA14" s="77"/>
      <c r="FB14" s="75"/>
      <c r="FC14" s="75"/>
      <c r="FD14" s="75"/>
      <c r="FE14" s="75"/>
      <c r="FF14" s="75"/>
      <c r="FG14" s="77"/>
      <c r="FH14" s="75"/>
      <c r="FI14" s="75"/>
      <c r="FJ14" s="75"/>
      <c r="FK14" s="75"/>
      <c r="FL14" s="75"/>
      <c r="FM14" s="77"/>
      <c r="FN14" s="75"/>
      <c r="FO14" s="75"/>
      <c r="FP14" s="75"/>
      <c r="FQ14" s="75"/>
      <c r="FR14" s="75"/>
      <c r="FS14" s="77"/>
      <c r="FT14" s="75"/>
      <c r="FU14" s="75"/>
      <c r="FV14" s="75"/>
      <c r="FW14" s="75"/>
      <c r="FX14" s="75"/>
      <c r="FY14" s="77"/>
      <c r="FZ14" s="75"/>
      <c r="GA14" s="75"/>
      <c r="GB14" s="75"/>
      <c r="GC14" s="75"/>
      <c r="GD14" s="75"/>
      <c r="GE14" s="77"/>
      <c r="GF14" s="75"/>
      <c r="GG14" s="75"/>
      <c r="GH14" s="75"/>
      <c r="GI14" s="75"/>
      <c r="GJ14" s="75"/>
      <c r="GK14" s="77"/>
      <c r="GL14" s="75"/>
      <c r="GM14" s="75"/>
      <c r="GN14" s="75"/>
      <c r="GO14" s="75"/>
      <c r="GP14" s="75"/>
      <c r="GQ14" s="77"/>
      <c r="GR14" s="75"/>
      <c r="GS14" s="75"/>
      <c r="GT14" s="75"/>
      <c r="GU14" s="75"/>
      <c r="GV14" s="75"/>
      <c r="GW14" s="77"/>
      <c r="GX14" s="75"/>
      <c r="GY14" s="75"/>
      <c r="GZ14" s="75"/>
      <c r="HA14" s="75"/>
      <c r="HB14" s="75"/>
      <c r="HC14" s="77"/>
      <c r="HD14" s="75"/>
      <c r="HE14" s="75"/>
      <c r="HF14" s="75"/>
      <c r="HG14" s="75"/>
      <c r="HH14" s="75"/>
      <c r="HI14" s="75"/>
    </row>
    <row r="15" spans="1:217" ht="13.5" thickBot="1">
      <c r="A15" s="31" t="s">
        <v>4</v>
      </c>
      <c r="C15" s="78">
        <f>SUM(C8:C14)</f>
        <v>17535000</v>
      </c>
      <c r="D15" s="78">
        <f>SUM(D8:D14)</f>
        <v>1937360</v>
      </c>
      <c r="E15" s="78">
        <f>SUM(E8:E14)</f>
        <v>19472360</v>
      </c>
      <c r="F15" s="78">
        <f>SUM(F8:F14)</f>
        <v>3388749</v>
      </c>
      <c r="G15" s="78">
        <f>SUM(G8:G14)</f>
        <v>524841</v>
      </c>
      <c r="H15" s="75"/>
      <c r="I15" s="78">
        <f>SUM(I8:I14)</f>
        <v>9518452.1565</v>
      </c>
      <c r="J15" s="78">
        <f>SUM(J8:J14)</f>
        <v>1051649.185624</v>
      </c>
      <c r="K15" s="78">
        <f>SUM(K8:K14)</f>
        <v>10570101.342124</v>
      </c>
      <c r="L15" s="78">
        <f>SUM(L8:L14)</f>
        <v>1839500.7257990998</v>
      </c>
      <c r="M15" s="78">
        <f>SUM(M8:M14)</f>
        <v>284897.2881819</v>
      </c>
      <c r="N15" s="75"/>
      <c r="O15" s="78">
        <f>SUM(O8:O14)</f>
        <v>1159856.082</v>
      </c>
      <c r="P15" s="78">
        <f>SUM(P8:P14)</f>
        <v>128147.064672</v>
      </c>
      <c r="Q15" s="78">
        <f>SUM(Q8:Q14)</f>
        <v>1288003.146672</v>
      </c>
      <c r="R15" s="78">
        <f>SUM(R8:R14)</f>
        <v>224149.48035480003</v>
      </c>
      <c r="S15" s="78">
        <f>SUM(S8:S14)</f>
        <v>34715.7129132</v>
      </c>
      <c r="T15" s="75"/>
      <c r="U15" s="78">
        <f>SUM(U8:U14)</f>
        <v>19807.536000000004</v>
      </c>
      <c r="V15" s="78">
        <f>SUM(V8:V14)</f>
        <v>2188.4418560000004</v>
      </c>
      <c r="W15" s="78">
        <f>SUM(W8:W14)</f>
        <v>21995.977856</v>
      </c>
      <c r="X15" s="78">
        <f>SUM(X8:X14)</f>
        <v>3827.9308704000005</v>
      </c>
      <c r="Y15" s="78">
        <f>SUM(Y8:Y14)</f>
        <v>592.8603936</v>
      </c>
      <c r="Z15" s="75"/>
      <c r="AA15" s="78">
        <f>SUM(AA8:AA14)</f>
        <v>89417.97899999999</v>
      </c>
      <c r="AB15" s="78">
        <f>SUM(AB8:AB14)</f>
        <v>9879.373583999997</v>
      </c>
      <c r="AC15" s="78">
        <f>SUM(AC8:AC14)</f>
        <v>99297.352584</v>
      </c>
      <c r="AD15" s="78">
        <f>SUM(AD8:AD14)</f>
        <v>17280.5866506</v>
      </c>
      <c r="AE15" s="78">
        <f>SUM(AE8:AE14)</f>
        <v>2676.3741953999997</v>
      </c>
      <c r="AF15" s="75"/>
      <c r="AG15" s="78">
        <f>SUM(AG8:AG14)</f>
        <v>1554998.5395</v>
      </c>
      <c r="AH15" s="78">
        <f>SUM(AH8:AH14)</f>
        <v>171804.503592</v>
      </c>
      <c r="AI15" s="78">
        <f>SUM(AI8:AI14)</f>
        <v>1726803.043092</v>
      </c>
      <c r="AJ15" s="78">
        <f>SUM(AJ8:AJ14)</f>
        <v>300513.2446953</v>
      </c>
      <c r="AK15" s="78">
        <f>SUM(AK8:AK14)</f>
        <v>46542.7424277</v>
      </c>
      <c r="AL15" s="75"/>
      <c r="AM15" s="78">
        <f>SUM(AM8:AM14)</f>
        <v>18836.096999999998</v>
      </c>
      <c r="AN15" s="78">
        <f>SUM(AN8:AN14)</f>
        <v>2081.112112</v>
      </c>
      <c r="AO15" s="78">
        <f>SUM(AO8:AO14)</f>
        <v>20917.209112</v>
      </c>
      <c r="AP15" s="78">
        <f>SUM(AP8:AP14)</f>
        <v>3640.1941758000003</v>
      </c>
      <c r="AQ15" s="78">
        <f>SUM(AQ8:AQ14)</f>
        <v>563.7842022</v>
      </c>
      <c r="AR15" s="75"/>
      <c r="AS15" s="78">
        <f>SUM(AS8:AS14)</f>
        <v>15884.9565</v>
      </c>
      <c r="AT15" s="78">
        <f>SUM(AT8:AT14)</f>
        <v>1755.054424</v>
      </c>
      <c r="AU15" s="78">
        <f>SUM(AU8:AU14)</f>
        <v>17640.010924000002</v>
      </c>
      <c r="AV15" s="78">
        <f>SUM(AV8:AV14)</f>
        <v>3069.8677190999997</v>
      </c>
      <c r="AW15" s="78">
        <f>SUM(AW8:AW14)</f>
        <v>475.4534619</v>
      </c>
      <c r="AX15" s="75"/>
      <c r="AY15" s="78">
        <f>SUM(AY8:AY14)</f>
        <v>651719.838</v>
      </c>
      <c r="AZ15" s="78">
        <f>SUM(AZ8:AZ14)</f>
        <v>72005.47164799999</v>
      </c>
      <c r="BA15" s="78">
        <f>SUM(BA8:BA14)</f>
        <v>723725.309648</v>
      </c>
      <c r="BB15" s="78">
        <f>SUM(BB8:BB14)</f>
        <v>125948.9563332</v>
      </c>
      <c r="BC15" s="78">
        <f>SUM(BC8:BC14)</f>
        <v>19506.660478800004</v>
      </c>
      <c r="BD15" s="75"/>
      <c r="BE15" s="78">
        <f>SUM(BE8:BE14)</f>
        <v>1337259.4305</v>
      </c>
      <c r="BF15" s="78">
        <f>SUM(BF8:BF14)</f>
        <v>147747.529528</v>
      </c>
      <c r="BG15" s="78">
        <f>SUM(BG8:BG14)</f>
        <v>1485006.960028</v>
      </c>
      <c r="BH15" s="78">
        <f>SUM(BH8:BH14)</f>
        <v>258433.79286270007</v>
      </c>
      <c r="BI15" s="78">
        <f>SUM(BI8:BI14)</f>
        <v>40025.58179430001</v>
      </c>
      <c r="BJ15" s="75"/>
      <c r="BK15" s="78">
        <f>SUM(BK8:BK14)</f>
        <v>15437.813999999998</v>
      </c>
      <c r="BL15" s="78">
        <f>SUM(BL8:BL14)</f>
        <v>1705.6517439999998</v>
      </c>
      <c r="BM15" s="78">
        <f>SUM(BM8:BM14)</f>
        <v>17143.465743999997</v>
      </c>
      <c r="BN15" s="78">
        <f>SUM(BN8:BN14)</f>
        <v>2983.4546196</v>
      </c>
      <c r="BO15" s="78">
        <f>SUM(BO8:BO14)</f>
        <v>462.0700164000001</v>
      </c>
      <c r="BP15" s="75"/>
      <c r="BQ15" s="78">
        <f>SUM(BQ8:BQ14)</f>
        <v>10370.199</v>
      </c>
      <c r="BR15" s="78">
        <f>SUM(BR8:BR14)</f>
        <v>1145.7547039999997</v>
      </c>
      <c r="BS15" s="78">
        <f>SUM(BS8:BS14)</f>
        <v>11515.953704</v>
      </c>
      <c r="BT15" s="78">
        <f>SUM(BT8:BT14)</f>
        <v>2004.1061585999998</v>
      </c>
      <c r="BU15" s="78">
        <f>SUM(BU8:BU14)</f>
        <v>310.3909674</v>
      </c>
      <c r="BV15" s="75"/>
      <c r="BW15" s="78">
        <f>SUM(BW8:BW14)</f>
        <v>-1544.8335</v>
      </c>
      <c r="BX15" s="78">
        <f>SUM(BX8:BX14)</f>
        <v>-170.681416</v>
      </c>
      <c r="BY15" s="78">
        <f>SUM(BY8:BY14)</f>
        <v>-1715.514916</v>
      </c>
      <c r="BZ15" s="78">
        <f>SUM(BZ8:BZ14)</f>
        <v>-298.5487868999999</v>
      </c>
      <c r="CA15" s="78">
        <f>SUM(CA8:CA14)</f>
        <v>-46.2384921</v>
      </c>
      <c r="CB15" s="77"/>
      <c r="CC15" s="78">
        <f>SUM(CC8:CC14)</f>
        <v>-1006.509</v>
      </c>
      <c r="CD15" s="78">
        <f>SUM(CD8:CD14)</f>
        <v>-111.204464</v>
      </c>
      <c r="CE15" s="78">
        <f>SUM(CE8:CE14)</f>
        <v>-1117.713464</v>
      </c>
      <c r="CF15" s="78">
        <f>SUM(CF8:CF14)</f>
        <v>-194.5141926</v>
      </c>
      <c r="CG15" s="78">
        <f>SUM(CG8:CG14)</f>
        <v>-30.125873400000003</v>
      </c>
      <c r="CH15" s="75"/>
      <c r="CI15" s="78">
        <f>SUM(CI8:CI14)</f>
        <v>37430.211</v>
      </c>
      <c r="CJ15" s="78">
        <f>SUM(CJ8:CJ14)</f>
        <v>4135.4886559999995</v>
      </c>
      <c r="CK15" s="78">
        <f>SUM(CK8:CK14)</f>
        <v>41565.699656000004</v>
      </c>
      <c r="CL15" s="78">
        <f>SUM(CL8:CL14)</f>
        <v>7233.623615400001</v>
      </c>
      <c r="CM15" s="78">
        <f>SUM(CM8:CM14)</f>
        <v>1120.3255986</v>
      </c>
      <c r="CN15" s="75"/>
      <c r="CO15" s="78">
        <f>SUM(CO8:CO14)</f>
        <v>230181.945</v>
      </c>
      <c r="CP15" s="78">
        <f>SUM(CP8:CP14)</f>
        <v>25431.72472</v>
      </c>
      <c r="CQ15" s="78">
        <f>SUM(CQ8:CQ14)</f>
        <v>255613.66972</v>
      </c>
      <c r="CR15" s="78">
        <f>SUM(CR8:CR14)</f>
        <v>44484.108123</v>
      </c>
      <c r="CS15" s="78">
        <f>SUM(CS8:CS14)</f>
        <v>6889.587807</v>
      </c>
      <c r="CT15" s="75"/>
      <c r="CU15" s="78">
        <f>SUM(CU8:CU14)</f>
        <v>1546325.7284999997</v>
      </c>
      <c r="CV15" s="78">
        <f>SUM(CV8:CV14)</f>
        <v>170846.28533599997</v>
      </c>
      <c r="CW15" s="78">
        <f>SUM(CW8:CW14)</f>
        <v>1717172.013836</v>
      </c>
      <c r="CX15" s="78">
        <f>SUM(CX8:CX14)</f>
        <v>298837.1694399</v>
      </c>
      <c r="CY15" s="78">
        <f>SUM(CY8:CY14)</f>
        <v>46283.156069100005</v>
      </c>
      <c r="CZ15" s="75"/>
      <c r="DA15" s="78">
        <f>SUM(DA8:DA14)</f>
        <v>223101.31199999998</v>
      </c>
      <c r="DB15" s="78">
        <f>SUM(DB8:DB14)</f>
        <v>24649.418751999998</v>
      </c>
      <c r="DC15" s="78">
        <f>SUM(DC8:DC14)</f>
        <v>247750.73075199997</v>
      </c>
      <c r="DD15" s="78">
        <f>SUM(DD8:DD14)</f>
        <v>43115.7312768</v>
      </c>
      <c r="DE15" s="78">
        <f>SUM(DE8:DE14)</f>
        <v>6677.657011200001</v>
      </c>
      <c r="DF15" s="75"/>
      <c r="DG15" s="78">
        <f>SUM(DG8:DG14)</f>
        <v>455860.902</v>
      </c>
      <c r="DH15" s="78">
        <f>SUM(DH8:DH14)</f>
        <v>50365.93539200001</v>
      </c>
      <c r="DI15" s="78">
        <f>SUM(DI8:DI14)</f>
        <v>506226.83739199996</v>
      </c>
      <c r="DJ15" s="78">
        <f>SUM(DJ8:DJ14)</f>
        <v>88097.9855028</v>
      </c>
      <c r="DK15" s="78">
        <f>SUM(DK8:DK14)</f>
        <v>13644.3964452</v>
      </c>
      <c r="DL15" s="75"/>
      <c r="DM15" s="78">
        <f>SUM(DM8:DM14)</f>
        <v>73931.067</v>
      </c>
      <c r="DN15" s="78">
        <f>SUM(DN8:DN14)</f>
        <v>8168.297232</v>
      </c>
      <c r="DO15" s="78">
        <f>SUM(DO8:DO14)</f>
        <v>82099.36423199999</v>
      </c>
      <c r="DP15" s="78">
        <f>SUM(DP8:DP14)</f>
        <v>14287.643533800001</v>
      </c>
      <c r="DQ15" s="78">
        <f>SUM(DQ8:DQ14)</f>
        <v>2212.8346242</v>
      </c>
      <c r="DR15" s="75"/>
      <c r="DS15" s="78">
        <f>SUM(DS8:DS14)</f>
        <v>379250.487</v>
      </c>
      <c r="DT15" s="78">
        <f>SUM(DT8:DT14)</f>
        <v>41901.609552</v>
      </c>
      <c r="DU15" s="78">
        <f>SUM(DU8:DU14)</f>
        <v>421152.09655200003</v>
      </c>
      <c r="DV15" s="78">
        <f>SUM(DV8:DV14)</f>
        <v>73292.5411218</v>
      </c>
      <c r="DW15" s="78">
        <f>SUM(DW8:DW14)</f>
        <v>11351.366116199999</v>
      </c>
      <c r="DX15" s="75"/>
      <c r="DY15" s="78">
        <f>SUM(DY8:DY14)</f>
        <v>3389.5155000000004</v>
      </c>
      <c r="DZ15" s="78">
        <f>SUM(DZ8:DZ14)</f>
        <v>374.491688</v>
      </c>
      <c r="EA15" s="78">
        <f>SUM(EA8:EA14)</f>
        <v>3764.007188</v>
      </c>
      <c r="EB15" s="78">
        <f>SUM(EB8:EB14)</f>
        <v>655.0451817000001</v>
      </c>
      <c r="EC15" s="78">
        <f>SUM(EC8:EC14)</f>
        <v>101.4517653</v>
      </c>
      <c r="ED15" s="75"/>
      <c r="EE15" s="78">
        <f>SUM(EE8:EE14)</f>
        <v>4460.904</v>
      </c>
      <c r="EF15" s="78">
        <f>SUM(EF8:EF14)</f>
        <v>492.86438400000003</v>
      </c>
      <c r="EG15" s="78">
        <f>SUM(EG8:EG14)</f>
        <v>4953.768384000001</v>
      </c>
      <c r="EH15" s="78">
        <f>SUM(EH8:EH14)</f>
        <v>862.0977455999998</v>
      </c>
      <c r="EI15" s="78">
        <f>SUM(EI8:EI14)</f>
        <v>133.5195504</v>
      </c>
      <c r="EJ15" s="75"/>
      <c r="EK15" s="78">
        <f>SUM(EK8:EK14)</f>
        <v>224775.90450000003</v>
      </c>
      <c r="EL15" s="78">
        <f>SUM(EL8:EL14)</f>
        <v>24834.436632</v>
      </c>
      <c r="EM15" s="78">
        <f>SUM(EM8:EM14)</f>
        <v>249610.341132</v>
      </c>
      <c r="EN15" s="78">
        <f>SUM(EN8:EN14)</f>
        <v>43439.3568063</v>
      </c>
      <c r="EO15" s="78">
        <f>SUM(EO8:EO14)</f>
        <v>6727.7793267</v>
      </c>
      <c r="EP15" s="75"/>
      <c r="EQ15" s="78">
        <f>SUM(EQ8:EQ14)</f>
        <v>4278.54</v>
      </c>
      <c r="ER15" s="78">
        <f>SUM(ER8:ER14)</f>
        <v>472.71584</v>
      </c>
      <c r="ES15" s="78">
        <f>SUM(ES8:ES14)</f>
        <v>4751.25584</v>
      </c>
      <c r="ET15" s="78">
        <f>SUM(ET8:ET14)</f>
        <v>826.8547560000001</v>
      </c>
      <c r="EU15" s="78">
        <f>SUM(EU8:EU14)</f>
        <v>128.061204</v>
      </c>
      <c r="EV15" s="75"/>
      <c r="EW15" s="78">
        <f>SUM(EW8:EW14)</f>
        <v>63930.8565</v>
      </c>
      <c r="EX15" s="78">
        <f>SUM(EX8:EX14)</f>
        <v>7063.420824</v>
      </c>
      <c r="EY15" s="78">
        <f>SUM(EY8:EY14)</f>
        <v>70994.277324</v>
      </c>
      <c r="EZ15" s="78">
        <f>SUM(EZ8:EZ14)</f>
        <v>12355.039979100002</v>
      </c>
      <c r="FA15" s="78">
        <f>SUM(FA8:FA14)</f>
        <v>1913.5178019000002</v>
      </c>
      <c r="FB15" s="75"/>
      <c r="FC15" s="78">
        <f>SUM(FC8:FC14)</f>
        <v>44410.894499999995</v>
      </c>
      <c r="FD15" s="78">
        <f>SUM(FD8:FD14)</f>
        <v>4906.751672</v>
      </c>
      <c r="FE15" s="78">
        <f>SUM(FE8:FE14)</f>
        <v>49317.64617199999</v>
      </c>
      <c r="FF15" s="78">
        <f>SUM(FF8:FF14)</f>
        <v>8582.684592299998</v>
      </c>
      <c r="FG15" s="78">
        <f>SUM(FG8:FG14)</f>
        <v>1329.2648007</v>
      </c>
      <c r="FH15" s="75"/>
      <c r="FI15" s="78">
        <f>SUM(FI8:FI14)</f>
        <v>17336.8545</v>
      </c>
      <c r="FJ15" s="78">
        <f>SUM(FJ8:FJ14)</f>
        <v>1915.4678320000003</v>
      </c>
      <c r="FK15" s="78">
        <f>SUM(FK8:FK14)</f>
        <v>19252.322332000003</v>
      </c>
      <c r="FL15" s="78">
        <f>SUM(FL8:FL14)</f>
        <v>3350.4561362999993</v>
      </c>
      <c r="FM15" s="78">
        <f>SUM(FM8:FM14)</f>
        <v>518.9102966999999</v>
      </c>
      <c r="FN15" s="75"/>
      <c r="FO15" s="78">
        <f>SUM(FO8:FO14)</f>
        <v>194833.1385</v>
      </c>
      <c r="FP15" s="78">
        <f>SUM(FP8:FP14)</f>
        <v>21526.200696000004</v>
      </c>
      <c r="FQ15" s="78">
        <f>SUM(FQ8:FQ14)</f>
        <v>216359.33919600002</v>
      </c>
      <c r="FR15" s="78">
        <f>SUM(FR8:FR14)</f>
        <v>37652.7290139</v>
      </c>
      <c r="FS15" s="78">
        <f>SUM(FS8:FS14)</f>
        <v>5831.560835100001</v>
      </c>
      <c r="FT15" s="75"/>
      <c r="FU15" s="78">
        <f>SUM(FU8:FU14)</f>
        <v>439114.977</v>
      </c>
      <c r="FV15" s="78">
        <f>SUM(FV8:FV14)</f>
        <v>48515.756592</v>
      </c>
      <c r="FW15" s="78">
        <f>SUM(FW8:FW14)</f>
        <v>487630.73359200003</v>
      </c>
      <c r="FX15" s="78">
        <f>SUM(FX8:FX14)</f>
        <v>84861.73020779999</v>
      </c>
      <c r="FY15" s="78">
        <f>SUM(FY8:FY14)</f>
        <v>13143.173290199999</v>
      </c>
      <c r="FZ15" s="75"/>
      <c r="GA15" s="78">
        <f>SUM(GA8:GA14)</f>
        <v>56036.599500000004</v>
      </c>
      <c r="GB15" s="78">
        <f>SUM(GB8:GB14)</f>
        <v>6191.2213520000005</v>
      </c>
      <c r="GC15" s="78">
        <f>SUM(GC8:GC14)</f>
        <v>62227.820852000004</v>
      </c>
      <c r="GD15" s="78">
        <f>SUM(GD8:GD14)</f>
        <v>10829.425179299998</v>
      </c>
      <c r="GE15" s="78">
        <f>SUM(GE8:GE14)</f>
        <v>1677.2343836999999</v>
      </c>
      <c r="GF15" s="75"/>
      <c r="GG15" s="78">
        <f>SUM(GG8:GG14)</f>
        <v>88986.618</v>
      </c>
      <c r="GH15" s="78">
        <f>SUM(GH8:GH14)</f>
        <v>9831.714528000002</v>
      </c>
      <c r="GI15" s="78">
        <f>SUM(GI8:GI14)</f>
        <v>98818.332528</v>
      </c>
      <c r="GJ15" s="78">
        <f>SUM(GJ8:GJ14)</f>
        <v>17197.223425199998</v>
      </c>
      <c r="GK15" s="78">
        <f>SUM(GK8:GK14)</f>
        <v>2663.4631068</v>
      </c>
      <c r="GL15" s="75"/>
      <c r="GM15" s="78">
        <f>SUM(GM8:GM14)</f>
        <v>412403.91150000005</v>
      </c>
      <c r="GN15" s="78">
        <f>SUM(GN8:GN14)</f>
        <v>45564.576104</v>
      </c>
      <c r="GO15" s="78">
        <f>SUM(GO8:GO14)</f>
        <v>457968.4876039999</v>
      </c>
      <c r="GP15" s="78">
        <f>SUM(GP8:GP14)</f>
        <v>79699.6488561</v>
      </c>
      <c r="GQ15" s="78">
        <f>SUM(GQ8:GQ14)</f>
        <v>12343.682994900002</v>
      </c>
      <c r="GR15" s="75"/>
      <c r="GS15" s="78">
        <f>SUM(GS8:GS14)</f>
        <v>21887.186999999998</v>
      </c>
      <c r="GT15" s="78">
        <f>SUM(GT8:GT14)</f>
        <v>2418.212752</v>
      </c>
      <c r="GU15" s="78">
        <f>SUM(GU8:GU14)</f>
        <v>24305.399752</v>
      </c>
      <c r="GV15" s="78">
        <f>SUM(GV8:GV14)</f>
        <v>4229.8365018</v>
      </c>
      <c r="GW15" s="78">
        <f>SUM(GW8:GW14)</f>
        <v>655.1065362</v>
      </c>
      <c r="GX15" s="75"/>
      <c r="GY15" s="78">
        <f>SUM(GY8:GY14)</f>
        <v>125487.47400000002</v>
      </c>
      <c r="GZ15" s="78">
        <f>SUM(GZ8:GZ14)</f>
        <v>13864.523104000004</v>
      </c>
      <c r="HA15" s="78">
        <f>SUM(HA8:HA14)</f>
        <v>139351.997104</v>
      </c>
      <c r="HB15" s="78">
        <f>SUM(HB8:HB14)</f>
        <v>24251.243343600003</v>
      </c>
      <c r="HC15" s="78">
        <f>SUM(HC8:HC14)</f>
        <v>3755.9721323999997</v>
      </c>
      <c r="HD15" s="75"/>
      <c r="HE15" s="75"/>
      <c r="HF15" s="75"/>
      <c r="HG15" s="75"/>
      <c r="HH15" s="75"/>
      <c r="HI15" s="75"/>
    </row>
    <row r="16" ht="13.5" thickTop="1"/>
    <row r="29" spans="1:212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</row>
    <row r="30" spans="1:212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</row>
    <row r="31" spans="1:21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1:21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spans="1:212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</row>
    <row r="34" spans="1:212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</row>
    <row r="35" spans="1:21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1:21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1:21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pane xSplit="3" ySplit="5" topLeftCell="Q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7109375" defaultRowHeight="12.75"/>
  <cols>
    <col min="1" max="1" width="7.7109375" style="0" customWidth="1"/>
    <col min="2" max="2" width="2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16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20</v>
      </c>
      <c r="H4" s="4" t="s">
        <v>25</v>
      </c>
      <c r="I4" s="4" t="s">
        <v>67</v>
      </c>
      <c r="J4" s="4" t="s">
        <v>26</v>
      </c>
      <c r="K4" s="4" t="s">
        <v>61</v>
      </c>
      <c r="L4" s="4" t="s">
        <v>27</v>
      </c>
      <c r="M4" s="4" t="s">
        <v>22</v>
      </c>
      <c r="N4" s="4" t="s">
        <v>28</v>
      </c>
      <c r="O4" s="4" t="s">
        <v>29</v>
      </c>
      <c r="P4" s="4" t="s">
        <v>30</v>
      </c>
      <c r="Q4" s="4" t="s">
        <v>31</v>
      </c>
      <c r="R4" s="58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98133530.93000004</v>
      </c>
      <c r="E5" s="9">
        <f aca="true" t="shared" si="0" ref="E5:Q5">SUM(E6:E64)</f>
        <v>35475452.61</v>
      </c>
      <c r="F5" s="9">
        <f t="shared" si="0"/>
        <v>17173868.36</v>
      </c>
      <c r="G5" s="9">
        <f t="shared" si="0"/>
        <v>11532463.45</v>
      </c>
      <c r="H5" s="9">
        <f t="shared" si="0"/>
        <v>9864290.229999999</v>
      </c>
      <c r="I5" s="9">
        <f t="shared" si="0"/>
        <v>2713564.15</v>
      </c>
      <c r="J5" s="9">
        <f t="shared" si="0"/>
        <v>2555176.51</v>
      </c>
      <c r="K5" s="9">
        <f t="shared" si="0"/>
        <v>2650659.3400000003</v>
      </c>
      <c r="L5" s="9">
        <f t="shared" si="0"/>
        <v>1281889.1800000002</v>
      </c>
      <c r="M5" s="9">
        <f t="shared" si="0"/>
        <v>1330989.5699999998</v>
      </c>
      <c r="N5" s="9">
        <f t="shared" si="0"/>
        <v>3547849.3899999997</v>
      </c>
      <c r="O5" s="9">
        <f t="shared" si="0"/>
        <v>811610.01</v>
      </c>
      <c r="P5" s="9">
        <f t="shared" si="0"/>
        <v>4563028.949999999</v>
      </c>
      <c r="Q5" s="9">
        <f t="shared" si="0"/>
        <v>4632689.18</v>
      </c>
      <c r="R5" s="15"/>
    </row>
    <row r="6" spans="1:18" ht="13.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30" t="s">
        <v>5</v>
      </c>
      <c r="B7" s="30" t="s">
        <v>145</v>
      </c>
      <c r="C7" t="s">
        <v>24</v>
      </c>
      <c r="D7" s="5">
        <f aca="true" t="shared" si="1" ref="D7:D41">SUM(E7:Q7)</f>
        <v>6491058.68</v>
      </c>
      <c r="E7" s="5">
        <f>1485671.58+5005387.1</f>
        <v>6491058.68</v>
      </c>
      <c r="R7" s="12">
        <f>D7/D5</f>
        <v>0.06614516586211658</v>
      </c>
    </row>
    <row r="8" spans="1:18" ht="12.75">
      <c r="A8" s="30" t="s">
        <v>5</v>
      </c>
      <c r="B8" s="30" t="s">
        <v>33</v>
      </c>
      <c r="C8" t="s">
        <v>146</v>
      </c>
      <c r="D8" s="5">
        <f t="shared" si="1"/>
        <v>110854.23</v>
      </c>
      <c r="E8" s="5">
        <v>110854.23</v>
      </c>
      <c r="R8" s="12">
        <f>D8/D5</f>
        <v>0.0011296264278829813</v>
      </c>
    </row>
    <row r="9" spans="1:18" ht="12.75">
      <c r="A9" s="30" t="s">
        <v>5</v>
      </c>
      <c r="B9" s="30" t="s">
        <v>44</v>
      </c>
      <c r="C9" t="s">
        <v>39</v>
      </c>
      <c r="D9" s="5">
        <f t="shared" si="1"/>
        <v>500420.92</v>
      </c>
      <c r="E9" s="5">
        <f>198740.12+301680.8</f>
        <v>500420.92</v>
      </c>
      <c r="R9" s="12">
        <f>D9/D5</f>
        <v>0.005099387694069185</v>
      </c>
    </row>
    <row r="10" spans="1:18" ht="12.75">
      <c r="A10" s="30" t="s">
        <v>5</v>
      </c>
      <c r="B10" s="30" t="s">
        <v>45</v>
      </c>
      <c r="C10" t="s">
        <v>138</v>
      </c>
      <c r="D10" s="5">
        <f t="shared" si="1"/>
        <v>8702447.63</v>
      </c>
      <c r="E10" s="5">
        <f>9468639.46-766191.83</f>
        <v>8702447.63</v>
      </c>
      <c r="R10" s="12">
        <f>D10/D5</f>
        <v>0.08867965462495764</v>
      </c>
    </row>
    <row r="11" spans="1:18" ht="12.75">
      <c r="A11" s="30" t="s">
        <v>5</v>
      </c>
      <c r="B11" s="30" t="s">
        <v>49</v>
      </c>
      <c r="C11" t="s">
        <v>50</v>
      </c>
      <c r="D11" s="5">
        <f t="shared" si="1"/>
        <v>105413.83</v>
      </c>
      <c r="E11" s="5">
        <f>105413.83</f>
        <v>105413.83</v>
      </c>
      <c r="R11" s="12">
        <f>D11/D5</f>
        <v>0.001074187680816184</v>
      </c>
    </row>
    <row r="12" spans="1:18" ht="12.75">
      <c r="A12" s="30" t="s">
        <v>5</v>
      </c>
      <c r="B12" s="30" t="s">
        <v>53</v>
      </c>
      <c r="C12" t="s">
        <v>54</v>
      </c>
      <c r="D12" s="5">
        <f t="shared" si="1"/>
        <v>88900.66</v>
      </c>
      <c r="E12" s="5">
        <f>88900.66</f>
        <v>88900.66</v>
      </c>
      <c r="R12" s="12">
        <f>D12/D5</f>
        <v>0.0009059152275221202</v>
      </c>
    </row>
    <row r="13" spans="1:18" ht="12.75">
      <c r="A13" s="30" t="s">
        <v>17</v>
      </c>
      <c r="B13" s="30" t="s">
        <v>147</v>
      </c>
      <c r="C13" t="s">
        <v>24</v>
      </c>
      <c r="D13" s="5">
        <f t="shared" si="1"/>
        <v>3647310.73</v>
      </c>
      <c r="F13" s="5">
        <f>682672.96+1879000+644139.73+335575.03+61459.82-6794.5-38367.26-69086.01+158710.96</f>
        <v>3647310.73</v>
      </c>
      <c r="R13" s="12">
        <f>D13/D5</f>
        <v>0.03716681439498672</v>
      </c>
    </row>
    <row r="14" spans="1:18" ht="12.75">
      <c r="A14" s="30" t="s">
        <v>17</v>
      </c>
      <c r="B14" s="30" t="s">
        <v>32</v>
      </c>
      <c r="C14" t="s">
        <v>18</v>
      </c>
      <c r="D14" s="5">
        <f t="shared" si="1"/>
        <v>7483886.850000001</v>
      </c>
      <c r="F14" s="5">
        <f>1141981.41+6341905.44</f>
        <v>7483886.850000001</v>
      </c>
      <c r="R14" s="12">
        <f>D14/D5</f>
        <v>0.07626228037528128</v>
      </c>
    </row>
    <row r="15" spans="1:18" ht="12.75">
      <c r="A15" s="30" t="s">
        <v>17</v>
      </c>
      <c r="B15" s="30" t="s">
        <v>38</v>
      </c>
      <c r="C15" t="s">
        <v>40</v>
      </c>
      <c r="D15" s="5">
        <f t="shared" si="1"/>
        <v>86401.02</v>
      </c>
      <c r="F15" s="5">
        <f>86401.02</f>
        <v>86401.02</v>
      </c>
      <c r="R15" s="12">
        <f>D15/D5</f>
        <v>0.000880443403810987</v>
      </c>
    </row>
    <row r="16" spans="1:18" ht="12.75">
      <c r="A16" s="30" t="s">
        <v>17</v>
      </c>
      <c r="B16" s="30" t="s">
        <v>49</v>
      </c>
      <c r="C16" t="s">
        <v>51</v>
      </c>
      <c r="D16" s="5">
        <f t="shared" si="1"/>
        <v>58036.91</v>
      </c>
      <c r="F16" s="5">
        <v>58036.91</v>
      </c>
      <c r="R16" s="12">
        <f>D16/D5</f>
        <v>0.0005914075387891475</v>
      </c>
    </row>
    <row r="17" spans="1:18" ht="12.75">
      <c r="A17" s="30" t="s">
        <v>17</v>
      </c>
      <c r="B17" s="30" t="s">
        <v>49</v>
      </c>
      <c r="C17" t="s">
        <v>52</v>
      </c>
      <c r="D17" s="5">
        <f t="shared" si="1"/>
        <v>-8644.86</v>
      </c>
      <c r="F17" s="5">
        <f>-8644.86</f>
        <v>-8644.86</v>
      </c>
      <c r="R17" s="12">
        <f>D17/D5</f>
        <v>-8.80928253378195E-05</v>
      </c>
    </row>
    <row r="18" spans="1:18" ht="12.75">
      <c r="A18" s="30" t="s">
        <v>17</v>
      </c>
      <c r="B18" s="30" t="s">
        <v>48</v>
      </c>
      <c r="C18" t="s">
        <v>43</v>
      </c>
      <c r="D18" s="5">
        <f t="shared" si="1"/>
        <v>-5633</v>
      </c>
      <c r="F18" s="5">
        <f>-5633</f>
        <v>-5633</v>
      </c>
      <c r="R18" s="12">
        <f>D18/D5</f>
        <v>-5.740137898449913E-05</v>
      </c>
    </row>
    <row r="19" spans="1:18" ht="12.75">
      <c r="A19" s="30" t="s">
        <v>20</v>
      </c>
      <c r="B19" s="30" t="s">
        <v>167</v>
      </c>
      <c r="C19" t="s">
        <v>24</v>
      </c>
      <c r="D19" s="5">
        <f t="shared" si="1"/>
        <v>209474.52000000002</v>
      </c>
      <c r="G19" s="5">
        <f>6110+188167.92+15196.6</f>
        <v>209474.52000000002</v>
      </c>
      <c r="R19" s="12">
        <f>D19/D5</f>
        <v>0.0021345865986359034</v>
      </c>
    </row>
    <row r="20" spans="1:18" ht="12.75">
      <c r="A20" s="30" t="s">
        <v>20</v>
      </c>
      <c r="B20" s="30" t="s">
        <v>32</v>
      </c>
      <c r="C20" t="s">
        <v>21</v>
      </c>
      <c r="D20" s="5">
        <f t="shared" si="1"/>
        <v>1288197.08</v>
      </c>
      <c r="G20" s="5">
        <f>996960.19+291236.89</f>
        <v>1288197.08</v>
      </c>
      <c r="R20" s="12">
        <f>D20/D5</f>
        <v>0.013126981856169919</v>
      </c>
    </row>
    <row r="21" spans="1:18" ht="12.75">
      <c r="A21" s="30" t="s">
        <v>20</v>
      </c>
      <c r="B21" s="30" t="s">
        <v>38</v>
      </c>
      <c r="C21" t="s">
        <v>41</v>
      </c>
      <c r="D21" s="5">
        <f t="shared" si="1"/>
        <v>8653913.6</v>
      </c>
      <c r="G21" s="5">
        <v>8653913.6</v>
      </c>
      <c r="R21" s="12">
        <f>D21/D5</f>
        <v>0.0881850833042271</v>
      </c>
    </row>
    <row r="22" spans="1:18" ht="12.75">
      <c r="A22" s="30" t="s">
        <v>25</v>
      </c>
      <c r="B22" s="30" t="s">
        <v>154</v>
      </c>
      <c r="C22" t="s">
        <v>24</v>
      </c>
      <c r="D22" s="5">
        <f t="shared" si="1"/>
        <v>1248573.17</v>
      </c>
      <c r="H22" s="5">
        <f>36069.64+929868.46+188018.95+94616.12</f>
        <v>1248573.17</v>
      </c>
      <c r="R22" s="12">
        <f>D22/D5</f>
        <v>0.012723206412399692</v>
      </c>
    </row>
    <row r="23" spans="1:18" ht="12.75">
      <c r="A23" s="30" t="s">
        <v>25</v>
      </c>
      <c r="B23" s="30" t="s">
        <v>33</v>
      </c>
      <c r="C23" t="s">
        <v>34</v>
      </c>
      <c r="D23" s="5">
        <f t="shared" si="1"/>
        <v>2551199.92</v>
      </c>
      <c r="H23" s="5">
        <v>2551199.92</v>
      </c>
      <c r="R23" s="12">
        <f>D23/D5</f>
        <v>0.02599722944667919</v>
      </c>
    </row>
    <row r="24" spans="1:18" ht="12.75">
      <c r="A24" s="30" t="s">
        <v>26</v>
      </c>
      <c r="B24" s="30" t="s">
        <v>42</v>
      </c>
      <c r="C24" t="s">
        <v>24</v>
      </c>
      <c r="D24" s="5">
        <f t="shared" si="1"/>
        <v>413753.82</v>
      </c>
      <c r="J24" s="5">
        <f>34158.65+245714.72+133880.45</f>
        <v>413753.82</v>
      </c>
      <c r="R24" s="12">
        <f>D24/D5</f>
        <v>0.004216232882674284</v>
      </c>
    </row>
    <row r="25" spans="1:18" ht="12.75">
      <c r="A25" s="30" t="s">
        <v>26</v>
      </c>
      <c r="B25" s="30" t="s">
        <v>33</v>
      </c>
      <c r="C25" t="s">
        <v>35</v>
      </c>
      <c r="D25" s="5">
        <f t="shared" si="1"/>
        <v>2122452.69</v>
      </c>
      <c r="J25" s="5">
        <v>2122452.69</v>
      </c>
      <c r="R25" s="12">
        <f>D25/D5</f>
        <v>0.021628210764310252</v>
      </c>
    </row>
    <row r="26" spans="1:18" ht="12.75">
      <c r="A26" s="30" t="s">
        <v>26</v>
      </c>
      <c r="B26" s="30" t="s">
        <v>53</v>
      </c>
      <c r="C26" t="s">
        <v>43</v>
      </c>
      <c r="D26" s="5">
        <f t="shared" si="1"/>
        <v>18970</v>
      </c>
      <c r="J26" s="5">
        <f>18970</f>
        <v>18970</v>
      </c>
      <c r="R26" s="12">
        <f>D26/D5</f>
        <v>0.00019330803467707236</v>
      </c>
    </row>
    <row r="27" spans="1:18" ht="12.75">
      <c r="A27" s="30" t="s">
        <v>150</v>
      </c>
      <c r="B27" s="30" t="s">
        <v>151</v>
      </c>
      <c r="C27" t="s">
        <v>43</v>
      </c>
      <c r="D27" s="5">
        <f t="shared" si="1"/>
        <v>24970</v>
      </c>
      <c r="K27" s="5">
        <f>9970+15000</f>
        <v>24970</v>
      </c>
      <c r="R27" s="12">
        <f>D27/D5</f>
        <v>0.0002544492159138902</v>
      </c>
    </row>
    <row r="28" spans="1:18" ht="12.75">
      <c r="A28" s="30" t="s">
        <v>27</v>
      </c>
      <c r="B28" s="30" t="s">
        <v>155</v>
      </c>
      <c r="C28" t="s">
        <v>24</v>
      </c>
      <c r="D28" s="5">
        <f t="shared" si="1"/>
        <v>1257941.6800000002</v>
      </c>
      <c r="L28" s="5">
        <f>90000+359860.57+487000+67741.82+253339.29</f>
        <v>1257941.6800000002</v>
      </c>
      <c r="R28" s="12">
        <f>D28/D5</f>
        <v>0.012818673373704518</v>
      </c>
    </row>
    <row r="29" spans="1:18" ht="12.75">
      <c r="A29" s="30" t="s">
        <v>27</v>
      </c>
      <c r="B29" s="30" t="s">
        <v>38</v>
      </c>
      <c r="C29" t="s">
        <v>43</v>
      </c>
      <c r="D29" s="5">
        <f t="shared" si="1"/>
        <v>23947.5</v>
      </c>
      <c r="L29" s="5">
        <f>23947.5</f>
        <v>23947.5</v>
      </c>
      <c r="R29" s="12">
        <f>D29/D5</f>
        <v>0.00024402973961144914</v>
      </c>
    </row>
    <row r="30" spans="1:18" ht="12.75">
      <c r="A30" s="30" t="s">
        <v>22</v>
      </c>
      <c r="B30" s="30" t="s">
        <v>32</v>
      </c>
      <c r="C30" t="s">
        <v>24</v>
      </c>
      <c r="D30" s="5">
        <f t="shared" si="1"/>
        <v>357780.19</v>
      </c>
      <c r="M30" s="5">
        <f>242768.2+115011.99</f>
        <v>357780.19</v>
      </c>
      <c r="R30" s="12">
        <f>D30/D5</f>
        <v>0.003645850573288853</v>
      </c>
    </row>
    <row r="31" spans="1:18" ht="12.75">
      <c r="A31" s="30" t="s">
        <v>22</v>
      </c>
      <c r="B31" s="30" t="s">
        <v>19</v>
      </c>
      <c r="C31" t="s">
        <v>23</v>
      </c>
      <c r="D31" s="5">
        <f t="shared" si="1"/>
        <v>248545</v>
      </c>
      <c r="M31" s="5">
        <v>248545</v>
      </c>
      <c r="R31" s="12">
        <f>D31/D5</f>
        <v>0.0025327224817508144</v>
      </c>
    </row>
    <row r="32" spans="1:18" ht="12.75">
      <c r="A32" s="30" t="s">
        <v>22</v>
      </c>
      <c r="B32" s="30" t="s">
        <v>32</v>
      </c>
      <c r="C32" t="s">
        <v>37</v>
      </c>
      <c r="D32" s="5">
        <f t="shared" si="1"/>
        <v>97021.54</v>
      </c>
      <c r="M32" s="5">
        <f>45603.09+51418.45</f>
        <v>97021.54</v>
      </c>
      <c r="R32" s="12">
        <f>D32/D5</f>
        <v>0.0009886685935025282</v>
      </c>
    </row>
    <row r="33" spans="1:18" ht="12.75">
      <c r="A33" s="30" t="s">
        <v>28</v>
      </c>
      <c r="B33" s="30" t="s">
        <v>47</v>
      </c>
      <c r="C33" t="s">
        <v>24</v>
      </c>
      <c r="D33" s="5">
        <f t="shared" si="1"/>
        <v>1090369.3299999998</v>
      </c>
      <c r="N33" s="5">
        <f>190253.12+369334.97+251602.82+279178.42</f>
        <v>1090369.3299999998</v>
      </c>
      <c r="R33" s="12">
        <f>D33/D5</f>
        <v>0.011111078136766268</v>
      </c>
    </row>
    <row r="34" spans="1:18" ht="12.75">
      <c r="A34" s="30" t="s">
        <v>28</v>
      </c>
      <c r="B34" s="30" t="s">
        <v>33</v>
      </c>
      <c r="C34" t="s">
        <v>36</v>
      </c>
      <c r="D34" s="5">
        <f t="shared" si="1"/>
        <v>2457480.06</v>
      </c>
      <c r="N34" s="5">
        <v>2457480.06</v>
      </c>
      <c r="R34" s="12">
        <f>D34/D5</f>
        <v>0.025042205622387657</v>
      </c>
    </row>
    <row r="35" spans="1:18" ht="12.75">
      <c r="A35" s="30" t="s">
        <v>29</v>
      </c>
      <c r="B35" s="30" t="s">
        <v>145</v>
      </c>
      <c r="C35" t="s">
        <v>24</v>
      </c>
      <c r="D35" s="5">
        <f t="shared" si="1"/>
        <v>313603.51</v>
      </c>
      <c r="O35" s="5">
        <f>65575.07+248028.44</f>
        <v>313603.51</v>
      </c>
      <c r="R35" s="12">
        <f>D35/D5</f>
        <v>0.0031956815069020352</v>
      </c>
    </row>
    <row r="36" spans="1:18" ht="12.75">
      <c r="A36" s="30" t="s">
        <v>29</v>
      </c>
      <c r="B36" s="30" t="s">
        <v>149</v>
      </c>
      <c r="C36" t="s">
        <v>43</v>
      </c>
      <c r="D36" s="5">
        <f t="shared" si="1"/>
        <v>498006.5</v>
      </c>
      <c r="O36" s="5">
        <f>51451.5+246555+200000</f>
        <v>498006.5</v>
      </c>
      <c r="R36" s="12">
        <f>D36/D5</f>
        <v>0.005074784278935552</v>
      </c>
    </row>
    <row r="37" spans="1:18" ht="12.75">
      <c r="A37" s="30" t="s">
        <v>30</v>
      </c>
      <c r="B37" s="30" t="s">
        <v>148</v>
      </c>
      <c r="C37" t="s">
        <v>24</v>
      </c>
      <c r="D37" s="5">
        <f t="shared" si="1"/>
        <v>2307993.5599999996</v>
      </c>
      <c r="P37" s="5">
        <f>12007.36+391267.59+483716.2+1000424.28+179960.19+12017.93+34578+194022.01</f>
        <v>2307993.5599999996</v>
      </c>
      <c r="R37" s="12">
        <f>D37/D5</f>
        <v>0.02351890875756139</v>
      </c>
    </row>
    <row r="38" spans="1:18" ht="12.75">
      <c r="A38" s="30" t="s">
        <v>30</v>
      </c>
      <c r="B38" s="30" t="s">
        <v>45</v>
      </c>
      <c r="C38" t="s">
        <v>46</v>
      </c>
      <c r="D38" s="5">
        <f t="shared" si="1"/>
        <v>122494.35</v>
      </c>
      <c r="P38" s="5">
        <v>122494.35</v>
      </c>
      <c r="R38" s="12">
        <f>D38/D5</f>
        <v>0.0012482415423060327</v>
      </c>
    </row>
    <row r="39" spans="1:19" ht="12.75">
      <c r="A39" s="30" t="s">
        <v>31</v>
      </c>
      <c r="B39" s="30" t="s">
        <v>55</v>
      </c>
      <c r="C39" t="s">
        <v>24</v>
      </c>
      <c r="D39" s="5">
        <f t="shared" si="1"/>
        <v>702285.01</v>
      </c>
      <c r="Q39" s="5">
        <f>65782.4+367000+16314.08+11993.9+76763.05+164431.58</f>
        <v>702285.01</v>
      </c>
      <c r="R39" s="12">
        <f>D39/D5</f>
        <v>0.007156422512718403</v>
      </c>
      <c r="S39" s="12"/>
    </row>
    <row r="40" spans="1:18" ht="12.75">
      <c r="A40" s="30" t="s">
        <v>5</v>
      </c>
      <c r="B40" s="30" t="s">
        <v>152</v>
      </c>
      <c r="C40" t="s">
        <v>63</v>
      </c>
      <c r="D40" s="5">
        <f t="shared" si="1"/>
        <v>8019866.98</v>
      </c>
      <c r="E40" s="5">
        <f>478502.95+7541364.03</f>
        <v>8019866.98</v>
      </c>
      <c r="R40" s="12">
        <f>D40/D5</f>
        <v>0.08172402341989181</v>
      </c>
    </row>
    <row r="41" spans="1:18" ht="12.75">
      <c r="A41" s="30" t="s">
        <v>5</v>
      </c>
      <c r="B41" s="30" t="s">
        <v>62</v>
      </c>
      <c r="C41" t="s">
        <v>64</v>
      </c>
      <c r="D41" s="5">
        <f t="shared" si="1"/>
        <v>5845283.67</v>
      </c>
      <c r="E41" s="5">
        <v>5845283.67</v>
      </c>
      <c r="R41" s="12">
        <f>D41/D5</f>
        <v>0.05956459137468027</v>
      </c>
    </row>
    <row r="42" spans="1:18" ht="12.75">
      <c r="A42" s="30" t="s">
        <v>5</v>
      </c>
      <c r="B42" s="30" t="s">
        <v>70</v>
      </c>
      <c r="C42" t="s">
        <v>71</v>
      </c>
      <c r="D42" s="5">
        <f aca="true" t="shared" si="2" ref="D42:D63">SUM(E42:Q42)</f>
        <v>3099098.32</v>
      </c>
      <c r="E42" s="5">
        <v>3099098.32</v>
      </c>
      <c r="R42" s="12">
        <f>D42/D5</f>
        <v>0.03158042200897294</v>
      </c>
    </row>
    <row r="43" spans="1:18" ht="12.75">
      <c r="A43" s="30" t="s">
        <v>5</v>
      </c>
      <c r="B43" s="30" t="s">
        <v>13</v>
      </c>
      <c r="C43" t="s">
        <v>15</v>
      </c>
      <c r="D43" s="5">
        <f t="shared" si="2"/>
        <v>2253928.3</v>
      </c>
      <c r="E43" s="5">
        <f>2253928.3</f>
        <v>2253928.3</v>
      </c>
      <c r="R43" s="12">
        <f>D43/D5</f>
        <v>0.022967973114182114</v>
      </c>
    </row>
    <row r="44" spans="1:18" ht="12.75">
      <c r="A44" s="30" t="s">
        <v>5</v>
      </c>
      <c r="B44" s="30" t="s">
        <v>13</v>
      </c>
      <c r="C44" t="s">
        <v>81</v>
      </c>
      <c r="D44" s="5">
        <f t="shared" si="2"/>
        <v>258179.39</v>
      </c>
      <c r="E44" s="5">
        <f>258179.39</f>
        <v>258179.39</v>
      </c>
      <c r="R44" s="12">
        <f>D44/D5</f>
        <v>0.0026308988126001786</v>
      </c>
    </row>
    <row r="45" spans="1:18" ht="12.75">
      <c r="A45" s="30" t="s">
        <v>17</v>
      </c>
      <c r="B45" s="30" t="s">
        <v>62</v>
      </c>
      <c r="C45" t="s">
        <v>139</v>
      </c>
      <c r="D45" s="5">
        <f t="shared" si="2"/>
        <v>4084600.87</v>
      </c>
      <c r="F45" s="5">
        <v>4084600.87</v>
      </c>
      <c r="R45" s="12">
        <f>D45/D5</f>
        <v>0.041622887012122294</v>
      </c>
    </row>
    <row r="46" spans="1:18" ht="12.75">
      <c r="A46" s="30" t="s">
        <v>17</v>
      </c>
      <c r="B46" s="30" t="s">
        <v>62</v>
      </c>
      <c r="C46" t="s">
        <v>65</v>
      </c>
      <c r="D46" s="5">
        <f t="shared" si="2"/>
        <v>442785.36</v>
      </c>
      <c r="F46" s="5">
        <v>442785.36</v>
      </c>
      <c r="R46" s="12">
        <f>D46/D5</f>
        <v>0.004512069990794938</v>
      </c>
    </row>
    <row r="47" spans="1:18" ht="12.75">
      <c r="A47" s="30" t="s">
        <v>17</v>
      </c>
      <c r="B47" s="30" t="s">
        <v>70</v>
      </c>
      <c r="C47" t="s">
        <v>72</v>
      </c>
      <c r="D47" s="5">
        <f t="shared" si="2"/>
        <v>1385124.48</v>
      </c>
      <c r="F47" s="5">
        <f>1385124.48</f>
        <v>1385124.48</v>
      </c>
      <c r="R47" s="12">
        <f>D47/D5</f>
        <v>0.014114691144538841</v>
      </c>
    </row>
    <row r="48" spans="1:18" ht="12.75">
      <c r="A48" s="30" t="s">
        <v>20</v>
      </c>
      <c r="B48" s="30" t="s">
        <v>70</v>
      </c>
      <c r="C48" t="s">
        <v>73</v>
      </c>
      <c r="D48" s="5">
        <f t="shared" si="2"/>
        <v>702428.94</v>
      </c>
      <c r="G48" s="5">
        <v>702428.94</v>
      </c>
      <c r="R48" s="12">
        <f>D48/D5</f>
        <v>0.007157889187754305</v>
      </c>
    </row>
    <row r="49" spans="1:18" ht="12.75">
      <c r="A49" s="30" t="s">
        <v>20</v>
      </c>
      <c r="B49" s="30" t="s">
        <v>13</v>
      </c>
      <c r="C49" t="s">
        <v>82</v>
      </c>
      <c r="D49" s="5">
        <f t="shared" si="2"/>
        <v>136415.17</v>
      </c>
      <c r="G49" s="5">
        <f>136415.17</f>
        <v>136415.17</v>
      </c>
      <c r="R49" s="12">
        <f>D49/D5</f>
        <v>0.0013900974387368859</v>
      </c>
    </row>
    <row r="50" spans="1:18" ht="12.75">
      <c r="A50" s="30" t="s">
        <v>20</v>
      </c>
      <c r="B50" s="30" t="s">
        <v>83</v>
      </c>
      <c r="C50" t="s">
        <v>84</v>
      </c>
      <c r="D50" s="5">
        <f t="shared" si="2"/>
        <v>542034.14</v>
      </c>
      <c r="G50" s="5">
        <v>542034.14</v>
      </c>
      <c r="R50" s="12">
        <f>D50/D5</f>
        <v>0.005523434598380448</v>
      </c>
    </row>
    <row r="51" spans="1:18" ht="12.75">
      <c r="A51" s="30" t="s">
        <v>25</v>
      </c>
      <c r="B51" s="30" t="s">
        <v>56</v>
      </c>
      <c r="C51" t="s">
        <v>57</v>
      </c>
      <c r="D51" s="5">
        <f t="shared" si="2"/>
        <v>1321981.34</v>
      </c>
      <c r="H51" s="5">
        <v>1321981.34</v>
      </c>
      <c r="R51" s="12">
        <f>D51/D5</f>
        <v>0.013471250116771883</v>
      </c>
    </row>
    <row r="52" spans="1:18" ht="12.75">
      <c r="A52" s="30" t="s">
        <v>25</v>
      </c>
      <c r="B52" s="30" t="s">
        <v>153</v>
      </c>
      <c r="C52" t="s">
        <v>58</v>
      </c>
      <c r="D52" s="5">
        <f t="shared" si="2"/>
        <v>2958966.16</v>
      </c>
      <c r="H52" s="5">
        <f>527766+2000000+431200.16</f>
        <v>2958966.16</v>
      </c>
      <c r="R52" s="12">
        <f>D52/D5</f>
        <v>0.030152447710361817</v>
      </c>
    </row>
    <row r="53" spans="1:18" ht="12.75">
      <c r="A53" s="30" t="s">
        <v>25</v>
      </c>
      <c r="B53" s="30" t="s">
        <v>56</v>
      </c>
      <c r="C53" t="s">
        <v>59</v>
      </c>
      <c r="D53" s="5">
        <f t="shared" si="2"/>
        <v>447676.29</v>
      </c>
      <c r="H53" s="5">
        <v>447676.29</v>
      </c>
      <c r="R53" s="12">
        <f>D53/D5</f>
        <v>0.004561909530386036</v>
      </c>
    </row>
    <row r="54" spans="1:18" ht="12.75">
      <c r="A54" s="30" t="s">
        <v>25</v>
      </c>
      <c r="B54" s="30" t="s">
        <v>62</v>
      </c>
      <c r="C54" t="s">
        <v>66</v>
      </c>
      <c r="D54" s="5">
        <f t="shared" si="2"/>
        <v>1286321.35</v>
      </c>
      <c r="H54" s="5">
        <v>1286321.35</v>
      </c>
      <c r="R54" s="12">
        <f>D54/D5</f>
        <v>0.013107867798189697</v>
      </c>
    </row>
    <row r="55" spans="1:18" ht="12.75">
      <c r="A55" s="30" t="s">
        <v>25</v>
      </c>
      <c r="B55" s="30" t="s">
        <v>78</v>
      </c>
      <c r="C55" t="s">
        <v>79</v>
      </c>
      <c r="D55" s="5">
        <f t="shared" si="2"/>
        <v>49572</v>
      </c>
      <c r="H55" s="5">
        <f>49572</f>
        <v>49572</v>
      </c>
      <c r="R55" s="12">
        <f>D55/D5</f>
        <v>0.0005051484393785889</v>
      </c>
    </row>
    <row r="56" spans="1:18" ht="12.75">
      <c r="A56" s="30" t="s">
        <v>67</v>
      </c>
      <c r="B56" s="30" t="s">
        <v>62</v>
      </c>
      <c r="C56" t="s">
        <v>68</v>
      </c>
      <c r="D56" s="5">
        <f t="shared" si="2"/>
        <v>2713564.15</v>
      </c>
      <c r="I56" s="5">
        <v>2713564.15</v>
      </c>
      <c r="R56" s="12">
        <f>D56/D5</f>
        <v>0.027651752915480252</v>
      </c>
    </row>
    <row r="57" spans="1:18" ht="12.75">
      <c r="A57" s="30" t="s">
        <v>61</v>
      </c>
      <c r="B57" s="30" t="s">
        <v>56</v>
      </c>
      <c r="C57" t="s">
        <v>143</v>
      </c>
      <c r="D57" s="5">
        <f t="shared" si="2"/>
        <v>427217.64</v>
      </c>
      <c r="K57" s="5">
        <v>427217.64</v>
      </c>
      <c r="R57" s="12">
        <f>D57/D5</f>
        <v>0.004353431859134266</v>
      </c>
    </row>
    <row r="58" spans="1:18" ht="12.75">
      <c r="A58" s="30" t="s">
        <v>61</v>
      </c>
      <c r="B58" s="30" t="s">
        <v>62</v>
      </c>
      <c r="C58" t="s">
        <v>69</v>
      </c>
      <c r="D58" s="5">
        <f t="shared" si="2"/>
        <v>2198471.7</v>
      </c>
      <c r="K58" s="5">
        <f>2198471.7</f>
        <v>2198471.7</v>
      </c>
      <c r="R58" s="12">
        <f>D58/D5</f>
        <v>0.022402859442285834</v>
      </c>
    </row>
    <row r="59" spans="1:18" ht="12.75">
      <c r="A59" s="30" t="s">
        <v>22</v>
      </c>
      <c r="B59" s="30" t="s">
        <v>70</v>
      </c>
      <c r="C59" t="s">
        <v>74</v>
      </c>
      <c r="D59" s="5">
        <f t="shared" si="2"/>
        <v>627642.84</v>
      </c>
      <c r="M59" s="5">
        <f>627642.84</f>
        <v>627642.84</v>
      </c>
      <c r="R59" s="12">
        <f>D59/D5</f>
        <v>0.006395804105405175</v>
      </c>
    </row>
    <row r="60" spans="1:18" ht="12.75">
      <c r="A60" s="30" t="s">
        <v>30</v>
      </c>
      <c r="B60" s="30" t="s">
        <v>70</v>
      </c>
      <c r="C60" t="s">
        <v>75</v>
      </c>
      <c r="D60" s="5">
        <f t="shared" si="2"/>
        <v>6300</v>
      </c>
      <c r="P60" s="5">
        <f>6300</f>
        <v>6300</v>
      </c>
      <c r="R60" s="12">
        <f>D60/D5</f>
        <v>6.419824029865872E-05</v>
      </c>
    </row>
    <row r="61" spans="1:18" ht="12.75">
      <c r="A61" s="30" t="s">
        <v>30</v>
      </c>
      <c r="B61" s="30" t="s">
        <v>70</v>
      </c>
      <c r="C61" t="s">
        <v>76</v>
      </c>
      <c r="D61" s="5">
        <f t="shared" si="2"/>
        <v>11695</v>
      </c>
      <c r="P61" s="5">
        <v>11695</v>
      </c>
      <c r="R61" s="12">
        <f>D61/D5</f>
        <v>0.00011917435242743074</v>
      </c>
    </row>
    <row r="62" spans="1:18" ht="12.75">
      <c r="A62" s="30" t="s">
        <v>30</v>
      </c>
      <c r="B62" s="30" t="s">
        <v>78</v>
      </c>
      <c r="C62" t="s">
        <v>80</v>
      </c>
      <c r="D62" s="5">
        <f t="shared" si="2"/>
        <v>2114546.04</v>
      </c>
      <c r="P62" s="5">
        <v>2114546.04</v>
      </c>
      <c r="R62" s="12">
        <f>D62/D5</f>
        <v>0.021547640444205905</v>
      </c>
    </row>
    <row r="63" spans="1:18" ht="12.75">
      <c r="A63" s="30" t="s">
        <v>31</v>
      </c>
      <c r="B63" s="30" t="s">
        <v>77</v>
      </c>
      <c r="C63" t="s">
        <v>60</v>
      </c>
      <c r="D63" s="5">
        <f t="shared" si="2"/>
        <v>3930404.17</v>
      </c>
      <c r="Q63" s="5">
        <f>3215497.1+714907.07</f>
        <v>3930404.17</v>
      </c>
      <c r="R63" s="12">
        <f>D63/D5</f>
        <v>0.04005159228198576</v>
      </c>
    </row>
    <row r="64" spans="5:18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7"/>
    </row>
    <row r="65" spans="2:18" s="12" customFormat="1" ht="13.5" thickBot="1">
      <c r="B65" s="55"/>
      <c r="C65" s="13" t="s">
        <v>8</v>
      </c>
      <c r="D65" s="60">
        <f>SUM(E65:Q65)</f>
        <v>0.9999999999999996</v>
      </c>
      <c r="E65" s="14">
        <f>E5/D5</f>
        <v>0.361501846247692</v>
      </c>
      <c r="F65" s="14">
        <f>F5/D5</f>
        <v>0.1750050996560019</v>
      </c>
      <c r="G65" s="14">
        <f>G5/D5</f>
        <v>0.11751807298390456</v>
      </c>
      <c r="H65" s="14">
        <f>H5/D5</f>
        <v>0.10051905945416688</v>
      </c>
      <c r="I65" s="14">
        <f>I5/D5</f>
        <v>0.027651752915480252</v>
      </c>
      <c r="J65" s="14">
        <f>J5/D5</f>
        <v>0.026037751681661607</v>
      </c>
      <c r="K65" s="14">
        <f>K5/D5</f>
        <v>0.02701074051733399</v>
      </c>
      <c r="L65" s="14">
        <f>L5/D5</f>
        <v>0.013062703113315966</v>
      </c>
      <c r="M65" s="14">
        <f>M5/D5</f>
        <v>0.013563045753947369</v>
      </c>
      <c r="N65" s="14">
        <f>N5/D5</f>
        <v>0.03615328375915392</v>
      </c>
      <c r="O65" s="14">
        <f>O5/D5</f>
        <v>0.008270465785837589</v>
      </c>
      <c r="P65" s="14">
        <f>P5/D5</f>
        <v>0.04649816333679942</v>
      </c>
      <c r="Q65" s="14">
        <f>Q5/D5</f>
        <v>0.047208014794704156</v>
      </c>
      <c r="R65" s="14">
        <f>SUM(R6:R64)</f>
        <v>0.9999999999999998</v>
      </c>
    </row>
    <row r="66" spans="1:18" s="12" customFormat="1" ht="13.5" thickTop="1">
      <c r="A66" s="34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2" customFormat="1" ht="12.75">
      <c r="A67" s="6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ht="12.75">
      <c r="A68" s="35"/>
    </row>
    <row r="69" spans="1:18" s="52" customFormat="1" ht="12.75">
      <c r="A69" s="34"/>
      <c r="B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</row>
    <row r="70" spans="1:18" s="52" customFormat="1" ht="12.75">
      <c r="A70" s="6"/>
      <c r="B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</row>
    <row r="71" spans="3:5" ht="12.75">
      <c r="C71" s="66" t="s">
        <v>140</v>
      </c>
      <c r="D71" s="50">
        <v>95000000</v>
      </c>
      <c r="E71" s="28"/>
    </row>
    <row r="72" spans="3:4" ht="12.75">
      <c r="C72" s="11" t="s">
        <v>141</v>
      </c>
      <c r="D72" s="59">
        <v>6099408.5</v>
      </c>
    </row>
    <row r="73" spans="3:5" ht="13.5" thickBot="1">
      <c r="C73" s="8" t="s">
        <v>4</v>
      </c>
      <c r="D73" s="49">
        <f>SUM(D71:D72)</f>
        <v>101099408.5</v>
      </c>
      <c r="E73" s="68">
        <f>D5/D73</f>
        <v>0.9706637495312352</v>
      </c>
    </row>
    <row r="74" spans="3:5" ht="13.5" thickTop="1">
      <c r="C74" s="6"/>
      <c r="D74" s="16"/>
      <c r="E74" s="29"/>
    </row>
    <row r="75" spans="3:4" ht="12.75">
      <c r="C75" s="11" t="s">
        <v>156</v>
      </c>
      <c r="D75" s="33">
        <v>650958.73</v>
      </c>
    </row>
    <row r="76" spans="3:4" ht="12.75">
      <c r="C76" s="11" t="s">
        <v>157</v>
      </c>
      <c r="D76" s="33">
        <f>98899722.76-766191.83</f>
        <v>98133530.93</v>
      </c>
    </row>
    <row r="77" spans="3:4" ht="12.75">
      <c r="C77" s="11" t="s">
        <v>158</v>
      </c>
      <c r="D77" s="33">
        <v>2432645</v>
      </c>
    </row>
    <row r="78" spans="3:5" ht="13.5" thickBot="1">
      <c r="C78" s="11"/>
      <c r="D78" s="69">
        <f>SUM(D75:D77)</f>
        <v>101217134.66000001</v>
      </c>
      <c r="E78" s="5">
        <f>D78-D73</f>
        <v>117726.16000001132</v>
      </c>
    </row>
    <row r="79" spans="3:4" ht="13.5" thickTop="1">
      <c r="C79" s="11"/>
      <c r="D79" s="33"/>
    </row>
    <row r="80" spans="3:4" ht="12.75">
      <c r="C80" s="11" t="s">
        <v>161</v>
      </c>
      <c r="D80" s="33">
        <f>D73-D78</f>
        <v>-117726.16000001132</v>
      </c>
    </row>
    <row r="81" spans="3:4" ht="12.75">
      <c r="C81" s="11" t="s">
        <v>162</v>
      </c>
      <c r="D81" s="33">
        <f>4888176.59-4958309.81</f>
        <v>-70133.21999999974</v>
      </c>
    </row>
    <row r="82" spans="3:4" ht="12.75">
      <c r="C82" s="11" t="s">
        <v>163</v>
      </c>
      <c r="D82" s="33">
        <f>9964642.42-10000000</f>
        <v>-35357.580000000075</v>
      </c>
    </row>
    <row r="83" spans="3:4" ht="12.75">
      <c r="C83" s="11" t="s">
        <v>159</v>
      </c>
      <c r="D83" s="33">
        <v>295196.15</v>
      </c>
    </row>
    <row r="84" spans="3:4" ht="12.75">
      <c r="C84" s="11" t="s">
        <v>160</v>
      </c>
      <c r="D84" s="33">
        <v>51146.55</v>
      </c>
    </row>
    <row r="85" spans="3:4" ht="13.5" thickBot="1">
      <c r="C85" s="11"/>
      <c r="D85" s="69">
        <f>SUM(D80:D84)</f>
        <v>123125.73999998889</v>
      </c>
    </row>
    <row r="86" ht="13.5" thickTop="1">
      <c r="D86" s="12"/>
    </row>
    <row r="87" ht="12.75">
      <c r="D87" s="12"/>
    </row>
  </sheetData>
  <sheetProtection/>
  <printOptions/>
  <pageMargins left="0.5" right="0" top="0.5" bottom="0.5" header="0.5" footer="0.25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2022-02-17T14:41:44Z</cp:lastPrinted>
  <dcterms:created xsi:type="dcterms:W3CDTF">1998-02-23T20:58:01Z</dcterms:created>
  <dcterms:modified xsi:type="dcterms:W3CDTF">2022-02-17T14:42:04Z</dcterms:modified>
  <cp:category/>
  <cp:version/>
  <cp:contentType/>
  <cp:contentStatus/>
</cp:coreProperties>
</file>