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926" activeTab="1"/>
  </bookViews>
  <sheets>
    <sheet name="2018A" sheetId="1" r:id="rId1"/>
    <sheet name="Academic Project " sheetId="2" r:id="rId2"/>
    <sheet name="Percentage-082418" sheetId="3" r:id="rId3"/>
    <sheet name="Percentage - 022619" sheetId="4" r:id="rId4"/>
    <sheet name="Percentage - 082119" sheetId="5" r:id="rId5"/>
    <sheet name="Percentage - Final" sheetId="6" r:id="rId6"/>
  </sheets>
  <definedNames>
    <definedName name="_xlnm.Print_Area" localSheetId="3">'Percentage - 022619'!$A$1:$S$50</definedName>
    <definedName name="_xlnm.Print_Area" localSheetId="5">'Percentage - Final'!$A$1:$R$54</definedName>
    <definedName name="_xlnm.Print_Area" localSheetId="2">'Percentage-082418'!$A$1:$R$53</definedName>
    <definedName name="_xlnm.Print_Titles" localSheetId="0">'2018A'!$A:$A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<sst xmlns="http://schemas.openxmlformats.org/spreadsheetml/2006/main" count="956" uniqueCount="166">
  <si>
    <t>Payment</t>
  </si>
  <si>
    <t xml:space="preserve">       SU Dormitory Renovations (Auxiliary)</t>
  </si>
  <si>
    <t>Date</t>
  </si>
  <si>
    <t>Principal</t>
  </si>
  <si>
    <t>Interest</t>
  </si>
  <si>
    <t>Total</t>
  </si>
  <si>
    <t xml:space="preserve">       UMB Facilities Renewal (Academic) 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</si>
  <si>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</si>
  <si>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</si>
  <si>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</si>
  <si>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</si>
  <si>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</si>
  <si>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</si>
  <si>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</si>
  <si>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</si>
  <si>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</si>
  <si>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</si>
  <si>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</si>
  <si>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</si>
  <si>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</si>
  <si>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</si>
  <si>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</si>
  <si>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</si>
  <si>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</si>
  <si>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</si>
  <si>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</si>
  <si>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</si>
  <si>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</si>
  <si>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</si>
  <si>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</si>
  <si>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</si>
  <si>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</si>
  <si>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</si>
  <si>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Percent by Institution:</t>
  </si>
  <si>
    <t xml:space="preserve">          Distribution of Debt Services</t>
  </si>
  <si>
    <t xml:space="preserve">       University System of Maryland</t>
  </si>
  <si>
    <t>Balance</t>
  </si>
  <si>
    <t xml:space="preserve">          CSU Emergency Funds (Academic)</t>
  </si>
  <si>
    <t xml:space="preserve">  UMB Elevator &amp; Fire Alarm Improvement (Aux)</t>
  </si>
  <si>
    <t>UMBC New Performing Arts &amp; Humanities (Acad)</t>
  </si>
  <si>
    <t xml:space="preserve">           TU Recreation Building PH 2 (Aux)</t>
  </si>
  <si>
    <t xml:space="preserve">  UMCP Campus-Wide Bldg System (Acad)</t>
  </si>
  <si>
    <t xml:space="preserve">      SU New Academic Commons (Academic)</t>
  </si>
  <si>
    <t xml:space="preserve">        UMBC Event Center and Arena (Aux)</t>
  </si>
  <si>
    <t xml:space="preserve">  TU Student Housing - West Village (Auxiliary)</t>
  </si>
  <si>
    <t xml:space="preserve">   UMCP Dorchester Residence Hall (Auxiliary)</t>
  </si>
  <si>
    <t xml:space="preserve"> UMCP CSS and Residence Halls SCUB (Aux)</t>
  </si>
  <si>
    <t xml:space="preserve">         UMCP Facilities Renewal (Acad)</t>
  </si>
  <si>
    <t xml:space="preserve">   BSU Fine and performing Arts Center (Acad)</t>
  </si>
  <si>
    <t xml:space="preserve">    TU Residence Tower Renovations (Auxiliary)</t>
  </si>
  <si>
    <t xml:space="preserve">     TU Union Addition/Renovation (Auxiliary)</t>
  </si>
  <si>
    <t>UMCP Brendan Iribe Ctr for Computer Sci (Acad)</t>
  </si>
  <si>
    <t xml:space="preserve">  UMCP N. Campus Dining Hall Replace (Aux)</t>
  </si>
  <si>
    <t xml:space="preserve">      UMCP Two New Residence Halls (Aux)</t>
  </si>
  <si>
    <t xml:space="preserve">          Total Debt Services - 2018 Series A</t>
  </si>
  <si>
    <t xml:space="preserve">                         2018 A Bonds</t>
  </si>
  <si>
    <t xml:space="preserve">    2018 Series A Bond Funded Projects</t>
  </si>
  <si>
    <t xml:space="preserve">        Total Academic Projects - 2018A</t>
  </si>
  <si>
    <t xml:space="preserve">           Total Auxiliary Projects - 2018A</t>
  </si>
  <si>
    <t>2018 Series A Bonds</t>
  </si>
  <si>
    <t>2018A</t>
  </si>
  <si>
    <t>2018A Balance</t>
  </si>
  <si>
    <t xml:space="preserve">         Total Academic Projects - 2018A</t>
  </si>
  <si>
    <t>Brendan Iribe Center for Computer Sci</t>
  </si>
  <si>
    <t>39th Acad</t>
  </si>
  <si>
    <t>Facilities Renewal Projects</t>
  </si>
  <si>
    <t>37th Acad</t>
  </si>
  <si>
    <t>Campuswide Building System &amp; Infrastructure</t>
  </si>
  <si>
    <t>New Academic Commons</t>
  </si>
  <si>
    <t>37,38th Acad</t>
  </si>
  <si>
    <t>37,38,39th Acad</t>
  </si>
  <si>
    <t>Emergency Projects</t>
  </si>
  <si>
    <t>36th Acad</t>
  </si>
  <si>
    <t>36,38th Acad</t>
  </si>
  <si>
    <t>36,37th Acad</t>
  </si>
  <si>
    <t>35,37th Acad</t>
  </si>
  <si>
    <t>35,36th Acad</t>
  </si>
  <si>
    <t>33rd Acad</t>
  </si>
  <si>
    <t>New Performing Arts &amp; Humanities Fac</t>
  </si>
  <si>
    <t>32,33,34,35,36,37,38th Acad</t>
  </si>
  <si>
    <t>29th Acad</t>
  </si>
  <si>
    <t>Fine and Performing Arts Center</t>
  </si>
  <si>
    <t>29,32,33,38th Acad</t>
  </si>
  <si>
    <t>28th Acad</t>
  </si>
  <si>
    <t>27th Acad</t>
  </si>
  <si>
    <t>40th Aux</t>
  </si>
  <si>
    <t>New Residence Hall</t>
  </si>
  <si>
    <t>39th Aux</t>
  </si>
  <si>
    <t>N. Campus Dining Hall Replacement</t>
  </si>
  <si>
    <t>Two New Residence Halls</t>
  </si>
  <si>
    <t>Event Center and Arena</t>
  </si>
  <si>
    <t>Union Addition/Renovation</t>
  </si>
  <si>
    <t>Residence Tower Renovation</t>
  </si>
  <si>
    <t>38th Aux</t>
  </si>
  <si>
    <t>Dorchester Residence Hall Renovation</t>
  </si>
  <si>
    <t>38,39th Aux</t>
  </si>
  <si>
    <t>37,39th Aux</t>
  </si>
  <si>
    <t>37th Aux</t>
  </si>
  <si>
    <t>Recreation Bldg. Burdick Exp Ph 2</t>
  </si>
  <si>
    <t>West Village Housing, PH 3 &amp; 4</t>
  </si>
  <si>
    <t>36,37th Aux</t>
  </si>
  <si>
    <t>35th Aux</t>
  </si>
  <si>
    <t>Elevator &amp; Fire Alarm Imp, Parking Garage</t>
  </si>
  <si>
    <t xml:space="preserve">Dormitory Renovations, Campus-Wide </t>
  </si>
  <si>
    <t>32nd Aux</t>
  </si>
  <si>
    <t>CSS and Residence Halls SCUB Expan</t>
  </si>
  <si>
    <t>31st Aux</t>
  </si>
  <si>
    <t>Student Housing - West Village Ph II</t>
  </si>
  <si>
    <t xml:space="preserve">       UMB Emergency Projects (Academic) </t>
  </si>
  <si>
    <t xml:space="preserve">      CEES Facilities Renewal (Academic)</t>
  </si>
  <si>
    <t xml:space="preserve">            FSU New Residence Hall(Aux)</t>
  </si>
  <si>
    <t xml:space="preserve">  TU West Village Housing Ph 3 &amp; 4 (Auxiliary)</t>
  </si>
  <si>
    <t>33,37,39,40th Acad</t>
  </si>
  <si>
    <t>Five Dorm Renovation</t>
  </si>
  <si>
    <t xml:space="preserve">       FSU Five Dorm Renovation (Auxiliary)</t>
  </si>
  <si>
    <t>Debt Svc from Earnings\Accrued Int\Plant Fund</t>
  </si>
  <si>
    <t>39,40th Acad</t>
  </si>
  <si>
    <t>29,32,33,38,39,40th Acad</t>
  </si>
  <si>
    <t>35,36,37th Acad</t>
  </si>
  <si>
    <t>36,37,38th Acad</t>
  </si>
  <si>
    <t>39,40th Aux</t>
  </si>
  <si>
    <t>Rossborough Lane Parking Garage</t>
  </si>
  <si>
    <t>Guerrieri University Center Renovation</t>
  </si>
  <si>
    <t>34,36,37th Aux</t>
  </si>
  <si>
    <t xml:space="preserve">      UMCP Rossborough Lane Parking (Aux)</t>
  </si>
  <si>
    <t>SU Guerrieri University Center Renov (Auxiliary)</t>
  </si>
  <si>
    <t>40th Acad</t>
  </si>
  <si>
    <t>Interdiscliplinary Life Science Building</t>
  </si>
  <si>
    <t>32,33,34,35,36,37,38,39,40th Acad</t>
  </si>
  <si>
    <t>35,36,37,38th Acad</t>
  </si>
  <si>
    <t>29,32,33,37,38,39,40th Acad</t>
  </si>
  <si>
    <t>36,37,38,39th Acad</t>
  </si>
  <si>
    <t>35th Acad</t>
  </si>
  <si>
    <t>39,41th Aux</t>
  </si>
  <si>
    <t>37,38,39th Aux</t>
  </si>
  <si>
    <t>Recreation Bldg. Burdick Exp Ph 2 &amp; 3</t>
  </si>
  <si>
    <t>33rd Aux</t>
  </si>
  <si>
    <t>Replacement of Communication Tower</t>
  </si>
  <si>
    <t>29,32nd Aux</t>
  </si>
  <si>
    <t xml:space="preserve">      UMES Emergency Projects (Academic)</t>
  </si>
  <si>
    <t xml:space="preserve"> UMBC Interdisclipinary Life Science Bldg (Acad)</t>
  </si>
  <si>
    <t>UMBC Replace of Communication Tower (Aux)</t>
  </si>
  <si>
    <t>41st Acad</t>
  </si>
  <si>
    <t>Phamacy and Health Professions</t>
  </si>
  <si>
    <t>Flood Mitigation</t>
  </si>
  <si>
    <t>USM</t>
  </si>
  <si>
    <t>41th Acad</t>
  </si>
  <si>
    <t>S. MD Higher Education Center Bldg III</t>
  </si>
  <si>
    <t>39,40th,41st Acad</t>
  </si>
  <si>
    <t>36,37,38,40th Acad</t>
  </si>
  <si>
    <t>36,38,39th Acad</t>
  </si>
  <si>
    <t>33,37,38,39,40,41st Acad</t>
  </si>
  <si>
    <t>32,36th Acad</t>
  </si>
  <si>
    <t>29,32,33,34,35,36,37,38,39,40th Acad</t>
  </si>
  <si>
    <t>39,40,41st Aux</t>
  </si>
  <si>
    <t>41st Aux</t>
  </si>
  <si>
    <t>Retriver Activities Center Renewal</t>
  </si>
  <si>
    <t>38,39,40th Aux</t>
  </si>
  <si>
    <t>UMES Phamacy and Health Professions (Acad)</t>
  </si>
  <si>
    <t xml:space="preserve">         UMES Flood Mitigation (Academic)</t>
  </si>
  <si>
    <t xml:space="preserve">      CEES Emergency Projects (Academic)</t>
  </si>
  <si>
    <t xml:space="preserve">  USM S. MD Higher Edu Center Bldg III (Acad)</t>
  </si>
  <si>
    <t xml:space="preserve"> UMBC Retriver Activities Center Renewal (Aux)</t>
  </si>
  <si>
    <t>Amort of</t>
  </si>
  <si>
    <t>Premium</t>
  </si>
  <si>
    <t xml:space="preserve">       UMBI/UMCP Emergency Projects (Academic)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</si>
</sst>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" fontId="0" fillId="0" borderId="13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3" xfId="0" applyNumberFormat="1" applyBorder="1" applyAlignment="1" quotePrefix="1">
      <alignment horizontal="right"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3" xfId="0" applyNumberFormat="1" applyBorder="1" applyAlignment="1">
      <alignment horizontal="lef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4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40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0" borderId="13" xfId="0" applyNumberFormat="1" applyFont="1" applyFill="1" applyBorder="1" applyAlignment="1">
      <alignment horizontal="left"/>
    </xf>
    <xf numFmtId="38" fontId="0" fillId="34" borderId="13" xfId="0" applyNumberFormat="1" applyFont="1" applyFill="1" applyBorder="1" applyAlignment="1" quotePrefix="1">
      <alignment horizontal="left"/>
    </xf>
    <xf numFmtId="38" fontId="0" fillId="0" borderId="13" xfId="0" applyNumberFormat="1" applyFont="1" applyBorder="1" applyAlignment="1">
      <alignment horizontal="left"/>
    </xf>
    <xf numFmtId="38" fontId="0" fillId="0" borderId="13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165" fontId="0" fillId="0" borderId="12" xfId="0" applyNumberFormat="1" applyFont="1" applyBorder="1" applyAlignment="1">
      <alignment horizontal="right"/>
    </xf>
    <xf numFmtId="38" fontId="0" fillId="0" borderId="0" xfId="0" applyNumberFormat="1" applyFont="1" applyAlignment="1" quotePrefix="1">
      <alignment horizontal="left"/>
    </xf>
    <xf numFmtId="38" fontId="0" fillId="33" borderId="13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40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574"/>
  <sheetViews>
    <sheetView zoomScale="125" zoomScaleNormal="12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9" sqref="E9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0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0" customWidth="1"/>
    <col min="102" max="102" width="3.7109375" style="5" customWidth="1"/>
    <col min="103" max="106" width="13.7109375" style="0" customWidth="1"/>
    <col min="107" max="107" width="3.7109375" style="5" customWidth="1"/>
    <col min="108" max="111" width="13.7109375" style="6" customWidth="1"/>
    <col min="112" max="112" width="3.7109375" style="6" customWidth="1"/>
  </cols>
  <sheetData>
    <row r="1" spans="1:113" ht="12.75">
      <c r="A1" s="1"/>
      <c r="B1" s="2"/>
      <c r="D1" s="4"/>
      <c r="H1" s="4" t="s">
        <v>35</v>
      </c>
      <c r="M1" s="4"/>
      <c r="W1" s="4" t="s">
        <v>35</v>
      </c>
      <c r="AL1" s="4" t="s">
        <v>35</v>
      </c>
      <c r="BA1" s="4" t="s">
        <v>35</v>
      </c>
      <c r="BF1" s="4"/>
      <c r="BP1" s="4" t="s">
        <v>35</v>
      </c>
      <c r="CE1" s="4" t="s">
        <v>35</v>
      </c>
      <c r="CT1" s="4" t="s">
        <v>35</v>
      </c>
      <c r="DI1" s="4" t="s">
        <v>35</v>
      </c>
    </row>
    <row r="2" spans="1:113" ht="12.75">
      <c r="A2" s="1"/>
      <c r="B2" s="2"/>
      <c r="D2" s="4"/>
      <c r="H2" s="4" t="s">
        <v>34</v>
      </c>
      <c r="M2" s="4"/>
      <c r="W2" s="4" t="s">
        <v>34</v>
      </c>
      <c r="AL2" s="4" t="s">
        <v>34</v>
      </c>
      <c r="BA2" s="4" t="s">
        <v>34</v>
      </c>
      <c r="BF2" s="4"/>
      <c r="BP2" s="4" t="s">
        <v>34</v>
      </c>
      <c r="CE2" s="4" t="s">
        <v>34</v>
      </c>
      <c r="CT2" s="4" t="s">
        <v>34</v>
      </c>
      <c r="DI2" s="4" t="s">
        <v>34</v>
      </c>
    </row>
    <row r="3" spans="1:113" ht="12.75">
      <c r="A3" s="1"/>
      <c r="B3" s="2"/>
      <c r="D3" s="7"/>
      <c r="H3" s="83" t="s">
        <v>56</v>
      </c>
      <c r="M3" s="4"/>
      <c r="N3" s="5"/>
      <c r="P3" s="5" t="e">
        <f>#REF!+#REF!+#REF!+#REF!+#REF!+#REF!+#REF!+#REF!+#REF!+#REF!+#REF!+#REF!+#REF!+#REF!+#REF!+#REF!+#REF!+#REF!+#REF!</f>
        <v>#REF!</v>
      </c>
      <c r="W3" s="83" t="s">
        <v>56</v>
      </c>
      <c r="AL3" s="83" t="s">
        <v>56</v>
      </c>
      <c r="BA3" s="83" t="s">
        <v>56</v>
      </c>
      <c r="BF3" s="83"/>
      <c r="BP3" s="83" t="s">
        <v>56</v>
      </c>
      <c r="CE3" s="83" t="s">
        <v>56</v>
      </c>
      <c r="CT3" s="83" t="s">
        <v>56</v>
      </c>
      <c r="DI3" s="83" t="s">
        <v>56</v>
      </c>
    </row>
    <row r="4" spans="1:15" ht="12.75">
      <c r="A4" s="1"/>
      <c r="B4" s="2"/>
      <c r="C4" s="7"/>
      <c r="D4" s="4"/>
      <c r="M4" s="8"/>
      <c r="N4" s="8"/>
      <c r="O4" s="8">
        <f>T6+Y6+AD6+AI6+AN6+AS6+AX6+BC6+BH6+BM6+BR6+BW6+CB6+CG6+CL6+CQ6+CV6+DA6+DF6</f>
        <v>0.7067207999999999</v>
      </c>
    </row>
    <row r="5" spans="1:111" ht="12.75">
      <c r="A5" s="9" t="s">
        <v>0</v>
      </c>
      <c r="C5" s="84" t="s">
        <v>54</v>
      </c>
      <c r="D5" s="10"/>
      <c r="E5" s="11"/>
      <c r="F5" s="11"/>
      <c r="H5" s="77" t="s">
        <v>57</v>
      </c>
      <c r="I5" s="13"/>
      <c r="J5" s="14"/>
      <c r="K5" s="11"/>
      <c r="M5" s="77" t="s">
        <v>58</v>
      </c>
      <c r="N5" s="15"/>
      <c r="O5" s="14"/>
      <c r="P5" s="11"/>
      <c r="Q5" s="34"/>
      <c r="R5" s="16" t="s">
        <v>45</v>
      </c>
      <c r="S5" s="17"/>
      <c r="T5" s="18"/>
      <c r="U5" s="11"/>
      <c r="W5" s="19" t="s">
        <v>46</v>
      </c>
      <c r="X5" s="17"/>
      <c r="Y5" s="18"/>
      <c r="Z5" s="11"/>
      <c r="AB5" s="19" t="s">
        <v>52</v>
      </c>
      <c r="AC5" s="17"/>
      <c r="AD5" s="18"/>
      <c r="AE5" s="11"/>
      <c r="AG5" s="19" t="s">
        <v>53</v>
      </c>
      <c r="AH5" s="17"/>
      <c r="AI5" s="18"/>
      <c r="AJ5" s="11"/>
      <c r="AK5" s="20"/>
      <c r="AL5" s="79" t="s">
        <v>124</v>
      </c>
      <c r="AM5" s="17"/>
      <c r="AN5" s="18"/>
      <c r="AO5" s="11"/>
      <c r="AP5" s="20"/>
      <c r="AQ5" s="16" t="s">
        <v>38</v>
      </c>
      <c r="AR5" s="17"/>
      <c r="AS5" s="18"/>
      <c r="AT5" s="11"/>
      <c r="AU5" s="20"/>
      <c r="AV5" s="79" t="s">
        <v>43</v>
      </c>
      <c r="AW5" s="17"/>
      <c r="AX5" s="18"/>
      <c r="AY5" s="11"/>
      <c r="AZ5" s="20"/>
      <c r="BA5" s="79" t="s">
        <v>141</v>
      </c>
      <c r="BB5" s="17"/>
      <c r="BC5" s="18"/>
      <c r="BD5" s="11"/>
      <c r="BE5" s="20"/>
      <c r="BF5" s="79" t="s">
        <v>162</v>
      </c>
      <c r="BG5" s="17"/>
      <c r="BH5" s="18"/>
      <c r="BI5" s="11"/>
      <c r="BJ5" s="20"/>
      <c r="BK5" s="16" t="s">
        <v>110</v>
      </c>
      <c r="BL5" s="17"/>
      <c r="BM5" s="18"/>
      <c r="BN5" s="11"/>
      <c r="BP5" s="16" t="s">
        <v>114</v>
      </c>
      <c r="BQ5" s="17"/>
      <c r="BR5" s="18"/>
      <c r="BS5" s="11"/>
      <c r="BU5" s="16" t="s">
        <v>1</v>
      </c>
      <c r="BV5" s="17"/>
      <c r="BW5" s="18"/>
      <c r="BX5" s="11"/>
      <c r="BZ5" s="87" t="s">
        <v>125</v>
      </c>
      <c r="CA5" s="17"/>
      <c r="CB5" s="18"/>
      <c r="CC5" s="11"/>
      <c r="CE5" s="79" t="s">
        <v>49</v>
      </c>
      <c r="CF5" s="17"/>
      <c r="CG5" s="18"/>
      <c r="CH5" s="11"/>
      <c r="CJ5" s="16" t="s">
        <v>40</v>
      </c>
      <c r="CK5" s="17"/>
      <c r="CL5" s="18"/>
      <c r="CM5" s="11"/>
      <c r="CO5" s="79" t="s">
        <v>50</v>
      </c>
      <c r="CP5" s="17"/>
      <c r="CQ5" s="18"/>
      <c r="CR5" s="11"/>
      <c r="CT5" s="79" t="s">
        <v>44</v>
      </c>
      <c r="CU5" s="17"/>
      <c r="CV5" s="18"/>
      <c r="CW5" s="11"/>
      <c r="CY5" s="16" t="s">
        <v>111</v>
      </c>
      <c r="CZ5" s="17"/>
      <c r="DA5" s="18"/>
      <c r="DB5" s="11"/>
      <c r="DD5" s="19" t="s">
        <v>115</v>
      </c>
      <c r="DE5" s="17"/>
      <c r="DF5" s="18"/>
      <c r="DG5" s="11"/>
    </row>
    <row r="6" spans="1:111" s="8" customFormat="1" ht="12.75">
      <c r="A6" s="21" t="s">
        <v>2</v>
      </c>
      <c r="C6" s="76" t="s">
        <v>55</v>
      </c>
      <c r="D6" s="13"/>
      <c r="E6" s="40"/>
      <c r="F6" s="30" t="s">
        <v>163</v>
      </c>
      <c r="G6" s="5"/>
      <c r="H6" s="22">
        <v>0.0924647</v>
      </c>
      <c r="I6" s="23">
        <v>0.230902</v>
      </c>
      <c r="J6" s="24">
        <v>0.2932792</v>
      </c>
      <c r="K6" s="30" t="s">
        <v>163</v>
      </c>
      <c r="L6" s="5"/>
      <c r="M6" s="22">
        <f>+R6+W6+AB6+AG6+AQ6+AV6+BK6+BP6+BU6+CE6+CJ6+CO6+CT6+CY6+DD6</f>
        <v>0.9075353</v>
      </c>
      <c r="N6" s="25">
        <f>S6+X6+AC6+AH6+AM6+BL6+BQ6+BV6+CA6+CF6+CK6+CU6+CZ6+DE6+AR6+AW6+CP6</f>
        <v>0.7690975999999999</v>
      </c>
      <c r="O6" s="25">
        <f>T6+Y6+AD6+AI6+AN6+AS6+AX6+BC6+BM6+BR6+BW6+CB6+CG6+CL6+CQ6+CV6+DA6+DF6</f>
        <v>0.7067207999999999</v>
      </c>
      <c r="P6" s="30" t="s">
        <v>163</v>
      </c>
      <c r="Q6" s="67"/>
      <c r="R6" s="26">
        <v>0.0544014</v>
      </c>
      <c r="S6" s="27">
        <v>0.0621932</v>
      </c>
      <c r="T6" s="24">
        <v>0.06751</v>
      </c>
      <c r="U6" s="30" t="s">
        <v>163</v>
      </c>
      <c r="V6" s="5"/>
      <c r="W6" s="26">
        <v>7.73E-05</v>
      </c>
      <c r="X6" s="27">
        <v>7.73E-05</v>
      </c>
      <c r="Y6" s="24">
        <v>0.0001925</v>
      </c>
      <c r="Z6" s="30" t="s">
        <v>163</v>
      </c>
      <c r="AA6" s="5"/>
      <c r="AB6" s="26">
        <v>0.0085354</v>
      </c>
      <c r="AC6" s="27">
        <v>0.0192659</v>
      </c>
      <c r="AD6" s="24">
        <v>0.0307004</v>
      </c>
      <c r="AE6" s="30" t="s">
        <v>163</v>
      </c>
      <c r="AF6" s="5"/>
      <c r="AG6" s="26">
        <v>0.0064773</v>
      </c>
      <c r="AH6" s="27">
        <v>0.0182458</v>
      </c>
      <c r="AI6" s="24">
        <v>0.0408372</v>
      </c>
      <c r="AJ6" s="30" t="s">
        <v>163</v>
      </c>
      <c r="AK6" s="67"/>
      <c r="AL6" s="26">
        <v>0</v>
      </c>
      <c r="AM6" s="27">
        <v>0.0001043</v>
      </c>
      <c r="AN6" s="24">
        <v>0.0036515</v>
      </c>
      <c r="AO6" s="30" t="s">
        <v>163</v>
      </c>
      <c r="AP6" s="67"/>
      <c r="AQ6" s="26">
        <v>0.0076679</v>
      </c>
      <c r="AR6" s="27">
        <v>0.0113197</v>
      </c>
      <c r="AS6" s="24">
        <v>0.013115</v>
      </c>
      <c r="AT6" s="30" t="s">
        <v>163</v>
      </c>
      <c r="AU6" s="67"/>
      <c r="AV6" s="26">
        <v>0.063758</v>
      </c>
      <c r="AW6" s="27">
        <v>0.0908931</v>
      </c>
      <c r="AX6" s="24">
        <v>0.0913786</v>
      </c>
      <c r="AY6" s="30" t="s">
        <v>163</v>
      </c>
      <c r="AZ6" s="67"/>
      <c r="BA6" s="26"/>
      <c r="BB6" s="27"/>
      <c r="BC6" s="24">
        <v>0.0006969</v>
      </c>
      <c r="BD6" s="30" t="s">
        <v>163</v>
      </c>
      <c r="BE6" s="67"/>
      <c r="BF6" s="26"/>
      <c r="BG6" s="27"/>
      <c r="BH6" s="24">
        <v>0</v>
      </c>
      <c r="BI6" s="30" t="s">
        <v>163</v>
      </c>
      <c r="BJ6" s="67"/>
      <c r="BK6" s="26">
        <v>0.0027092</v>
      </c>
      <c r="BL6" s="27">
        <v>0.0359461</v>
      </c>
      <c r="BM6" s="24">
        <v>0.0903323</v>
      </c>
      <c r="BN6" s="30" t="s">
        <v>163</v>
      </c>
      <c r="BO6" s="5"/>
      <c r="BP6" s="26">
        <v>0.0028003</v>
      </c>
      <c r="BQ6" s="27">
        <v>0.0328434</v>
      </c>
      <c r="BR6" s="82">
        <v>0.0520981</v>
      </c>
      <c r="BS6" s="30" t="s">
        <v>163</v>
      </c>
      <c r="BT6" s="5"/>
      <c r="BU6" s="26">
        <v>0.0134014</v>
      </c>
      <c r="BV6" s="27">
        <v>0.0134054</v>
      </c>
      <c r="BW6" s="24">
        <v>0.0134054</v>
      </c>
      <c r="BX6" s="30" t="s">
        <v>163</v>
      </c>
      <c r="BY6" s="5"/>
      <c r="BZ6" s="26">
        <v>0</v>
      </c>
      <c r="CA6" s="27">
        <v>6E-06</v>
      </c>
      <c r="CB6" s="24">
        <v>6E-06</v>
      </c>
      <c r="CC6" s="30" t="s">
        <v>163</v>
      </c>
      <c r="CD6" s="5"/>
      <c r="CE6" s="26">
        <v>0.0344366</v>
      </c>
      <c r="CF6" s="27">
        <v>0.0494417</v>
      </c>
      <c r="CG6" s="24">
        <v>0.0498522</v>
      </c>
      <c r="CH6" s="30" t="s">
        <v>163</v>
      </c>
      <c r="CI6" s="5"/>
      <c r="CJ6" s="26">
        <v>0.0243248</v>
      </c>
      <c r="CK6" s="27">
        <v>0.0253566</v>
      </c>
      <c r="CL6" s="24">
        <v>0.0253862</v>
      </c>
      <c r="CM6" s="30" t="s">
        <v>163</v>
      </c>
      <c r="CN6" s="5"/>
      <c r="CO6" s="26">
        <v>0.0169521</v>
      </c>
      <c r="CP6" s="27">
        <v>0.0663697</v>
      </c>
      <c r="CQ6" s="24">
        <v>0.1757571</v>
      </c>
      <c r="CR6" s="30" t="s">
        <v>163</v>
      </c>
      <c r="CS6" s="5"/>
      <c r="CT6" s="26">
        <v>8.1E-06</v>
      </c>
      <c r="CU6" s="27">
        <v>2.37E-05</v>
      </c>
      <c r="CV6" s="24">
        <v>2.37E-05</v>
      </c>
      <c r="CW6" s="30" t="s">
        <v>163</v>
      </c>
      <c r="CX6" s="5"/>
      <c r="CY6" s="26">
        <v>2.22E-05</v>
      </c>
      <c r="CZ6" s="27">
        <v>2.22E-05</v>
      </c>
      <c r="DA6" s="24">
        <v>2.22E-05</v>
      </c>
      <c r="DB6" s="30" t="s">
        <v>163</v>
      </c>
      <c r="DC6" s="5"/>
      <c r="DD6" s="26">
        <v>0.6719633</v>
      </c>
      <c r="DE6" s="27">
        <v>0.3435835</v>
      </c>
      <c r="DF6" s="24">
        <v>0.0517555</v>
      </c>
      <c r="DG6" s="30" t="s">
        <v>163</v>
      </c>
    </row>
    <row r="7" spans="1:111" s="8" customFormat="1" ht="12.75">
      <c r="A7" s="21"/>
      <c r="C7" s="41"/>
      <c r="D7" s="13"/>
      <c r="E7" s="40"/>
      <c r="F7" s="30" t="s">
        <v>164</v>
      </c>
      <c r="G7" s="5"/>
      <c r="H7" s="22"/>
      <c r="I7" s="23">
        <v>0.2880929</v>
      </c>
      <c r="J7" s="24"/>
      <c r="K7" s="30" t="s">
        <v>164</v>
      </c>
      <c r="L7" s="5"/>
      <c r="M7" s="22"/>
      <c r="N7" s="25">
        <f>S7+X7+AC7+AH7+AM7+AR7+AW7+BB7+BG7+BL7+BQ7+BV7+CA7+CF7+CK7+CP7+CU7+CZ7</f>
        <v>0.7119071</v>
      </c>
      <c r="O7" s="25"/>
      <c r="P7" s="30" t="s">
        <v>164</v>
      </c>
      <c r="Q7" s="67"/>
      <c r="R7" s="26"/>
      <c r="S7" s="27">
        <v>0.063245</v>
      </c>
      <c r="T7" s="24"/>
      <c r="U7" s="30" t="s">
        <v>164</v>
      </c>
      <c r="V7" s="5"/>
      <c r="W7" s="26"/>
      <c r="X7" s="27">
        <v>0.0001789</v>
      </c>
      <c r="Y7" s="24"/>
      <c r="Z7" s="30" t="s">
        <v>164</v>
      </c>
      <c r="AA7" s="5"/>
      <c r="AB7" s="26"/>
      <c r="AC7" s="27">
        <v>0.0335448</v>
      </c>
      <c r="AD7" s="24"/>
      <c r="AE7" s="30" t="s">
        <v>164</v>
      </c>
      <c r="AF7" s="5"/>
      <c r="AG7" s="26"/>
      <c r="AH7" s="27">
        <v>0.0480551</v>
      </c>
      <c r="AI7" s="24"/>
      <c r="AJ7" s="30" t="s">
        <v>164</v>
      </c>
      <c r="AK7" s="67"/>
      <c r="AL7" s="26"/>
      <c r="AM7" s="27">
        <v>0.0033932</v>
      </c>
      <c r="AN7" s="24"/>
      <c r="AO7" s="30" t="s">
        <v>164</v>
      </c>
      <c r="AP7" s="67"/>
      <c r="AQ7" s="26"/>
      <c r="AR7" s="27">
        <v>0.0121871</v>
      </c>
      <c r="AS7" s="24"/>
      <c r="AT7" s="30" t="s">
        <v>164</v>
      </c>
      <c r="AU7" s="67"/>
      <c r="AV7" s="26"/>
      <c r="AW7" s="27">
        <v>0.0865104</v>
      </c>
      <c r="AX7" s="24"/>
      <c r="AY7" s="30" t="s">
        <v>164</v>
      </c>
      <c r="AZ7" s="67"/>
      <c r="BA7" s="26"/>
      <c r="BB7" s="27">
        <v>0.0006476</v>
      </c>
      <c r="BC7" s="24"/>
      <c r="BD7" s="30" t="s">
        <v>164</v>
      </c>
      <c r="BE7" s="67"/>
      <c r="BF7" s="26"/>
      <c r="BG7" s="27">
        <v>0.0002118</v>
      </c>
      <c r="BH7" s="24"/>
      <c r="BI7" s="30" t="s">
        <v>164</v>
      </c>
      <c r="BJ7" s="67"/>
      <c r="BK7" s="26"/>
      <c r="BL7" s="27">
        <v>0.1339449</v>
      </c>
      <c r="BM7" s="24"/>
      <c r="BN7" s="30" t="s">
        <v>164</v>
      </c>
      <c r="BO7" s="5"/>
      <c r="BP7" s="26"/>
      <c r="BQ7" s="27">
        <v>0.0509453</v>
      </c>
      <c r="BR7" s="24"/>
      <c r="BS7" s="30" t="s">
        <v>164</v>
      </c>
      <c r="BT7" s="5"/>
      <c r="BU7" s="26"/>
      <c r="BV7" s="27">
        <v>0.012457</v>
      </c>
      <c r="BW7" s="24"/>
      <c r="BX7" s="30" t="s">
        <v>164</v>
      </c>
      <c r="BY7" s="5"/>
      <c r="BZ7" s="26"/>
      <c r="CA7" s="27">
        <v>5.5E-06</v>
      </c>
      <c r="CB7" s="24"/>
      <c r="CC7" s="30" t="s">
        <v>164</v>
      </c>
      <c r="CD7" s="5"/>
      <c r="CE7" s="26"/>
      <c r="CF7" s="27">
        <v>0.0463252</v>
      </c>
      <c r="CG7" s="24"/>
      <c r="CH7" s="30" t="s">
        <v>164</v>
      </c>
      <c r="CI7" s="5"/>
      <c r="CJ7" s="26"/>
      <c r="CK7" s="27">
        <v>0.023872</v>
      </c>
      <c r="CL7" s="24"/>
      <c r="CM7" s="30" t="s">
        <v>164</v>
      </c>
      <c r="CN7" s="5"/>
      <c r="CO7" s="26"/>
      <c r="CP7" s="27">
        <v>0.1963406</v>
      </c>
      <c r="CQ7" s="24"/>
      <c r="CR7" s="30" t="s">
        <v>164</v>
      </c>
      <c r="CS7" s="5"/>
      <c r="CT7" s="26"/>
      <c r="CU7" s="27">
        <v>2.21E-05</v>
      </c>
      <c r="CV7" s="24"/>
      <c r="CW7" s="30" t="s">
        <v>164</v>
      </c>
      <c r="CX7" s="5"/>
      <c r="CY7" s="26"/>
      <c r="CZ7" s="27">
        <v>2.06E-05</v>
      </c>
      <c r="DA7" s="24"/>
      <c r="DB7" s="30" t="s">
        <v>164</v>
      </c>
      <c r="DC7" s="5"/>
      <c r="DD7" s="26"/>
      <c r="DE7" s="27">
        <v>0</v>
      </c>
      <c r="DF7" s="24"/>
      <c r="DG7" s="30" t="s">
        <v>164</v>
      </c>
    </row>
    <row r="8" spans="1:111" ht="12.75">
      <c r="A8" s="29"/>
      <c r="C8" s="30" t="s">
        <v>3</v>
      </c>
      <c r="D8" s="30" t="s">
        <v>4</v>
      </c>
      <c r="E8" s="30" t="s">
        <v>5</v>
      </c>
      <c r="F8" s="30" t="s">
        <v>5</v>
      </c>
      <c r="H8" s="30" t="s">
        <v>3</v>
      </c>
      <c r="I8" s="78" t="s">
        <v>4</v>
      </c>
      <c r="J8" s="30" t="s">
        <v>5</v>
      </c>
      <c r="K8" s="30" t="s">
        <v>5</v>
      </c>
      <c r="M8" s="30" t="s">
        <v>3</v>
      </c>
      <c r="N8" s="30" t="s">
        <v>4</v>
      </c>
      <c r="O8" s="30" t="s">
        <v>5</v>
      </c>
      <c r="P8" s="30" t="s">
        <v>5</v>
      </c>
      <c r="Q8" s="81"/>
      <c r="R8" s="31" t="s">
        <v>3</v>
      </c>
      <c r="S8" s="31" t="s">
        <v>4</v>
      </c>
      <c r="T8" s="31" t="s">
        <v>5</v>
      </c>
      <c r="U8" s="30" t="s">
        <v>5</v>
      </c>
      <c r="W8" s="31" t="s">
        <v>3</v>
      </c>
      <c r="X8" s="31" t="s">
        <v>4</v>
      </c>
      <c r="Y8" s="31" t="s">
        <v>5</v>
      </c>
      <c r="Z8" s="30" t="s">
        <v>5</v>
      </c>
      <c r="AB8" s="31" t="s">
        <v>3</v>
      </c>
      <c r="AC8" s="31" t="s">
        <v>4</v>
      </c>
      <c r="AD8" s="31" t="s">
        <v>5</v>
      </c>
      <c r="AE8" s="30" t="s">
        <v>5</v>
      </c>
      <c r="AG8" s="31" t="s">
        <v>3</v>
      </c>
      <c r="AH8" s="31" t="s">
        <v>4</v>
      </c>
      <c r="AI8" s="31" t="s">
        <v>5</v>
      </c>
      <c r="AJ8" s="30" t="s">
        <v>5</v>
      </c>
      <c r="AK8" s="32"/>
      <c r="AL8" s="31" t="s">
        <v>3</v>
      </c>
      <c r="AM8" s="31" t="s">
        <v>4</v>
      </c>
      <c r="AN8" s="31" t="s">
        <v>5</v>
      </c>
      <c r="AO8" s="30" t="s">
        <v>5</v>
      </c>
      <c r="AP8" s="32"/>
      <c r="AQ8" s="31" t="s">
        <v>3</v>
      </c>
      <c r="AR8" s="31" t="s">
        <v>4</v>
      </c>
      <c r="AS8" s="31" t="s">
        <v>5</v>
      </c>
      <c r="AT8" s="30" t="s">
        <v>5</v>
      </c>
      <c r="AU8" s="32"/>
      <c r="AV8" s="31" t="s">
        <v>3</v>
      </c>
      <c r="AW8" s="31" t="s">
        <v>4</v>
      </c>
      <c r="AX8" s="31" t="s">
        <v>5</v>
      </c>
      <c r="AY8" s="30" t="s">
        <v>5</v>
      </c>
      <c r="AZ8" s="32"/>
      <c r="BA8" s="31" t="s">
        <v>3</v>
      </c>
      <c r="BB8" s="31" t="s">
        <v>4</v>
      </c>
      <c r="BC8" s="31" t="s">
        <v>5</v>
      </c>
      <c r="BD8" s="30" t="s">
        <v>5</v>
      </c>
      <c r="BE8" s="32"/>
      <c r="BF8" s="31" t="s">
        <v>3</v>
      </c>
      <c r="BG8" s="31" t="s">
        <v>4</v>
      </c>
      <c r="BH8" s="31" t="s">
        <v>5</v>
      </c>
      <c r="BI8" s="30" t="s">
        <v>5</v>
      </c>
      <c r="BJ8" s="32"/>
      <c r="BK8" s="31" t="s">
        <v>3</v>
      </c>
      <c r="BL8" s="31" t="s">
        <v>4</v>
      </c>
      <c r="BM8" s="31" t="s">
        <v>5</v>
      </c>
      <c r="BN8" s="30" t="s">
        <v>5</v>
      </c>
      <c r="BP8" s="31" t="s">
        <v>3</v>
      </c>
      <c r="BQ8" s="31" t="s">
        <v>4</v>
      </c>
      <c r="BR8" s="31" t="s">
        <v>5</v>
      </c>
      <c r="BS8" s="30" t="s">
        <v>5</v>
      </c>
      <c r="BU8" s="31" t="s">
        <v>3</v>
      </c>
      <c r="BV8" s="31" t="s">
        <v>4</v>
      </c>
      <c r="BW8" s="31" t="s">
        <v>5</v>
      </c>
      <c r="BX8" s="30" t="s">
        <v>5</v>
      </c>
      <c r="BZ8" s="31" t="s">
        <v>3</v>
      </c>
      <c r="CA8" s="31" t="s">
        <v>4</v>
      </c>
      <c r="CB8" s="31" t="s">
        <v>5</v>
      </c>
      <c r="CC8" s="30" t="s">
        <v>5</v>
      </c>
      <c r="CE8" s="31" t="s">
        <v>3</v>
      </c>
      <c r="CF8" s="31" t="s">
        <v>4</v>
      </c>
      <c r="CG8" s="31" t="s">
        <v>5</v>
      </c>
      <c r="CH8" s="30" t="s">
        <v>5</v>
      </c>
      <c r="CJ8" s="31" t="s">
        <v>3</v>
      </c>
      <c r="CK8" s="31" t="s">
        <v>4</v>
      </c>
      <c r="CL8" s="31" t="s">
        <v>5</v>
      </c>
      <c r="CM8" s="30" t="s">
        <v>5</v>
      </c>
      <c r="CO8" s="31" t="s">
        <v>3</v>
      </c>
      <c r="CP8" s="31" t="s">
        <v>4</v>
      </c>
      <c r="CQ8" s="31" t="s">
        <v>5</v>
      </c>
      <c r="CR8" s="30" t="s">
        <v>5</v>
      </c>
      <c r="CT8" s="31" t="s">
        <v>3</v>
      </c>
      <c r="CU8" s="31" t="s">
        <v>4</v>
      </c>
      <c r="CV8" s="31" t="s">
        <v>5</v>
      </c>
      <c r="CW8" s="30" t="s">
        <v>5</v>
      </c>
      <c r="CY8" s="31" t="s">
        <v>3</v>
      </c>
      <c r="CZ8" s="31" t="s">
        <v>4</v>
      </c>
      <c r="DA8" s="31" t="s">
        <v>5</v>
      </c>
      <c r="DB8" s="30" t="s">
        <v>5</v>
      </c>
      <c r="DD8" s="31" t="s">
        <v>3</v>
      </c>
      <c r="DE8" s="31" t="s">
        <v>4</v>
      </c>
      <c r="DF8" s="31" t="s">
        <v>5</v>
      </c>
      <c r="DG8" s="30" t="s">
        <v>5</v>
      </c>
    </row>
    <row r="9" spans="1:121" ht="12.75">
      <c r="A9" s="36">
        <v>44470</v>
      </c>
      <c r="D9" s="3">
        <v>2069581</v>
      </c>
      <c r="E9" s="34">
        <f aca="true" t="shared" si="0" ref="E9:E42">C9+D9</f>
        <v>2069581</v>
      </c>
      <c r="F9" s="34">
        <v>220182</v>
      </c>
      <c r="G9" s="35"/>
      <c r="H9" s="35"/>
      <c r="I9" s="35">
        <f aca="true" t="shared" si="1" ref="I9:I42">D9*$I$7</f>
        <v>596231.5920748999</v>
      </c>
      <c r="J9" s="35">
        <f aca="true" t="shared" si="2" ref="J9:J42">H9+I9</f>
        <v>596231.5920748999</v>
      </c>
      <c r="K9" s="35">
        <f>'Academic Project '!K9</f>
        <v>63432.870907799996</v>
      </c>
      <c r="M9" s="35"/>
      <c r="N9" s="34">
        <f aca="true" t="shared" si="3" ref="N9:P42">S9+X9+AC9+AH9+AM9+AR9+AW9+BB9+BG9+BL9+BQ9+BV9+CA9+CF9+CK9+CP9+CU9+CZ9</f>
        <v>1473349.4079250998</v>
      </c>
      <c r="O9" s="35">
        <f aca="true" t="shared" si="4" ref="O9:O42">M9+N9</f>
        <v>1473349.4079250998</v>
      </c>
      <c r="P9" s="34">
        <f t="shared" si="3"/>
        <v>156749.12909220002</v>
      </c>
      <c r="Q9" s="35"/>
      <c r="R9" s="35"/>
      <c r="S9" s="35">
        <f aca="true" t="shared" si="5" ref="S9:S42">D9*$S$7</f>
        <v>130890.65034499999</v>
      </c>
      <c r="T9" s="35">
        <f aca="true" t="shared" si="6" ref="T9:T42">R9+S9</f>
        <v>130890.65034499999</v>
      </c>
      <c r="U9" s="35">
        <f aca="true" t="shared" si="7" ref="U9:U42">$F9*S$7</f>
        <v>13925.41059</v>
      </c>
      <c r="W9" s="35"/>
      <c r="X9" s="35">
        <f aca="true" t="shared" si="8" ref="X9:X42">D9*$X$7</f>
        <v>370.24804090000003</v>
      </c>
      <c r="Y9" s="35">
        <f aca="true" t="shared" si="9" ref="Y9:Y42">W9+X9</f>
        <v>370.24804090000003</v>
      </c>
      <c r="Z9" s="35">
        <f aca="true" t="shared" si="10" ref="Z9:Z42">$F9*X$7</f>
        <v>39.390559800000005</v>
      </c>
      <c r="AB9" s="35"/>
      <c r="AC9" s="35">
        <f aca="true" t="shared" si="11" ref="AC9:AC42">D9*$AC$7</f>
        <v>69423.6807288</v>
      </c>
      <c r="AD9" s="35">
        <f aca="true" t="shared" si="12" ref="AD9:AD42">AB9+AC9</f>
        <v>69423.6807288</v>
      </c>
      <c r="AE9" s="35">
        <f aca="true" t="shared" si="13" ref="AE9:AE42">$F9*AC$7</f>
        <v>7385.9611536</v>
      </c>
      <c r="AG9" s="35"/>
      <c r="AH9" s="35">
        <f aca="true" t="shared" si="14" ref="AH9:AH42">D9*$AH$7</f>
        <v>99453.92191310001</v>
      </c>
      <c r="AI9" s="35">
        <f aca="true" t="shared" si="15" ref="AI9:AI42">AG9+AH9</f>
        <v>99453.92191310001</v>
      </c>
      <c r="AJ9" s="35">
        <f aca="true" t="shared" si="16" ref="AJ9:AJ42">$F9*AH$7</f>
        <v>10580.8680282</v>
      </c>
      <c r="AK9" s="35"/>
      <c r="AL9" s="35"/>
      <c r="AM9" s="35">
        <f aca="true" t="shared" si="17" ref="AM9:AM42">D9*$AM$7</f>
        <v>7022.5022492</v>
      </c>
      <c r="AN9" s="35">
        <f aca="true" t="shared" si="18" ref="AN9:AN42">AL9+AM9</f>
        <v>7022.5022492</v>
      </c>
      <c r="AO9" s="35">
        <f aca="true" t="shared" si="19" ref="AO9:AO42">$F9*AM$7</f>
        <v>747.1215624</v>
      </c>
      <c r="AP9" s="35"/>
      <c r="AQ9" s="35"/>
      <c r="AR9" s="35">
        <f aca="true" t="shared" si="20" ref="AR9:AR42">D9*$AR$7</f>
        <v>25222.190605099997</v>
      </c>
      <c r="AS9" s="35">
        <f aca="true" t="shared" si="21" ref="AS9:AS42">AQ9+AR9</f>
        <v>25222.190605099997</v>
      </c>
      <c r="AT9" s="35">
        <f aca="true" t="shared" si="22" ref="AT9:AT42">$F9*AR$7</f>
        <v>2683.3800521999997</v>
      </c>
      <c r="AU9" s="35"/>
      <c r="AV9" s="35"/>
      <c r="AW9" s="35">
        <f aca="true" t="shared" si="23" ref="AW9:AW42">D9*$AW$7</f>
        <v>179040.2801424</v>
      </c>
      <c r="AX9" s="35">
        <f aca="true" t="shared" si="24" ref="AX9:AX42">AV9+AW9</f>
        <v>179040.2801424</v>
      </c>
      <c r="AY9" s="35">
        <f aca="true" t="shared" si="25" ref="AY9:AY42">$F9*AW$7</f>
        <v>19048.0328928</v>
      </c>
      <c r="AZ9" s="35"/>
      <c r="BA9" s="35"/>
      <c r="BB9" s="35">
        <f aca="true" t="shared" si="26" ref="BB9:BB42">D9*$BB$7</f>
        <v>1340.2606556</v>
      </c>
      <c r="BC9" s="35">
        <f aca="true" t="shared" si="27" ref="BC9:BC42">BA9+BB9</f>
        <v>1340.2606556</v>
      </c>
      <c r="BD9" s="35">
        <f aca="true" t="shared" si="28" ref="BD9:BD42">$F9*BB$7</f>
        <v>142.5898632</v>
      </c>
      <c r="BE9" s="35"/>
      <c r="BF9" s="35"/>
      <c r="BG9" s="35">
        <f aca="true" t="shared" si="29" ref="BG9:BG42">D9*$BG$7</f>
        <v>438.3372558</v>
      </c>
      <c r="BH9" s="35">
        <f aca="true" t="shared" si="30" ref="BH9:BH42">BF9+BG9</f>
        <v>438.3372558</v>
      </c>
      <c r="BI9" s="35">
        <f aca="true" t="shared" si="31" ref="BI9:BI42">$F9*BG$7</f>
        <v>46.6345476</v>
      </c>
      <c r="BJ9" s="35"/>
      <c r="BK9" s="35"/>
      <c r="BL9" s="35">
        <f aca="true" t="shared" si="32" ref="BL9:BL42">D9*$BL$7</f>
        <v>277209.8200869</v>
      </c>
      <c r="BM9" s="35">
        <f aca="true" t="shared" si="33" ref="BM9:BM42">BK9+BL9</f>
        <v>277209.8200869</v>
      </c>
      <c r="BN9" s="35">
        <f aca="true" t="shared" si="34" ref="BN9:BN42">$F9*BL$7</f>
        <v>29492.2559718</v>
      </c>
      <c r="BP9" s="35"/>
      <c r="BQ9" s="35">
        <f aca="true" t="shared" si="35" ref="BQ9:BQ42">D9*$BQ$7</f>
        <v>105435.4249193</v>
      </c>
      <c r="BR9" s="35">
        <f aca="true" t="shared" si="36" ref="BR9:BR42">BP9+BQ9</f>
        <v>105435.4249193</v>
      </c>
      <c r="BS9" s="35">
        <f aca="true" t="shared" si="37" ref="BS9:BS42">$F9*BQ$7</f>
        <v>11217.2380446</v>
      </c>
      <c r="BU9" s="35"/>
      <c r="BV9" s="35">
        <f aca="true" t="shared" si="38" ref="BV9:BV42">D9*$BV$7</f>
        <v>25780.770516999997</v>
      </c>
      <c r="BW9" s="35">
        <f aca="true" t="shared" si="39" ref="BW9:BW42">BU9+BV9</f>
        <v>25780.770516999997</v>
      </c>
      <c r="BX9" s="35">
        <f aca="true" t="shared" si="40" ref="BX9:BX42">$F9*BV$7</f>
        <v>2742.807174</v>
      </c>
      <c r="BZ9" s="35"/>
      <c r="CA9" s="35">
        <f aca="true" t="shared" si="41" ref="CA9:CA42">D9*$CA$7</f>
        <v>11.3826955</v>
      </c>
      <c r="CB9" s="35">
        <f aca="true" t="shared" si="42" ref="CB9:CB42">BZ9+CA9</f>
        <v>11.3826955</v>
      </c>
      <c r="CC9" s="35">
        <f aca="true" t="shared" si="43" ref="CC9:CC42">$F9*CA$7</f>
        <v>1.211001</v>
      </c>
      <c r="CE9" s="35"/>
      <c r="CF9" s="35">
        <f aca="true" t="shared" si="44" ref="CF9:CF42">D9*$CF$7</f>
        <v>95873.7537412</v>
      </c>
      <c r="CG9" s="35">
        <f aca="true" t="shared" si="45" ref="CG9:CG42">CE9+CF9</f>
        <v>95873.7537412</v>
      </c>
      <c r="CH9" s="35">
        <f aca="true" t="shared" si="46" ref="CH9:CH42">$F9*CF$7</f>
        <v>10199.975186399999</v>
      </c>
      <c r="CJ9" s="35"/>
      <c r="CK9" s="35">
        <f aca="true" t="shared" si="47" ref="CK9:CK42">D9*$CK$7</f>
        <v>49405.037632</v>
      </c>
      <c r="CL9" s="35">
        <f aca="true" t="shared" si="48" ref="CL9:CL42">CJ9+CK9</f>
        <v>49405.037632</v>
      </c>
      <c r="CM9" s="35">
        <f aca="true" t="shared" si="49" ref="CM9:CM42">$F9*CK$7</f>
        <v>5256.184704</v>
      </c>
      <c r="CO9" s="35"/>
      <c r="CP9" s="35">
        <f aca="true" t="shared" si="50" ref="CP9:CP42">D9*$CP$7</f>
        <v>406342.7752886</v>
      </c>
      <c r="CQ9" s="35">
        <f aca="true" t="shared" si="51" ref="CQ9:CQ42">CO9+CP9</f>
        <v>406342.7752886</v>
      </c>
      <c r="CR9" s="35">
        <f aca="true" t="shared" si="52" ref="CR9:CR42">$F9*CP$7</f>
        <v>43230.6659892</v>
      </c>
      <c r="CT9" s="35"/>
      <c r="CU9" s="35">
        <f aca="true" t="shared" si="53" ref="CU9:CU42">D9*$CU$7</f>
        <v>45.737740099999996</v>
      </c>
      <c r="CV9" s="35">
        <f aca="true" t="shared" si="54" ref="CV9:CV42">CT9+CU9</f>
        <v>45.737740099999996</v>
      </c>
      <c r="CW9" s="35">
        <f aca="true" t="shared" si="55" ref="CW9:CW42">$F9*CU$7</f>
        <v>4.8660222</v>
      </c>
      <c r="CY9" s="35"/>
      <c r="CZ9" s="35">
        <f aca="true" t="shared" si="56" ref="CZ9:CZ42">D9*$CZ$7</f>
        <v>42.6333686</v>
      </c>
      <c r="DA9" s="35">
        <f aca="true" t="shared" si="57" ref="DA9:DA42">CY9+CZ9</f>
        <v>42.6333686</v>
      </c>
      <c r="DB9" s="35">
        <f aca="true" t="shared" si="58" ref="DB9:DB42">$F9*CZ$7</f>
        <v>4.5357492</v>
      </c>
      <c r="DD9" s="5"/>
      <c r="DE9" s="35"/>
      <c r="DF9" s="35">
        <f aca="true" t="shared" si="59" ref="DF9:DF42">DD9+DE9</f>
        <v>0</v>
      </c>
      <c r="DG9" s="35">
        <f aca="true" t="shared" si="60" ref="DG9:DG42">$F9*DE$7</f>
        <v>0</v>
      </c>
      <c r="DH9" s="5"/>
      <c r="DI9" s="5"/>
      <c r="DJ9" s="5"/>
      <c r="DK9" s="5"/>
      <c r="DL9" s="5"/>
      <c r="DM9" s="5"/>
      <c r="DN9" s="5"/>
      <c r="DO9" s="5"/>
      <c r="DP9" s="5"/>
      <c r="DQ9" s="5"/>
    </row>
    <row r="10" spans="1:121" ht="12.75">
      <c r="A10" s="36">
        <v>44652</v>
      </c>
      <c r="C10" s="3">
        <v>4185000</v>
      </c>
      <c r="D10" s="3">
        <v>2069581</v>
      </c>
      <c r="E10" s="34">
        <f t="shared" si="0"/>
        <v>6254581</v>
      </c>
      <c r="F10" s="34">
        <v>220182</v>
      </c>
      <c r="G10" s="35"/>
      <c r="H10" s="35">
        <f aca="true" t="shared" si="61" ref="H10:H42">C10*$I$7</f>
        <v>1205668.7865</v>
      </c>
      <c r="I10" s="35">
        <f t="shared" si="1"/>
        <v>596231.5920748999</v>
      </c>
      <c r="J10" s="35">
        <f t="shared" si="2"/>
        <v>1801900.3785748999</v>
      </c>
      <c r="K10" s="35">
        <f>'Academic Project '!K10</f>
        <v>63432.870907799996</v>
      </c>
      <c r="M10" s="35">
        <f aca="true" t="shared" si="62" ref="M10:M42">R10+W10+AB10+AG10+AL10+AQ10+AV10+BA10+BF10+BK10+BP10+BU10+BZ10+CE10+CJ10+CO10+CT10+CY10</f>
        <v>2979331.2135</v>
      </c>
      <c r="N10" s="34">
        <f t="shared" si="3"/>
        <v>1473349.4079250998</v>
      </c>
      <c r="O10" s="35">
        <f t="shared" si="4"/>
        <v>4452680.6214251</v>
      </c>
      <c r="P10" s="34">
        <f t="shared" si="3"/>
        <v>156749.12909220002</v>
      </c>
      <c r="Q10" s="35"/>
      <c r="R10" s="35">
        <f aca="true" t="shared" si="63" ref="R10:R42">C10*$S$7</f>
        <v>264680.32499999995</v>
      </c>
      <c r="S10" s="35">
        <f t="shared" si="5"/>
        <v>130890.65034499999</v>
      </c>
      <c r="T10" s="35">
        <f t="shared" si="6"/>
        <v>395570.9753449999</v>
      </c>
      <c r="U10" s="35">
        <f t="shared" si="7"/>
        <v>13925.41059</v>
      </c>
      <c r="W10" s="35">
        <f aca="true" t="shared" si="64" ref="W10:W42">C10*$X$7</f>
        <v>748.6965</v>
      </c>
      <c r="X10" s="35">
        <f t="shared" si="8"/>
        <v>370.24804090000003</v>
      </c>
      <c r="Y10" s="35">
        <f t="shared" si="9"/>
        <v>1118.9445409</v>
      </c>
      <c r="Z10" s="35">
        <f t="shared" si="10"/>
        <v>39.390559800000005</v>
      </c>
      <c r="AB10" s="35">
        <f aca="true" t="shared" si="65" ref="AB10:AB42">C10*$AC$7</f>
        <v>140384.988</v>
      </c>
      <c r="AC10" s="35">
        <f t="shared" si="11"/>
        <v>69423.6807288</v>
      </c>
      <c r="AD10" s="35">
        <f t="shared" si="12"/>
        <v>209808.66872880002</v>
      </c>
      <c r="AE10" s="35">
        <f t="shared" si="13"/>
        <v>7385.9611536</v>
      </c>
      <c r="AG10" s="35">
        <f aca="true" t="shared" si="66" ref="AG10:AG42">C10*$AH$7</f>
        <v>201110.59350000002</v>
      </c>
      <c r="AH10" s="35">
        <f t="shared" si="14"/>
        <v>99453.92191310001</v>
      </c>
      <c r="AI10" s="35">
        <f t="shared" si="15"/>
        <v>300564.5154131</v>
      </c>
      <c r="AJ10" s="35">
        <f t="shared" si="16"/>
        <v>10580.8680282</v>
      </c>
      <c r="AK10" s="35"/>
      <c r="AL10" s="35">
        <f aca="true" t="shared" si="67" ref="AL10:AL42">C10*$AM$7</f>
        <v>14200.542</v>
      </c>
      <c r="AM10" s="35">
        <f t="shared" si="17"/>
        <v>7022.5022492</v>
      </c>
      <c r="AN10" s="35">
        <f t="shared" si="18"/>
        <v>21223.0442492</v>
      </c>
      <c r="AO10" s="35">
        <f t="shared" si="19"/>
        <v>747.1215624</v>
      </c>
      <c r="AP10" s="35"/>
      <c r="AQ10" s="35">
        <f aca="true" t="shared" si="68" ref="AQ10:AQ42">C10*$AR$7</f>
        <v>51003.013499999994</v>
      </c>
      <c r="AR10" s="35">
        <f t="shared" si="20"/>
        <v>25222.190605099997</v>
      </c>
      <c r="AS10" s="35">
        <f t="shared" si="21"/>
        <v>76225.20410509998</v>
      </c>
      <c r="AT10" s="35">
        <f t="shared" si="22"/>
        <v>2683.3800521999997</v>
      </c>
      <c r="AU10" s="35"/>
      <c r="AV10" s="35">
        <f aca="true" t="shared" si="69" ref="AV10:AV42">C10*$AW$7</f>
        <v>362046.02400000003</v>
      </c>
      <c r="AW10" s="35">
        <f t="shared" si="23"/>
        <v>179040.2801424</v>
      </c>
      <c r="AX10" s="35">
        <f t="shared" si="24"/>
        <v>541086.3041424</v>
      </c>
      <c r="AY10" s="35">
        <f t="shared" si="25"/>
        <v>19048.0328928</v>
      </c>
      <c r="AZ10" s="35"/>
      <c r="BA10" s="35">
        <f aca="true" t="shared" si="70" ref="BA10:BA42">C10*$BB$7</f>
        <v>2710.206</v>
      </c>
      <c r="BB10" s="35">
        <f t="shared" si="26"/>
        <v>1340.2606556</v>
      </c>
      <c r="BC10" s="35">
        <f t="shared" si="27"/>
        <v>4050.4666556</v>
      </c>
      <c r="BD10" s="35">
        <f t="shared" si="28"/>
        <v>142.5898632</v>
      </c>
      <c r="BE10" s="35"/>
      <c r="BF10" s="35">
        <f aca="true" t="shared" si="71" ref="BF10:BF42">C10*$BG$7</f>
        <v>886.383</v>
      </c>
      <c r="BG10" s="35">
        <f t="shared" si="29"/>
        <v>438.3372558</v>
      </c>
      <c r="BH10" s="35">
        <f t="shared" si="30"/>
        <v>1324.7202558</v>
      </c>
      <c r="BI10" s="35">
        <f t="shared" si="31"/>
        <v>46.6345476</v>
      </c>
      <c r="BJ10" s="35"/>
      <c r="BK10" s="35">
        <f aca="true" t="shared" si="72" ref="BK10:BK42">C10*$BL$7</f>
        <v>560559.4065</v>
      </c>
      <c r="BL10" s="35">
        <f t="shared" si="32"/>
        <v>277209.8200869</v>
      </c>
      <c r="BM10" s="35">
        <f t="shared" si="33"/>
        <v>837769.2265869001</v>
      </c>
      <c r="BN10" s="35">
        <f t="shared" si="34"/>
        <v>29492.2559718</v>
      </c>
      <c r="BP10" s="35">
        <f aca="true" t="shared" si="73" ref="BP10:BP42">C10*$BQ$7</f>
        <v>213206.08049999998</v>
      </c>
      <c r="BQ10" s="35">
        <f t="shared" si="35"/>
        <v>105435.4249193</v>
      </c>
      <c r="BR10" s="35">
        <f t="shared" si="36"/>
        <v>318641.5054193</v>
      </c>
      <c r="BS10" s="35">
        <f t="shared" si="37"/>
        <v>11217.2380446</v>
      </c>
      <c r="BU10" s="35">
        <f aca="true" t="shared" si="74" ref="BU10:BU42">C10*$BV$7</f>
        <v>52132.545</v>
      </c>
      <c r="BV10" s="35">
        <f t="shared" si="38"/>
        <v>25780.770516999997</v>
      </c>
      <c r="BW10" s="35">
        <f t="shared" si="39"/>
        <v>77913.315517</v>
      </c>
      <c r="BX10" s="35">
        <f t="shared" si="40"/>
        <v>2742.807174</v>
      </c>
      <c r="BZ10" s="35">
        <f aca="true" t="shared" si="75" ref="BZ10:BZ42">C10*$CA$7</f>
        <v>23.0175</v>
      </c>
      <c r="CA10" s="35">
        <f t="shared" si="41"/>
        <v>11.3826955</v>
      </c>
      <c r="CB10" s="35">
        <f t="shared" si="42"/>
        <v>34.400195499999995</v>
      </c>
      <c r="CC10" s="35">
        <f t="shared" si="43"/>
        <v>1.211001</v>
      </c>
      <c r="CE10" s="35">
        <f aca="true" t="shared" si="76" ref="CE10:CE42">C10*$CF$7</f>
        <v>193870.962</v>
      </c>
      <c r="CF10" s="35">
        <f t="shared" si="44"/>
        <v>95873.7537412</v>
      </c>
      <c r="CG10" s="35">
        <f t="shared" si="45"/>
        <v>289744.7157412</v>
      </c>
      <c r="CH10" s="35">
        <f t="shared" si="46"/>
        <v>10199.975186399999</v>
      </c>
      <c r="CJ10" s="35">
        <f aca="true" t="shared" si="77" ref="CJ10:CJ42">C10*$CK$7</f>
        <v>99904.32</v>
      </c>
      <c r="CK10" s="35">
        <f t="shared" si="47"/>
        <v>49405.037632</v>
      </c>
      <c r="CL10" s="35">
        <f t="shared" si="48"/>
        <v>149309.357632</v>
      </c>
      <c r="CM10" s="35">
        <f t="shared" si="49"/>
        <v>5256.184704</v>
      </c>
      <c r="CO10" s="35">
        <f aca="true" t="shared" si="78" ref="CO10:CO42">C10*$CP$7</f>
        <v>821685.411</v>
      </c>
      <c r="CP10" s="35">
        <f t="shared" si="50"/>
        <v>406342.7752886</v>
      </c>
      <c r="CQ10" s="35">
        <f t="shared" si="51"/>
        <v>1228028.1862885999</v>
      </c>
      <c r="CR10" s="35">
        <f t="shared" si="52"/>
        <v>43230.6659892</v>
      </c>
      <c r="CT10" s="35">
        <f aca="true" t="shared" si="79" ref="CT10:CT42">C10*$CU$7</f>
        <v>92.48849999999999</v>
      </c>
      <c r="CU10" s="35">
        <f t="shared" si="53"/>
        <v>45.737740099999996</v>
      </c>
      <c r="CV10" s="35">
        <f t="shared" si="54"/>
        <v>138.22624009999998</v>
      </c>
      <c r="CW10" s="35">
        <f t="shared" si="55"/>
        <v>4.8660222</v>
      </c>
      <c r="CY10" s="35">
        <f aca="true" t="shared" si="80" ref="CY10:CY42">C10*$CZ$7</f>
        <v>86.211</v>
      </c>
      <c r="CZ10" s="35">
        <f t="shared" si="56"/>
        <v>42.6333686</v>
      </c>
      <c r="DA10" s="35">
        <f t="shared" si="57"/>
        <v>128.8443686</v>
      </c>
      <c r="DB10" s="35">
        <f t="shared" si="58"/>
        <v>4.5357492</v>
      </c>
      <c r="DD10" s="5"/>
      <c r="DE10" s="35"/>
      <c r="DF10" s="35">
        <f t="shared" si="59"/>
        <v>0</v>
      </c>
      <c r="DG10" s="35">
        <f t="shared" si="60"/>
        <v>0</v>
      </c>
      <c r="DH10" s="5"/>
      <c r="DI10" s="5"/>
      <c r="DJ10" s="5"/>
      <c r="DK10" s="5"/>
      <c r="DL10" s="5"/>
      <c r="DM10" s="5"/>
      <c r="DN10" s="5"/>
      <c r="DO10" s="5"/>
      <c r="DP10" s="5"/>
      <c r="DQ10" s="5"/>
    </row>
    <row r="11" spans="1:121" ht="12.75">
      <c r="A11" s="36">
        <v>44835</v>
      </c>
      <c r="D11" s="3">
        <v>1964956</v>
      </c>
      <c r="E11" s="34">
        <f t="shared" si="0"/>
        <v>1964956</v>
      </c>
      <c r="F11" s="34">
        <v>220182</v>
      </c>
      <c r="G11" s="35"/>
      <c r="H11" s="35"/>
      <c r="I11" s="35">
        <f t="shared" si="1"/>
        <v>566089.8724124</v>
      </c>
      <c r="J11" s="35">
        <f t="shared" si="2"/>
        <v>566089.8724124</v>
      </c>
      <c r="K11" s="35">
        <f>'Academic Project '!K11</f>
        <v>63432.870907799996</v>
      </c>
      <c r="M11" s="35"/>
      <c r="N11" s="34">
        <f t="shared" si="3"/>
        <v>1398866.1275876001</v>
      </c>
      <c r="O11" s="35">
        <f t="shared" si="4"/>
        <v>1398866.1275876001</v>
      </c>
      <c r="P11" s="34">
        <f t="shared" si="3"/>
        <v>156749.12909220002</v>
      </c>
      <c r="Q11" s="35"/>
      <c r="R11" s="35"/>
      <c r="S11" s="35">
        <f t="shared" si="5"/>
        <v>124273.64222</v>
      </c>
      <c r="T11" s="35">
        <f t="shared" si="6"/>
        <v>124273.64222</v>
      </c>
      <c r="U11" s="35">
        <f t="shared" si="7"/>
        <v>13925.41059</v>
      </c>
      <c r="W11" s="35"/>
      <c r="X11" s="35">
        <f t="shared" si="8"/>
        <v>351.5306284</v>
      </c>
      <c r="Y11" s="35">
        <f t="shared" si="9"/>
        <v>351.5306284</v>
      </c>
      <c r="Z11" s="35">
        <f t="shared" si="10"/>
        <v>39.390559800000005</v>
      </c>
      <c r="AB11" s="35"/>
      <c r="AC11" s="35">
        <f t="shared" si="11"/>
        <v>65914.0560288</v>
      </c>
      <c r="AD11" s="35">
        <f t="shared" si="12"/>
        <v>65914.0560288</v>
      </c>
      <c r="AE11" s="35">
        <f t="shared" si="13"/>
        <v>7385.9611536</v>
      </c>
      <c r="AG11" s="35"/>
      <c r="AH11" s="35">
        <f t="shared" si="14"/>
        <v>94426.1570756</v>
      </c>
      <c r="AI11" s="35">
        <f t="shared" si="15"/>
        <v>94426.1570756</v>
      </c>
      <c r="AJ11" s="35">
        <f t="shared" si="16"/>
        <v>10580.8680282</v>
      </c>
      <c r="AK11" s="35"/>
      <c r="AL11" s="35"/>
      <c r="AM11" s="35">
        <f t="shared" si="17"/>
        <v>6667.4886992</v>
      </c>
      <c r="AN11" s="35">
        <f t="shared" si="18"/>
        <v>6667.4886992</v>
      </c>
      <c r="AO11" s="35">
        <f t="shared" si="19"/>
        <v>747.1215624</v>
      </c>
      <c r="AP11" s="35"/>
      <c r="AQ11" s="35"/>
      <c r="AR11" s="35">
        <f t="shared" si="20"/>
        <v>23947.1152676</v>
      </c>
      <c r="AS11" s="35">
        <f t="shared" si="21"/>
        <v>23947.1152676</v>
      </c>
      <c r="AT11" s="35">
        <f t="shared" si="22"/>
        <v>2683.3800521999997</v>
      </c>
      <c r="AU11" s="35"/>
      <c r="AV11" s="35"/>
      <c r="AW11" s="35">
        <f t="shared" si="23"/>
        <v>169989.1295424</v>
      </c>
      <c r="AX11" s="35">
        <f t="shared" si="24"/>
        <v>169989.1295424</v>
      </c>
      <c r="AY11" s="35">
        <f t="shared" si="25"/>
        <v>19048.0328928</v>
      </c>
      <c r="AZ11" s="35"/>
      <c r="BA11" s="35"/>
      <c r="BB11" s="35">
        <f t="shared" si="26"/>
        <v>1272.5055056</v>
      </c>
      <c r="BC11" s="35">
        <f t="shared" si="27"/>
        <v>1272.5055056</v>
      </c>
      <c r="BD11" s="35">
        <f t="shared" si="28"/>
        <v>142.5898632</v>
      </c>
      <c r="BE11" s="35"/>
      <c r="BF11" s="35"/>
      <c r="BG11" s="35">
        <f t="shared" si="29"/>
        <v>416.1776808</v>
      </c>
      <c r="BH11" s="35">
        <f t="shared" si="30"/>
        <v>416.1776808</v>
      </c>
      <c r="BI11" s="35">
        <f t="shared" si="31"/>
        <v>46.6345476</v>
      </c>
      <c r="BJ11" s="35"/>
      <c r="BK11" s="35"/>
      <c r="BL11" s="35">
        <f t="shared" si="32"/>
        <v>263195.8349244</v>
      </c>
      <c r="BM11" s="35">
        <f t="shared" si="33"/>
        <v>263195.8349244</v>
      </c>
      <c r="BN11" s="35">
        <f t="shared" si="34"/>
        <v>29492.2559718</v>
      </c>
      <c r="BP11" s="35"/>
      <c r="BQ11" s="35">
        <f t="shared" si="35"/>
        <v>100105.2729068</v>
      </c>
      <c r="BR11" s="35">
        <f t="shared" si="36"/>
        <v>100105.2729068</v>
      </c>
      <c r="BS11" s="35">
        <f t="shared" si="37"/>
        <v>11217.2380446</v>
      </c>
      <c r="BU11" s="35"/>
      <c r="BV11" s="35">
        <f t="shared" si="38"/>
        <v>24477.456892</v>
      </c>
      <c r="BW11" s="35">
        <f t="shared" si="39"/>
        <v>24477.456892</v>
      </c>
      <c r="BX11" s="35">
        <f t="shared" si="40"/>
        <v>2742.807174</v>
      </c>
      <c r="BZ11" s="35"/>
      <c r="CA11" s="35">
        <f t="shared" si="41"/>
        <v>10.807258</v>
      </c>
      <c r="CB11" s="35">
        <f t="shared" si="42"/>
        <v>10.807258</v>
      </c>
      <c r="CC11" s="35">
        <f t="shared" si="43"/>
        <v>1.211001</v>
      </c>
      <c r="CE11" s="35"/>
      <c r="CF11" s="35">
        <f t="shared" si="44"/>
        <v>91026.97969119999</v>
      </c>
      <c r="CG11" s="35">
        <f t="shared" si="45"/>
        <v>91026.97969119999</v>
      </c>
      <c r="CH11" s="35">
        <f t="shared" si="46"/>
        <v>10199.975186399999</v>
      </c>
      <c r="CJ11" s="35"/>
      <c r="CK11" s="35">
        <f t="shared" si="47"/>
        <v>46907.429632</v>
      </c>
      <c r="CL11" s="35">
        <f t="shared" si="48"/>
        <v>46907.429632</v>
      </c>
      <c r="CM11" s="35">
        <f t="shared" si="49"/>
        <v>5256.184704</v>
      </c>
      <c r="CO11" s="35"/>
      <c r="CP11" s="35">
        <f t="shared" si="50"/>
        <v>385800.6400136</v>
      </c>
      <c r="CQ11" s="35">
        <f t="shared" si="51"/>
        <v>385800.6400136</v>
      </c>
      <c r="CR11" s="35">
        <f t="shared" si="52"/>
        <v>43230.6659892</v>
      </c>
      <c r="CT11" s="35"/>
      <c r="CU11" s="35">
        <f t="shared" si="53"/>
        <v>43.425527599999995</v>
      </c>
      <c r="CV11" s="35">
        <f t="shared" si="54"/>
        <v>43.425527599999995</v>
      </c>
      <c r="CW11" s="35">
        <f t="shared" si="55"/>
        <v>4.8660222</v>
      </c>
      <c r="CY11" s="35"/>
      <c r="CZ11" s="35">
        <f t="shared" si="56"/>
        <v>40.4780936</v>
      </c>
      <c r="DA11" s="35">
        <f t="shared" si="57"/>
        <v>40.4780936</v>
      </c>
      <c r="DB11" s="35">
        <f t="shared" si="58"/>
        <v>4.5357492</v>
      </c>
      <c r="DD11" s="5"/>
      <c r="DE11" s="35"/>
      <c r="DF11" s="35">
        <f t="shared" si="59"/>
        <v>0</v>
      </c>
      <c r="DG11" s="35">
        <f t="shared" si="60"/>
        <v>0</v>
      </c>
      <c r="DH11" s="5"/>
      <c r="DI11" s="5"/>
      <c r="DJ11" s="5"/>
      <c r="DK11" s="5"/>
      <c r="DL11" s="5"/>
      <c r="DM11" s="5"/>
      <c r="DN11" s="5"/>
      <c r="DO11" s="5"/>
      <c r="DP11" s="5"/>
      <c r="DQ11" s="5"/>
    </row>
    <row r="12" spans="1:121" ht="12.75">
      <c r="A12" s="36">
        <v>45017</v>
      </c>
      <c r="B12" s="37"/>
      <c r="C12" s="3">
        <v>4395000</v>
      </c>
      <c r="D12" s="3">
        <v>1964956</v>
      </c>
      <c r="E12" s="34">
        <f t="shared" si="0"/>
        <v>6359956</v>
      </c>
      <c r="F12" s="34">
        <v>220182</v>
      </c>
      <c r="G12" s="35"/>
      <c r="H12" s="35">
        <f t="shared" si="61"/>
        <v>1266168.2955</v>
      </c>
      <c r="I12" s="35">
        <f t="shared" si="1"/>
        <v>566089.8724124</v>
      </c>
      <c r="J12" s="35">
        <f t="shared" si="2"/>
        <v>1832258.1679123999</v>
      </c>
      <c r="K12" s="35">
        <f>'Academic Project '!K12</f>
        <v>63432.870907799996</v>
      </c>
      <c r="M12" s="35">
        <f t="shared" si="62"/>
        <v>3128831.7045</v>
      </c>
      <c r="N12" s="34">
        <f t="shared" si="3"/>
        <v>1398866.1275876001</v>
      </c>
      <c r="O12" s="35">
        <f t="shared" si="4"/>
        <v>4527697.832087601</v>
      </c>
      <c r="P12" s="34">
        <f t="shared" si="3"/>
        <v>156749.12909220002</v>
      </c>
      <c r="Q12" s="35"/>
      <c r="R12" s="35">
        <f t="shared" si="63"/>
        <v>277961.77499999997</v>
      </c>
      <c r="S12" s="35">
        <f t="shared" si="5"/>
        <v>124273.64222</v>
      </c>
      <c r="T12" s="35">
        <f t="shared" si="6"/>
        <v>402235.41721999994</v>
      </c>
      <c r="U12" s="35">
        <f t="shared" si="7"/>
        <v>13925.41059</v>
      </c>
      <c r="W12" s="35">
        <f t="shared" si="64"/>
        <v>786.2655000000001</v>
      </c>
      <c r="X12" s="35">
        <f t="shared" si="8"/>
        <v>351.5306284</v>
      </c>
      <c r="Y12" s="35">
        <f t="shared" si="9"/>
        <v>1137.7961284</v>
      </c>
      <c r="Z12" s="35">
        <f t="shared" si="10"/>
        <v>39.390559800000005</v>
      </c>
      <c r="AB12" s="35">
        <f t="shared" si="65"/>
        <v>147429.396</v>
      </c>
      <c r="AC12" s="35">
        <f t="shared" si="11"/>
        <v>65914.0560288</v>
      </c>
      <c r="AD12" s="35">
        <f t="shared" si="12"/>
        <v>213343.4520288</v>
      </c>
      <c r="AE12" s="35">
        <f t="shared" si="13"/>
        <v>7385.9611536</v>
      </c>
      <c r="AG12" s="35">
        <f t="shared" si="66"/>
        <v>211202.1645</v>
      </c>
      <c r="AH12" s="35">
        <f t="shared" si="14"/>
        <v>94426.1570756</v>
      </c>
      <c r="AI12" s="35">
        <f t="shared" si="15"/>
        <v>305628.3215756</v>
      </c>
      <c r="AJ12" s="35">
        <f t="shared" si="16"/>
        <v>10580.8680282</v>
      </c>
      <c r="AK12" s="35"/>
      <c r="AL12" s="35">
        <f t="shared" si="67"/>
        <v>14913.114</v>
      </c>
      <c r="AM12" s="35">
        <f t="shared" si="17"/>
        <v>6667.4886992</v>
      </c>
      <c r="AN12" s="35">
        <f t="shared" si="18"/>
        <v>21580.6026992</v>
      </c>
      <c r="AO12" s="35">
        <f t="shared" si="19"/>
        <v>747.1215624</v>
      </c>
      <c r="AP12" s="35"/>
      <c r="AQ12" s="35">
        <f t="shared" si="68"/>
        <v>53562.3045</v>
      </c>
      <c r="AR12" s="35">
        <f t="shared" si="20"/>
        <v>23947.1152676</v>
      </c>
      <c r="AS12" s="35">
        <f t="shared" si="21"/>
        <v>77509.41976759999</v>
      </c>
      <c r="AT12" s="35">
        <f t="shared" si="22"/>
        <v>2683.3800521999997</v>
      </c>
      <c r="AU12" s="35"/>
      <c r="AV12" s="35">
        <f t="shared" si="69"/>
        <v>380213.208</v>
      </c>
      <c r="AW12" s="35">
        <f t="shared" si="23"/>
        <v>169989.1295424</v>
      </c>
      <c r="AX12" s="35">
        <f t="shared" si="24"/>
        <v>550202.3375424</v>
      </c>
      <c r="AY12" s="35">
        <f t="shared" si="25"/>
        <v>19048.0328928</v>
      </c>
      <c r="AZ12" s="35"/>
      <c r="BA12" s="35">
        <f t="shared" si="70"/>
        <v>2846.202</v>
      </c>
      <c r="BB12" s="35">
        <f t="shared" si="26"/>
        <v>1272.5055056</v>
      </c>
      <c r="BC12" s="35">
        <f t="shared" si="27"/>
        <v>4118.7075056</v>
      </c>
      <c r="BD12" s="35">
        <f t="shared" si="28"/>
        <v>142.5898632</v>
      </c>
      <c r="BE12" s="35"/>
      <c r="BF12" s="35">
        <f t="shared" si="71"/>
        <v>930.861</v>
      </c>
      <c r="BG12" s="35">
        <f t="shared" si="29"/>
        <v>416.1776808</v>
      </c>
      <c r="BH12" s="35">
        <f t="shared" si="30"/>
        <v>1347.0386808</v>
      </c>
      <c r="BI12" s="35">
        <f t="shared" si="31"/>
        <v>46.6345476</v>
      </c>
      <c r="BJ12" s="35"/>
      <c r="BK12" s="35">
        <f t="shared" si="72"/>
        <v>588687.8355</v>
      </c>
      <c r="BL12" s="35">
        <f t="shared" si="32"/>
        <v>263195.8349244</v>
      </c>
      <c r="BM12" s="35">
        <f t="shared" si="33"/>
        <v>851883.6704244001</v>
      </c>
      <c r="BN12" s="35">
        <f t="shared" si="34"/>
        <v>29492.2559718</v>
      </c>
      <c r="BP12" s="35">
        <f t="shared" si="73"/>
        <v>223904.5935</v>
      </c>
      <c r="BQ12" s="35">
        <f t="shared" si="35"/>
        <v>100105.2729068</v>
      </c>
      <c r="BR12" s="35">
        <f t="shared" si="36"/>
        <v>324009.8664068</v>
      </c>
      <c r="BS12" s="35">
        <f t="shared" si="37"/>
        <v>11217.2380446</v>
      </c>
      <c r="BU12" s="35">
        <f t="shared" si="74"/>
        <v>54748.515</v>
      </c>
      <c r="BV12" s="35">
        <f t="shared" si="38"/>
        <v>24477.456892</v>
      </c>
      <c r="BW12" s="35">
        <f t="shared" si="39"/>
        <v>79225.971892</v>
      </c>
      <c r="BX12" s="35">
        <f t="shared" si="40"/>
        <v>2742.807174</v>
      </c>
      <c r="BZ12" s="35">
        <f t="shared" si="75"/>
        <v>24.1725</v>
      </c>
      <c r="CA12" s="35">
        <f t="shared" si="41"/>
        <v>10.807258</v>
      </c>
      <c r="CB12" s="35">
        <f t="shared" si="42"/>
        <v>34.979758</v>
      </c>
      <c r="CC12" s="35">
        <f t="shared" si="43"/>
        <v>1.211001</v>
      </c>
      <c r="CE12" s="35">
        <f t="shared" si="76"/>
        <v>203599.254</v>
      </c>
      <c r="CF12" s="35">
        <f t="shared" si="44"/>
        <v>91026.97969119999</v>
      </c>
      <c r="CG12" s="35">
        <f t="shared" si="45"/>
        <v>294626.2336912</v>
      </c>
      <c r="CH12" s="35">
        <f t="shared" si="46"/>
        <v>10199.975186399999</v>
      </c>
      <c r="CJ12" s="35">
        <f t="shared" si="77"/>
        <v>104917.44</v>
      </c>
      <c r="CK12" s="35">
        <f t="shared" si="47"/>
        <v>46907.429632</v>
      </c>
      <c r="CL12" s="35">
        <f t="shared" si="48"/>
        <v>151824.869632</v>
      </c>
      <c r="CM12" s="35">
        <f t="shared" si="49"/>
        <v>5256.184704</v>
      </c>
      <c r="CO12" s="35">
        <f t="shared" si="78"/>
        <v>862916.937</v>
      </c>
      <c r="CP12" s="35">
        <f t="shared" si="50"/>
        <v>385800.6400136</v>
      </c>
      <c r="CQ12" s="35">
        <f t="shared" si="51"/>
        <v>1248717.5770136002</v>
      </c>
      <c r="CR12" s="35">
        <f t="shared" si="52"/>
        <v>43230.6659892</v>
      </c>
      <c r="CT12" s="35">
        <f t="shared" si="79"/>
        <v>97.1295</v>
      </c>
      <c r="CU12" s="35">
        <f t="shared" si="53"/>
        <v>43.425527599999995</v>
      </c>
      <c r="CV12" s="35">
        <f t="shared" si="54"/>
        <v>140.5550276</v>
      </c>
      <c r="CW12" s="35">
        <f t="shared" si="55"/>
        <v>4.8660222</v>
      </c>
      <c r="CY12" s="35">
        <f t="shared" si="80"/>
        <v>90.53699999999999</v>
      </c>
      <c r="CZ12" s="35">
        <f t="shared" si="56"/>
        <v>40.4780936</v>
      </c>
      <c r="DA12" s="35">
        <f t="shared" si="57"/>
        <v>131.0150936</v>
      </c>
      <c r="DB12" s="35">
        <f t="shared" si="58"/>
        <v>4.5357492</v>
      </c>
      <c r="DD12" s="5"/>
      <c r="DE12" s="35"/>
      <c r="DF12" s="35">
        <f t="shared" si="59"/>
        <v>0</v>
      </c>
      <c r="DG12" s="35">
        <f t="shared" si="60"/>
        <v>0</v>
      </c>
      <c r="DH12" s="5"/>
      <c r="DI12" s="5"/>
      <c r="DJ12" s="5"/>
      <c r="DK12" s="5"/>
      <c r="DL12" s="5"/>
      <c r="DM12" s="5"/>
      <c r="DN12" s="5"/>
      <c r="DO12" s="5"/>
      <c r="DP12" s="5"/>
      <c r="DQ12" s="5"/>
    </row>
    <row r="13" spans="1:121" ht="12.75">
      <c r="A13" s="36">
        <v>45200</v>
      </c>
      <c r="D13" s="3">
        <v>1855081</v>
      </c>
      <c r="E13" s="34">
        <f t="shared" si="0"/>
        <v>1855081</v>
      </c>
      <c r="F13" s="34">
        <v>220182</v>
      </c>
      <c r="G13" s="35"/>
      <c r="H13" s="35"/>
      <c r="I13" s="35">
        <f t="shared" si="1"/>
        <v>534435.6650249</v>
      </c>
      <c r="J13" s="35">
        <f t="shared" si="2"/>
        <v>534435.6650249</v>
      </c>
      <c r="K13" s="35">
        <f>'Academic Project '!K13</f>
        <v>63432.870907799996</v>
      </c>
      <c r="M13" s="35"/>
      <c r="N13" s="34">
        <f t="shared" si="3"/>
        <v>1320645.3349751</v>
      </c>
      <c r="O13" s="35">
        <f t="shared" si="4"/>
        <v>1320645.3349751</v>
      </c>
      <c r="P13" s="34">
        <f t="shared" si="3"/>
        <v>156749.12909220002</v>
      </c>
      <c r="Q13" s="35"/>
      <c r="R13" s="35"/>
      <c r="S13" s="35">
        <f t="shared" si="5"/>
        <v>117324.597845</v>
      </c>
      <c r="T13" s="35">
        <f t="shared" si="6"/>
        <v>117324.597845</v>
      </c>
      <c r="U13" s="35">
        <f t="shared" si="7"/>
        <v>13925.41059</v>
      </c>
      <c r="W13" s="35"/>
      <c r="X13" s="35">
        <f t="shared" si="8"/>
        <v>331.8739909</v>
      </c>
      <c r="Y13" s="35">
        <f t="shared" si="9"/>
        <v>331.8739909</v>
      </c>
      <c r="Z13" s="35">
        <f t="shared" si="10"/>
        <v>39.390559800000005</v>
      </c>
      <c r="AB13" s="35"/>
      <c r="AC13" s="35">
        <f t="shared" si="11"/>
        <v>62228.3211288</v>
      </c>
      <c r="AD13" s="35">
        <f t="shared" si="12"/>
        <v>62228.3211288</v>
      </c>
      <c r="AE13" s="35">
        <f t="shared" si="13"/>
        <v>7385.9611536</v>
      </c>
      <c r="AG13" s="35"/>
      <c r="AH13" s="35">
        <f t="shared" si="14"/>
        <v>89146.10296310001</v>
      </c>
      <c r="AI13" s="35">
        <f t="shared" si="15"/>
        <v>89146.10296310001</v>
      </c>
      <c r="AJ13" s="35">
        <f t="shared" si="16"/>
        <v>10580.8680282</v>
      </c>
      <c r="AK13" s="35"/>
      <c r="AL13" s="35"/>
      <c r="AM13" s="35">
        <f t="shared" si="17"/>
        <v>6294.6608492</v>
      </c>
      <c r="AN13" s="35">
        <f t="shared" si="18"/>
        <v>6294.6608492</v>
      </c>
      <c r="AO13" s="35">
        <f t="shared" si="19"/>
        <v>747.1215624</v>
      </c>
      <c r="AP13" s="35"/>
      <c r="AQ13" s="35"/>
      <c r="AR13" s="35">
        <f t="shared" si="20"/>
        <v>22608.057655099998</v>
      </c>
      <c r="AS13" s="35">
        <f t="shared" si="21"/>
        <v>22608.057655099998</v>
      </c>
      <c r="AT13" s="35">
        <f t="shared" si="22"/>
        <v>2683.3800521999997</v>
      </c>
      <c r="AU13" s="35"/>
      <c r="AV13" s="35"/>
      <c r="AW13" s="35">
        <f t="shared" si="23"/>
        <v>160483.79934240002</v>
      </c>
      <c r="AX13" s="35">
        <f t="shared" si="24"/>
        <v>160483.79934240002</v>
      </c>
      <c r="AY13" s="35">
        <f t="shared" si="25"/>
        <v>19048.0328928</v>
      </c>
      <c r="AZ13" s="35"/>
      <c r="BA13" s="35"/>
      <c r="BB13" s="35">
        <f t="shared" si="26"/>
        <v>1201.3504556</v>
      </c>
      <c r="BC13" s="35">
        <f t="shared" si="27"/>
        <v>1201.3504556</v>
      </c>
      <c r="BD13" s="35">
        <f t="shared" si="28"/>
        <v>142.5898632</v>
      </c>
      <c r="BE13" s="35"/>
      <c r="BF13" s="35"/>
      <c r="BG13" s="35">
        <f t="shared" si="29"/>
        <v>392.9061558</v>
      </c>
      <c r="BH13" s="35">
        <f t="shared" si="30"/>
        <v>392.9061558</v>
      </c>
      <c r="BI13" s="35">
        <f t="shared" si="31"/>
        <v>46.6345476</v>
      </c>
      <c r="BJ13" s="35"/>
      <c r="BK13" s="35"/>
      <c r="BL13" s="35">
        <f t="shared" si="32"/>
        <v>248478.63903690001</v>
      </c>
      <c r="BM13" s="35">
        <f t="shared" si="33"/>
        <v>248478.63903690001</v>
      </c>
      <c r="BN13" s="35">
        <f t="shared" si="34"/>
        <v>29492.2559718</v>
      </c>
      <c r="BP13" s="35"/>
      <c r="BQ13" s="35">
        <f t="shared" si="35"/>
        <v>94507.6580693</v>
      </c>
      <c r="BR13" s="35">
        <f t="shared" si="36"/>
        <v>94507.6580693</v>
      </c>
      <c r="BS13" s="35">
        <f t="shared" si="37"/>
        <v>11217.2380446</v>
      </c>
      <c r="BU13" s="35"/>
      <c r="BV13" s="35">
        <f t="shared" si="38"/>
        <v>23108.744016999997</v>
      </c>
      <c r="BW13" s="35">
        <f t="shared" si="39"/>
        <v>23108.744016999997</v>
      </c>
      <c r="BX13" s="35">
        <f t="shared" si="40"/>
        <v>2742.807174</v>
      </c>
      <c r="BZ13" s="35"/>
      <c r="CA13" s="35">
        <f t="shared" si="41"/>
        <v>10.2029455</v>
      </c>
      <c r="CB13" s="35">
        <f t="shared" si="42"/>
        <v>10.2029455</v>
      </c>
      <c r="CC13" s="35">
        <f t="shared" si="43"/>
        <v>1.211001</v>
      </c>
      <c r="CE13" s="35"/>
      <c r="CF13" s="35">
        <f t="shared" si="44"/>
        <v>85936.9983412</v>
      </c>
      <c r="CG13" s="35">
        <f t="shared" si="45"/>
        <v>85936.9983412</v>
      </c>
      <c r="CH13" s="35">
        <f t="shared" si="46"/>
        <v>10199.975186399999</v>
      </c>
      <c r="CJ13" s="35"/>
      <c r="CK13" s="35">
        <f t="shared" si="47"/>
        <v>44284.493632000005</v>
      </c>
      <c r="CL13" s="35">
        <f t="shared" si="48"/>
        <v>44284.493632000005</v>
      </c>
      <c r="CM13" s="35">
        <f t="shared" si="49"/>
        <v>5256.184704</v>
      </c>
      <c r="CO13" s="35"/>
      <c r="CP13" s="35">
        <f t="shared" si="50"/>
        <v>364227.7165886</v>
      </c>
      <c r="CQ13" s="35">
        <f t="shared" si="51"/>
        <v>364227.7165886</v>
      </c>
      <c r="CR13" s="35">
        <f t="shared" si="52"/>
        <v>43230.6659892</v>
      </c>
      <c r="CT13" s="35"/>
      <c r="CU13" s="35">
        <f t="shared" si="53"/>
        <v>40.997290099999994</v>
      </c>
      <c r="CV13" s="35">
        <f t="shared" si="54"/>
        <v>40.997290099999994</v>
      </c>
      <c r="CW13" s="35">
        <f t="shared" si="55"/>
        <v>4.8660222</v>
      </c>
      <c r="CY13" s="35"/>
      <c r="CZ13" s="35">
        <f t="shared" si="56"/>
        <v>38.214668599999996</v>
      </c>
      <c r="DA13" s="35">
        <f t="shared" si="57"/>
        <v>38.214668599999996</v>
      </c>
      <c r="DB13" s="35">
        <f t="shared" si="58"/>
        <v>4.5357492</v>
      </c>
      <c r="DD13" s="5"/>
      <c r="DE13" s="35"/>
      <c r="DF13" s="35">
        <f t="shared" si="59"/>
        <v>0</v>
      </c>
      <c r="DG13" s="35">
        <f t="shared" si="60"/>
        <v>0</v>
      </c>
      <c r="DH13" s="5"/>
      <c r="DI13" s="5"/>
      <c r="DJ13" s="5"/>
      <c r="DK13" s="5"/>
      <c r="DL13" s="5"/>
      <c r="DM13" s="5"/>
      <c r="DN13" s="5"/>
      <c r="DO13" s="5"/>
      <c r="DP13" s="5"/>
      <c r="DQ13" s="5"/>
    </row>
    <row r="14" spans="1:121" ht="12.75">
      <c r="A14" s="36">
        <v>45383</v>
      </c>
      <c r="C14" s="3">
        <v>4615000</v>
      </c>
      <c r="D14" s="3">
        <v>1855081</v>
      </c>
      <c r="E14" s="34">
        <f t="shared" si="0"/>
        <v>6470081</v>
      </c>
      <c r="F14" s="34">
        <v>220182</v>
      </c>
      <c r="G14" s="35"/>
      <c r="H14" s="35">
        <f t="shared" si="61"/>
        <v>1329548.7334999999</v>
      </c>
      <c r="I14" s="35">
        <f t="shared" si="1"/>
        <v>534435.6650249</v>
      </c>
      <c r="J14" s="35">
        <f t="shared" si="2"/>
        <v>1863984.3985249</v>
      </c>
      <c r="K14" s="35">
        <f>'Academic Project '!K14</f>
        <v>63432.870907799996</v>
      </c>
      <c r="M14" s="35">
        <f t="shared" si="62"/>
        <v>3285451.2665</v>
      </c>
      <c r="N14" s="34">
        <f t="shared" si="3"/>
        <v>1320645.3349751</v>
      </c>
      <c r="O14" s="35">
        <f t="shared" si="4"/>
        <v>4606096.6014751</v>
      </c>
      <c r="P14" s="34">
        <f t="shared" si="3"/>
        <v>156749.12909220002</v>
      </c>
      <c r="Q14" s="35"/>
      <c r="R14" s="35">
        <f t="shared" si="63"/>
        <v>291875.675</v>
      </c>
      <c r="S14" s="35">
        <f t="shared" si="5"/>
        <v>117324.597845</v>
      </c>
      <c r="T14" s="35">
        <f t="shared" si="6"/>
        <v>409200.27284499997</v>
      </c>
      <c r="U14" s="35">
        <f t="shared" si="7"/>
        <v>13925.41059</v>
      </c>
      <c r="W14" s="35">
        <f t="shared" si="64"/>
        <v>825.6235</v>
      </c>
      <c r="X14" s="35">
        <f t="shared" si="8"/>
        <v>331.8739909</v>
      </c>
      <c r="Y14" s="35">
        <f t="shared" si="9"/>
        <v>1157.4974909</v>
      </c>
      <c r="Z14" s="35">
        <f t="shared" si="10"/>
        <v>39.390559800000005</v>
      </c>
      <c r="AB14" s="35">
        <f t="shared" si="65"/>
        <v>154809.252</v>
      </c>
      <c r="AC14" s="35">
        <f t="shared" si="11"/>
        <v>62228.3211288</v>
      </c>
      <c r="AD14" s="35">
        <f t="shared" si="12"/>
        <v>217037.57312880002</v>
      </c>
      <c r="AE14" s="35">
        <f t="shared" si="13"/>
        <v>7385.9611536</v>
      </c>
      <c r="AG14" s="35">
        <f t="shared" si="66"/>
        <v>221774.28650000002</v>
      </c>
      <c r="AH14" s="35">
        <f t="shared" si="14"/>
        <v>89146.10296310001</v>
      </c>
      <c r="AI14" s="35">
        <f t="shared" si="15"/>
        <v>310920.3894631</v>
      </c>
      <c r="AJ14" s="35">
        <f t="shared" si="16"/>
        <v>10580.8680282</v>
      </c>
      <c r="AK14" s="35"/>
      <c r="AL14" s="35">
        <f t="shared" si="67"/>
        <v>15659.617999999999</v>
      </c>
      <c r="AM14" s="35">
        <f t="shared" si="17"/>
        <v>6294.6608492</v>
      </c>
      <c r="AN14" s="35">
        <f t="shared" si="18"/>
        <v>21954.278849199996</v>
      </c>
      <c r="AO14" s="35">
        <f t="shared" si="19"/>
        <v>747.1215624</v>
      </c>
      <c r="AP14" s="35"/>
      <c r="AQ14" s="35">
        <f t="shared" si="68"/>
        <v>56243.466499999995</v>
      </c>
      <c r="AR14" s="35">
        <f t="shared" si="20"/>
        <v>22608.057655099998</v>
      </c>
      <c r="AS14" s="35">
        <f t="shared" si="21"/>
        <v>78851.52415509999</v>
      </c>
      <c r="AT14" s="35">
        <f t="shared" si="22"/>
        <v>2683.3800521999997</v>
      </c>
      <c r="AU14" s="35"/>
      <c r="AV14" s="35">
        <f t="shared" si="69"/>
        <v>399245.496</v>
      </c>
      <c r="AW14" s="35">
        <f t="shared" si="23"/>
        <v>160483.79934240002</v>
      </c>
      <c r="AX14" s="35">
        <f t="shared" si="24"/>
        <v>559729.2953424</v>
      </c>
      <c r="AY14" s="35">
        <f t="shared" si="25"/>
        <v>19048.0328928</v>
      </c>
      <c r="AZ14" s="35"/>
      <c r="BA14" s="35">
        <f t="shared" si="70"/>
        <v>2988.674</v>
      </c>
      <c r="BB14" s="35">
        <f t="shared" si="26"/>
        <v>1201.3504556</v>
      </c>
      <c r="BC14" s="35">
        <f t="shared" si="27"/>
        <v>4190.0244556</v>
      </c>
      <c r="BD14" s="35">
        <f t="shared" si="28"/>
        <v>142.5898632</v>
      </c>
      <c r="BE14" s="35"/>
      <c r="BF14" s="35">
        <f t="shared" si="71"/>
        <v>977.457</v>
      </c>
      <c r="BG14" s="35">
        <f t="shared" si="29"/>
        <v>392.9061558</v>
      </c>
      <c r="BH14" s="35">
        <f t="shared" si="30"/>
        <v>1370.3631558</v>
      </c>
      <c r="BI14" s="35">
        <f t="shared" si="31"/>
        <v>46.6345476</v>
      </c>
      <c r="BJ14" s="35"/>
      <c r="BK14" s="35">
        <f t="shared" si="72"/>
        <v>618155.7135000001</v>
      </c>
      <c r="BL14" s="35">
        <f t="shared" si="32"/>
        <v>248478.63903690001</v>
      </c>
      <c r="BM14" s="35">
        <f t="shared" si="33"/>
        <v>866634.3525369001</v>
      </c>
      <c r="BN14" s="35">
        <f t="shared" si="34"/>
        <v>29492.2559718</v>
      </c>
      <c r="BP14" s="35">
        <f t="shared" si="73"/>
        <v>235112.5595</v>
      </c>
      <c r="BQ14" s="35">
        <f t="shared" si="35"/>
        <v>94507.6580693</v>
      </c>
      <c r="BR14" s="35">
        <f t="shared" si="36"/>
        <v>329620.2175693</v>
      </c>
      <c r="BS14" s="35">
        <f t="shared" si="37"/>
        <v>11217.2380446</v>
      </c>
      <c r="BU14" s="35">
        <f t="shared" si="74"/>
        <v>57489.055</v>
      </c>
      <c r="BV14" s="35">
        <f t="shared" si="38"/>
        <v>23108.744016999997</v>
      </c>
      <c r="BW14" s="35">
        <f t="shared" si="39"/>
        <v>80597.799017</v>
      </c>
      <c r="BX14" s="35">
        <f t="shared" si="40"/>
        <v>2742.807174</v>
      </c>
      <c r="BZ14" s="35">
        <f t="shared" si="75"/>
        <v>25.3825</v>
      </c>
      <c r="CA14" s="35">
        <f t="shared" si="41"/>
        <v>10.2029455</v>
      </c>
      <c r="CB14" s="35">
        <f t="shared" si="42"/>
        <v>35.5854455</v>
      </c>
      <c r="CC14" s="35">
        <f t="shared" si="43"/>
        <v>1.211001</v>
      </c>
      <c r="CE14" s="35">
        <f t="shared" si="76"/>
        <v>213790.79799999998</v>
      </c>
      <c r="CF14" s="35">
        <f t="shared" si="44"/>
        <v>85936.9983412</v>
      </c>
      <c r="CG14" s="35">
        <f t="shared" si="45"/>
        <v>299727.7963412</v>
      </c>
      <c r="CH14" s="35">
        <f t="shared" si="46"/>
        <v>10199.975186399999</v>
      </c>
      <c r="CJ14" s="35">
        <f t="shared" si="77"/>
        <v>110169.28</v>
      </c>
      <c r="CK14" s="35">
        <f t="shared" si="47"/>
        <v>44284.493632000005</v>
      </c>
      <c r="CL14" s="35">
        <f t="shared" si="48"/>
        <v>154453.773632</v>
      </c>
      <c r="CM14" s="35">
        <f t="shared" si="49"/>
        <v>5256.184704</v>
      </c>
      <c r="CO14" s="35">
        <f t="shared" si="78"/>
        <v>906111.8690000001</v>
      </c>
      <c r="CP14" s="35">
        <f t="shared" si="50"/>
        <v>364227.7165886</v>
      </c>
      <c r="CQ14" s="35">
        <f t="shared" si="51"/>
        <v>1270339.5855886</v>
      </c>
      <c r="CR14" s="35">
        <f t="shared" si="52"/>
        <v>43230.6659892</v>
      </c>
      <c r="CT14" s="35">
        <f t="shared" si="79"/>
        <v>101.99149999999999</v>
      </c>
      <c r="CU14" s="35">
        <f t="shared" si="53"/>
        <v>40.997290099999994</v>
      </c>
      <c r="CV14" s="35">
        <f t="shared" si="54"/>
        <v>142.9887901</v>
      </c>
      <c r="CW14" s="35">
        <f t="shared" si="55"/>
        <v>4.8660222</v>
      </c>
      <c r="CY14" s="35">
        <f t="shared" si="80"/>
        <v>95.069</v>
      </c>
      <c r="CZ14" s="35">
        <f t="shared" si="56"/>
        <v>38.214668599999996</v>
      </c>
      <c r="DA14" s="35">
        <f t="shared" si="57"/>
        <v>133.2836686</v>
      </c>
      <c r="DB14" s="35">
        <f t="shared" si="58"/>
        <v>4.5357492</v>
      </c>
      <c r="DD14" s="5"/>
      <c r="DE14" s="35"/>
      <c r="DF14" s="35">
        <f t="shared" si="59"/>
        <v>0</v>
      </c>
      <c r="DG14" s="35">
        <f t="shared" si="60"/>
        <v>0</v>
      </c>
      <c r="DH14" s="5"/>
      <c r="DI14" s="5"/>
      <c r="DJ14" s="5"/>
      <c r="DK14" s="5"/>
      <c r="DL14" s="5"/>
      <c r="DM14" s="5"/>
      <c r="DN14" s="5"/>
      <c r="DO14" s="5"/>
      <c r="DP14" s="5"/>
      <c r="DQ14" s="5"/>
    </row>
    <row r="15" spans="1:121" ht="12.75">
      <c r="A15" s="36">
        <v>45566</v>
      </c>
      <c r="D15" s="3">
        <v>1739706</v>
      </c>
      <c r="E15" s="34">
        <f t="shared" si="0"/>
        <v>1739706</v>
      </c>
      <c r="F15" s="34">
        <v>220182</v>
      </c>
      <c r="G15" s="35"/>
      <c r="H15" s="35"/>
      <c r="I15" s="35">
        <f t="shared" si="1"/>
        <v>501196.9466874</v>
      </c>
      <c r="J15" s="35">
        <f t="shared" si="2"/>
        <v>501196.9466874</v>
      </c>
      <c r="K15" s="35">
        <f>'Academic Project '!K15</f>
        <v>63432.870907799996</v>
      </c>
      <c r="M15" s="35"/>
      <c r="N15" s="34">
        <f t="shared" si="3"/>
        <v>1238509.0533126</v>
      </c>
      <c r="O15" s="35">
        <f t="shared" si="4"/>
        <v>1238509.0533126</v>
      </c>
      <c r="P15" s="34">
        <f t="shared" si="3"/>
        <v>156749.12909220002</v>
      </c>
      <c r="Q15" s="35"/>
      <c r="R15" s="35"/>
      <c r="S15" s="35">
        <f t="shared" si="5"/>
        <v>110027.70597</v>
      </c>
      <c r="T15" s="35">
        <f t="shared" si="6"/>
        <v>110027.70597</v>
      </c>
      <c r="U15" s="35">
        <f t="shared" si="7"/>
        <v>13925.41059</v>
      </c>
      <c r="W15" s="35"/>
      <c r="X15" s="35">
        <f t="shared" si="8"/>
        <v>311.23340340000004</v>
      </c>
      <c r="Y15" s="35">
        <f t="shared" si="9"/>
        <v>311.23340340000004</v>
      </c>
      <c r="Z15" s="35">
        <f t="shared" si="10"/>
        <v>39.390559800000005</v>
      </c>
      <c r="AB15" s="35"/>
      <c r="AC15" s="35">
        <f t="shared" si="11"/>
        <v>58358.0898288</v>
      </c>
      <c r="AD15" s="35">
        <f t="shared" si="12"/>
        <v>58358.0898288</v>
      </c>
      <c r="AE15" s="35">
        <f t="shared" si="13"/>
        <v>7385.9611536</v>
      </c>
      <c r="AG15" s="35"/>
      <c r="AH15" s="35">
        <f t="shared" si="14"/>
        <v>83601.74580060001</v>
      </c>
      <c r="AI15" s="35">
        <f t="shared" si="15"/>
        <v>83601.74580060001</v>
      </c>
      <c r="AJ15" s="35">
        <f t="shared" si="16"/>
        <v>10580.8680282</v>
      </c>
      <c r="AK15" s="35"/>
      <c r="AL15" s="35"/>
      <c r="AM15" s="35">
        <f t="shared" si="17"/>
        <v>5903.170399199999</v>
      </c>
      <c r="AN15" s="35">
        <f t="shared" si="18"/>
        <v>5903.170399199999</v>
      </c>
      <c r="AO15" s="35">
        <f t="shared" si="19"/>
        <v>747.1215624</v>
      </c>
      <c r="AP15" s="35"/>
      <c r="AQ15" s="35"/>
      <c r="AR15" s="35">
        <f t="shared" si="20"/>
        <v>21201.9709926</v>
      </c>
      <c r="AS15" s="35">
        <f t="shared" si="21"/>
        <v>21201.9709926</v>
      </c>
      <c r="AT15" s="35">
        <f t="shared" si="22"/>
        <v>2683.3800521999997</v>
      </c>
      <c r="AU15" s="35"/>
      <c r="AV15" s="35"/>
      <c r="AW15" s="35">
        <f t="shared" si="23"/>
        <v>150502.6619424</v>
      </c>
      <c r="AX15" s="35">
        <f t="shared" si="24"/>
        <v>150502.6619424</v>
      </c>
      <c r="AY15" s="35">
        <f t="shared" si="25"/>
        <v>19048.0328928</v>
      </c>
      <c r="AZ15" s="35"/>
      <c r="BA15" s="35"/>
      <c r="BB15" s="35">
        <f t="shared" si="26"/>
        <v>1126.6336056</v>
      </c>
      <c r="BC15" s="35">
        <f t="shared" si="27"/>
        <v>1126.6336056</v>
      </c>
      <c r="BD15" s="35">
        <f t="shared" si="28"/>
        <v>142.5898632</v>
      </c>
      <c r="BE15" s="35"/>
      <c r="BF15" s="35"/>
      <c r="BG15" s="35">
        <f t="shared" si="29"/>
        <v>368.4697308</v>
      </c>
      <c r="BH15" s="35">
        <f t="shared" si="30"/>
        <v>368.4697308</v>
      </c>
      <c r="BI15" s="35">
        <f t="shared" si="31"/>
        <v>46.6345476</v>
      </c>
      <c r="BJ15" s="35"/>
      <c r="BK15" s="35"/>
      <c r="BL15" s="35">
        <f t="shared" si="32"/>
        <v>233024.74619940002</v>
      </c>
      <c r="BM15" s="35">
        <f t="shared" si="33"/>
        <v>233024.74619940002</v>
      </c>
      <c r="BN15" s="35">
        <f t="shared" si="34"/>
        <v>29492.2559718</v>
      </c>
      <c r="BP15" s="35"/>
      <c r="BQ15" s="35">
        <f t="shared" si="35"/>
        <v>88629.8440818</v>
      </c>
      <c r="BR15" s="35">
        <f t="shared" si="36"/>
        <v>88629.8440818</v>
      </c>
      <c r="BS15" s="35">
        <f t="shared" si="37"/>
        <v>11217.2380446</v>
      </c>
      <c r="BU15" s="35"/>
      <c r="BV15" s="35">
        <f t="shared" si="38"/>
        <v>21671.517642</v>
      </c>
      <c r="BW15" s="35">
        <f t="shared" si="39"/>
        <v>21671.517642</v>
      </c>
      <c r="BX15" s="35">
        <f t="shared" si="40"/>
        <v>2742.807174</v>
      </c>
      <c r="BZ15" s="35"/>
      <c r="CA15" s="35">
        <f t="shared" si="41"/>
        <v>9.568382999999999</v>
      </c>
      <c r="CB15" s="35">
        <f t="shared" si="42"/>
        <v>9.568382999999999</v>
      </c>
      <c r="CC15" s="35">
        <f t="shared" si="43"/>
        <v>1.211001</v>
      </c>
      <c r="CE15" s="35"/>
      <c r="CF15" s="35">
        <f t="shared" si="44"/>
        <v>80592.2283912</v>
      </c>
      <c r="CG15" s="35">
        <f t="shared" si="45"/>
        <v>80592.2283912</v>
      </c>
      <c r="CH15" s="35">
        <f t="shared" si="46"/>
        <v>10199.975186399999</v>
      </c>
      <c r="CJ15" s="35"/>
      <c r="CK15" s="35">
        <f t="shared" si="47"/>
        <v>41530.261632</v>
      </c>
      <c r="CL15" s="35">
        <f t="shared" si="48"/>
        <v>41530.261632</v>
      </c>
      <c r="CM15" s="35">
        <f t="shared" si="49"/>
        <v>5256.184704</v>
      </c>
      <c r="CO15" s="35"/>
      <c r="CP15" s="35">
        <f t="shared" si="50"/>
        <v>341574.9198636</v>
      </c>
      <c r="CQ15" s="35">
        <f t="shared" si="51"/>
        <v>341574.9198636</v>
      </c>
      <c r="CR15" s="35">
        <f t="shared" si="52"/>
        <v>43230.6659892</v>
      </c>
      <c r="CT15" s="35"/>
      <c r="CU15" s="35">
        <f t="shared" si="53"/>
        <v>38.4475026</v>
      </c>
      <c r="CV15" s="35">
        <f t="shared" si="54"/>
        <v>38.4475026</v>
      </c>
      <c r="CW15" s="35">
        <f t="shared" si="55"/>
        <v>4.8660222</v>
      </c>
      <c r="CY15" s="35"/>
      <c r="CZ15" s="35">
        <f t="shared" si="56"/>
        <v>35.837943599999996</v>
      </c>
      <c r="DA15" s="35">
        <f t="shared" si="57"/>
        <v>35.837943599999996</v>
      </c>
      <c r="DB15" s="35">
        <f t="shared" si="58"/>
        <v>4.5357492</v>
      </c>
      <c r="DD15" s="5"/>
      <c r="DE15" s="35"/>
      <c r="DF15" s="35">
        <f t="shared" si="59"/>
        <v>0</v>
      </c>
      <c r="DG15" s="35">
        <f t="shared" si="60"/>
        <v>0</v>
      </c>
      <c r="DH15" s="5"/>
      <c r="DI15" s="5"/>
      <c r="DJ15" s="5"/>
      <c r="DK15" s="5"/>
      <c r="DL15" s="5"/>
      <c r="DM15" s="5"/>
      <c r="DN15" s="5"/>
      <c r="DO15" s="5"/>
      <c r="DP15" s="5"/>
      <c r="DQ15" s="5"/>
    </row>
    <row r="16" spans="1:121" ht="12.75">
      <c r="A16" s="36">
        <v>45748</v>
      </c>
      <c r="C16" s="3">
        <v>4845000</v>
      </c>
      <c r="D16" s="3">
        <v>1739706</v>
      </c>
      <c r="E16" s="34">
        <f t="shared" si="0"/>
        <v>6584706</v>
      </c>
      <c r="F16" s="34">
        <v>220182</v>
      </c>
      <c r="G16" s="35"/>
      <c r="H16" s="35">
        <f t="shared" si="61"/>
        <v>1395810.1005</v>
      </c>
      <c r="I16" s="35">
        <f t="shared" si="1"/>
        <v>501196.9466874</v>
      </c>
      <c r="J16" s="35">
        <f t="shared" si="2"/>
        <v>1897007.0471874</v>
      </c>
      <c r="K16" s="35">
        <f>'Academic Project '!K16</f>
        <v>63432.870907799996</v>
      </c>
      <c r="M16" s="35">
        <f t="shared" si="62"/>
        <v>3449189.8995000003</v>
      </c>
      <c r="N16" s="34">
        <f t="shared" si="3"/>
        <v>1238509.0533126</v>
      </c>
      <c r="O16" s="35">
        <f t="shared" si="4"/>
        <v>4687698.9528126</v>
      </c>
      <c r="P16" s="34">
        <f t="shared" si="3"/>
        <v>156749.12909220002</v>
      </c>
      <c r="Q16" s="35"/>
      <c r="R16" s="35">
        <f t="shared" si="63"/>
        <v>306422.02499999997</v>
      </c>
      <c r="S16" s="35">
        <f t="shared" si="5"/>
        <v>110027.70597</v>
      </c>
      <c r="T16" s="35">
        <f t="shared" si="6"/>
        <v>416449.73097</v>
      </c>
      <c r="U16" s="35">
        <f t="shared" si="7"/>
        <v>13925.41059</v>
      </c>
      <c r="W16" s="35">
        <f t="shared" si="64"/>
        <v>866.7705000000001</v>
      </c>
      <c r="X16" s="35">
        <f t="shared" si="8"/>
        <v>311.23340340000004</v>
      </c>
      <c r="Y16" s="35">
        <f t="shared" si="9"/>
        <v>1178.0039034000001</v>
      </c>
      <c r="Z16" s="35">
        <f t="shared" si="10"/>
        <v>39.390559800000005</v>
      </c>
      <c r="AB16" s="35">
        <f t="shared" si="65"/>
        <v>162524.556</v>
      </c>
      <c r="AC16" s="35">
        <f t="shared" si="11"/>
        <v>58358.0898288</v>
      </c>
      <c r="AD16" s="35">
        <f t="shared" si="12"/>
        <v>220882.6458288</v>
      </c>
      <c r="AE16" s="35">
        <f t="shared" si="13"/>
        <v>7385.9611536</v>
      </c>
      <c r="AG16" s="35">
        <f t="shared" si="66"/>
        <v>232826.95950000003</v>
      </c>
      <c r="AH16" s="35">
        <f t="shared" si="14"/>
        <v>83601.74580060001</v>
      </c>
      <c r="AI16" s="35">
        <f t="shared" si="15"/>
        <v>316428.70530060004</v>
      </c>
      <c r="AJ16" s="35">
        <f t="shared" si="16"/>
        <v>10580.8680282</v>
      </c>
      <c r="AK16" s="35"/>
      <c r="AL16" s="35">
        <f t="shared" si="67"/>
        <v>16440.054</v>
      </c>
      <c r="AM16" s="35">
        <f t="shared" si="17"/>
        <v>5903.170399199999</v>
      </c>
      <c r="AN16" s="35">
        <f t="shared" si="18"/>
        <v>22343.2243992</v>
      </c>
      <c r="AO16" s="35">
        <f t="shared" si="19"/>
        <v>747.1215624</v>
      </c>
      <c r="AP16" s="35"/>
      <c r="AQ16" s="35">
        <f t="shared" si="68"/>
        <v>59046.4995</v>
      </c>
      <c r="AR16" s="35">
        <f t="shared" si="20"/>
        <v>21201.9709926</v>
      </c>
      <c r="AS16" s="35">
        <f t="shared" si="21"/>
        <v>80248.4704926</v>
      </c>
      <c r="AT16" s="35">
        <f t="shared" si="22"/>
        <v>2683.3800521999997</v>
      </c>
      <c r="AU16" s="35"/>
      <c r="AV16" s="35">
        <f t="shared" si="69"/>
        <v>419142.888</v>
      </c>
      <c r="AW16" s="35">
        <f t="shared" si="23"/>
        <v>150502.6619424</v>
      </c>
      <c r="AX16" s="35">
        <f t="shared" si="24"/>
        <v>569645.5499424</v>
      </c>
      <c r="AY16" s="35">
        <f t="shared" si="25"/>
        <v>19048.0328928</v>
      </c>
      <c r="AZ16" s="35"/>
      <c r="BA16" s="35">
        <f t="shared" si="70"/>
        <v>3137.6220000000003</v>
      </c>
      <c r="BB16" s="35">
        <f t="shared" si="26"/>
        <v>1126.6336056</v>
      </c>
      <c r="BC16" s="35">
        <f t="shared" si="27"/>
        <v>4264.2556056</v>
      </c>
      <c r="BD16" s="35">
        <f t="shared" si="28"/>
        <v>142.5898632</v>
      </c>
      <c r="BE16" s="35"/>
      <c r="BF16" s="35">
        <f t="shared" si="71"/>
        <v>1026.171</v>
      </c>
      <c r="BG16" s="35">
        <f t="shared" si="29"/>
        <v>368.4697308</v>
      </c>
      <c r="BH16" s="35">
        <f t="shared" si="30"/>
        <v>1394.6407308</v>
      </c>
      <c r="BI16" s="35">
        <f t="shared" si="31"/>
        <v>46.6345476</v>
      </c>
      <c r="BJ16" s="35"/>
      <c r="BK16" s="35">
        <f t="shared" si="72"/>
        <v>648963.0405</v>
      </c>
      <c r="BL16" s="35">
        <f t="shared" si="32"/>
        <v>233024.74619940002</v>
      </c>
      <c r="BM16" s="35">
        <f t="shared" si="33"/>
        <v>881987.7866994</v>
      </c>
      <c r="BN16" s="35">
        <f t="shared" si="34"/>
        <v>29492.2559718</v>
      </c>
      <c r="BP16" s="35">
        <f t="shared" si="73"/>
        <v>246829.9785</v>
      </c>
      <c r="BQ16" s="35">
        <f t="shared" si="35"/>
        <v>88629.8440818</v>
      </c>
      <c r="BR16" s="35">
        <f t="shared" si="36"/>
        <v>335459.8225818</v>
      </c>
      <c r="BS16" s="35">
        <f t="shared" si="37"/>
        <v>11217.2380446</v>
      </c>
      <c r="BU16" s="35">
        <f t="shared" si="74"/>
        <v>60354.16499999999</v>
      </c>
      <c r="BV16" s="35">
        <f t="shared" si="38"/>
        <v>21671.517642</v>
      </c>
      <c r="BW16" s="35">
        <f t="shared" si="39"/>
        <v>82025.682642</v>
      </c>
      <c r="BX16" s="35">
        <f t="shared" si="40"/>
        <v>2742.807174</v>
      </c>
      <c r="BZ16" s="35">
        <f t="shared" si="75"/>
        <v>26.6475</v>
      </c>
      <c r="CA16" s="35">
        <f t="shared" si="41"/>
        <v>9.568382999999999</v>
      </c>
      <c r="CB16" s="35">
        <f t="shared" si="42"/>
        <v>36.215883</v>
      </c>
      <c r="CC16" s="35">
        <f t="shared" si="43"/>
        <v>1.211001</v>
      </c>
      <c r="CE16" s="35">
        <f t="shared" si="76"/>
        <v>224445.59399999998</v>
      </c>
      <c r="CF16" s="35">
        <f t="shared" si="44"/>
        <v>80592.2283912</v>
      </c>
      <c r="CG16" s="35">
        <f t="shared" si="45"/>
        <v>305037.8223912</v>
      </c>
      <c r="CH16" s="35">
        <f t="shared" si="46"/>
        <v>10199.975186399999</v>
      </c>
      <c r="CJ16" s="35">
        <f t="shared" si="77"/>
        <v>115659.84000000001</v>
      </c>
      <c r="CK16" s="35">
        <f t="shared" si="47"/>
        <v>41530.261632</v>
      </c>
      <c r="CL16" s="35">
        <f t="shared" si="48"/>
        <v>157190.101632</v>
      </c>
      <c r="CM16" s="35">
        <f t="shared" si="49"/>
        <v>5256.184704</v>
      </c>
      <c r="CO16" s="35">
        <f t="shared" si="78"/>
        <v>951270.207</v>
      </c>
      <c r="CP16" s="35">
        <f t="shared" si="50"/>
        <v>341574.9198636</v>
      </c>
      <c r="CQ16" s="35">
        <f t="shared" si="51"/>
        <v>1292845.1268636</v>
      </c>
      <c r="CR16" s="35">
        <f t="shared" si="52"/>
        <v>43230.6659892</v>
      </c>
      <c r="CT16" s="35">
        <f t="shared" si="79"/>
        <v>107.07449999999999</v>
      </c>
      <c r="CU16" s="35">
        <f t="shared" si="53"/>
        <v>38.4475026</v>
      </c>
      <c r="CV16" s="35">
        <f t="shared" si="54"/>
        <v>145.52200259999998</v>
      </c>
      <c r="CW16" s="35">
        <f t="shared" si="55"/>
        <v>4.8660222</v>
      </c>
      <c r="CY16" s="35">
        <f t="shared" si="80"/>
        <v>99.807</v>
      </c>
      <c r="CZ16" s="35">
        <f t="shared" si="56"/>
        <v>35.837943599999996</v>
      </c>
      <c r="DA16" s="35">
        <f t="shared" si="57"/>
        <v>135.6449436</v>
      </c>
      <c r="DB16" s="35">
        <f t="shared" si="58"/>
        <v>4.5357492</v>
      </c>
      <c r="DD16" s="5"/>
      <c r="DE16" s="35"/>
      <c r="DF16" s="35">
        <f t="shared" si="59"/>
        <v>0</v>
      </c>
      <c r="DG16" s="35">
        <f t="shared" si="60"/>
        <v>0</v>
      </c>
      <c r="DH16" s="5"/>
      <c r="DI16" s="5"/>
      <c r="DJ16" s="5"/>
      <c r="DK16" s="5"/>
      <c r="DL16" s="5"/>
      <c r="DM16" s="5"/>
      <c r="DN16" s="5"/>
      <c r="DO16" s="5"/>
      <c r="DP16" s="5"/>
      <c r="DQ16" s="5"/>
    </row>
    <row r="17" spans="1:121" ht="12.75">
      <c r="A17" s="36">
        <v>45931</v>
      </c>
      <c r="D17" s="3">
        <v>1618581</v>
      </c>
      <c r="E17" s="34">
        <f t="shared" si="0"/>
        <v>1618581</v>
      </c>
      <c r="F17" s="34">
        <v>220182</v>
      </c>
      <c r="G17" s="35"/>
      <c r="H17" s="35"/>
      <c r="I17" s="35">
        <f t="shared" si="1"/>
        <v>466301.69417489995</v>
      </c>
      <c r="J17" s="35">
        <f t="shared" si="2"/>
        <v>466301.69417489995</v>
      </c>
      <c r="K17" s="35">
        <f>'Academic Project '!K17</f>
        <v>63432.870907799996</v>
      </c>
      <c r="M17" s="35"/>
      <c r="N17" s="34">
        <f t="shared" si="3"/>
        <v>1152279.3058250998</v>
      </c>
      <c r="O17" s="35">
        <f t="shared" si="4"/>
        <v>1152279.3058250998</v>
      </c>
      <c r="P17" s="34">
        <f t="shared" si="3"/>
        <v>156749.12909220002</v>
      </c>
      <c r="Q17" s="35"/>
      <c r="R17" s="35"/>
      <c r="S17" s="35">
        <f t="shared" si="5"/>
        <v>102367.15534499999</v>
      </c>
      <c r="T17" s="35">
        <f t="shared" si="6"/>
        <v>102367.15534499999</v>
      </c>
      <c r="U17" s="35">
        <f t="shared" si="7"/>
        <v>13925.41059</v>
      </c>
      <c r="W17" s="35"/>
      <c r="X17" s="35">
        <f t="shared" si="8"/>
        <v>289.56414090000004</v>
      </c>
      <c r="Y17" s="35">
        <f t="shared" si="9"/>
        <v>289.56414090000004</v>
      </c>
      <c r="Z17" s="35">
        <f t="shared" si="10"/>
        <v>39.390559800000005</v>
      </c>
      <c r="AB17" s="35"/>
      <c r="AC17" s="35">
        <f t="shared" si="11"/>
        <v>54294.9759288</v>
      </c>
      <c r="AD17" s="35">
        <f t="shared" si="12"/>
        <v>54294.9759288</v>
      </c>
      <c r="AE17" s="35">
        <f t="shared" si="13"/>
        <v>7385.9611536</v>
      </c>
      <c r="AG17" s="35"/>
      <c r="AH17" s="35">
        <f t="shared" si="14"/>
        <v>77781.0718131</v>
      </c>
      <c r="AI17" s="35">
        <f t="shared" si="15"/>
        <v>77781.0718131</v>
      </c>
      <c r="AJ17" s="35">
        <f t="shared" si="16"/>
        <v>10580.8680282</v>
      </c>
      <c r="AK17" s="35"/>
      <c r="AL17" s="35"/>
      <c r="AM17" s="35">
        <f t="shared" si="17"/>
        <v>5492.1690492</v>
      </c>
      <c r="AN17" s="35">
        <f t="shared" si="18"/>
        <v>5492.1690492</v>
      </c>
      <c r="AO17" s="35">
        <f t="shared" si="19"/>
        <v>747.1215624</v>
      </c>
      <c r="AP17" s="35"/>
      <c r="AQ17" s="35"/>
      <c r="AR17" s="35">
        <f t="shared" si="20"/>
        <v>19725.808505099998</v>
      </c>
      <c r="AS17" s="35">
        <f t="shared" si="21"/>
        <v>19725.808505099998</v>
      </c>
      <c r="AT17" s="35">
        <f t="shared" si="22"/>
        <v>2683.3800521999997</v>
      </c>
      <c r="AU17" s="35"/>
      <c r="AV17" s="35"/>
      <c r="AW17" s="35">
        <f t="shared" si="23"/>
        <v>140024.0897424</v>
      </c>
      <c r="AX17" s="35">
        <f t="shared" si="24"/>
        <v>140024.0897424</v>
      </c>
      <c r="AY17" s="35">
        <f t="shared" si="25"/>
        <v>19048.0328928</v>
      </c>
      <c r="AZ17" s="35"/>
      <c r="BA17" s="35"/>
      <c r="BB17" s="35">
        <f t="shared" si="26"/>
        <v>1048.1930556</v>
      </c>
      <c r="BC17" s="35">
        <f t="shared" si="27"/>
        <v>1048.1930556</v>
      </c>
      <c r="BD17" s="35">
        <f t="shared" si="28"/>
        <v>142.5898632</v>
      </c>
      <c r="BE17" s="35"/>
      <c r="BF17" s="35"/>
      <c r="BG17" s="35">
        <f t="shared" si="29"/>
        <v>342.8154558</v>
      </c>
      <c r="BH17" s="35">
        <f t="shared" si="30"/>
        <v>342.8154558</v>
      </c>
      <c r="BI17" s="35">
        <f t="shared" si="31"/>
        <v>46.6345476</v>
      </c>
      <c r="BJ17" s="35"/>
      <c r="BK17" s="35"/>
      <c r="BL17" s="35">
        <f t="shared" si="32"/>
        <v>216800.6701869</v>
      </c>
      <c r="BM17" s="35">
        <f t="shared" si="33"/>
        <v>216800.6701869</v>
      </c>
      <c r="BN17" s="35">
        <f t="shared" si="34"/>
        <v>29492.2559718</v>
      </c>
      <c r="BP17" s="35"/>
      <c r="BQ17" s="35">
        <f t="shared" si="35"/>
        <v>82459.0946193</v>
      </c>
      <c r="BR17" s="35">
        <f t="shared" si="36"/>
        <v>82459.0946193</v>
      </c>
      <c r="BS17" s="35">
        <f t="shared" si="37"/>
        <v>11217.2380446</v>
      </c>
      <c r="BU17" s="35"/>
      <c r="BV17" s="35">
        <f t="shared" si="38"/>
        <v>20162.663516999997</v>
      </c>
      <c r="BW17" s="35">
        <f t="shared" si="39"/>
        <v>20162.663516999997</v>
      </c>
      <c r="BX17" s="35">
        <f t="shared" si="40"/>
        <v>2742.807174</v>
      </c>
      <c r="BZ17" s="35"/>
      <c r="CA17" s="35">
        <f t="shared" si="41"/>
        <v>8.9021955</v>
      </c>
      <c r="CB17" s="35">
        <f t="shared" si="42"/>
        <v>8.9021955</v>
      </c>
      <c r="CC17" s="35">
        <f t="shared" si="43"/>
        <v>1.211001</v>
      </c>
      <c r="CE17" s="35"/>
      <c r="CF17" s="35">
        <f t="shared" si="44"/>
        <v>74981.08854119999</v>
      </c>
      <c r="CG17" s="35">
        <f t="shared" si="45"/>
        <v>74981.08854119999</v>
      </c>
      <c r="CH17" s="35">
        <f t="shared" si="46"/>
        <v>10199.975186399999</v>
      </c>
      <c r="CJ17" s="35"/>
      <c r="CK17" s="35">
        <f t="shared" si="47"/>
        <v>38638.765632</v>
      </c>
      <c r="CL17" s="35">
        <f t="shared" si="48"/>
        <v>38638.765632</v>
      </c>
      <c r="CM17" s="35">
        <f t="shared" si="49"/>
        <v>5256.184704</v>
      </c>
      <c r="CO17" s="35"/>
      <c r="CP17" s="35">
        <f t="shared" si="50"/>
        <v>317793.1646886</v>
      </c>
      <c r="CQ17" s="35">
        <f t="shared" si="51"/>
        <v>317793.1646886</v>
      </c>
      <c r="CR17" s="35">
        <f t="shared" si="52"/>
        <v>43230.6659892</v>
      </c>
      <c r="CT17" s="35"/>
      <c r="CU17" s="35">
        <f t="shared" si="53"/>
        <v>35.770640099999994</v>
      </c>
      <c r="CV17" s="35">
        <f t="shared" si="54"/>
        <v>35.770640099999994</v>
      </c>
      <c r="CW17" s="35">
        <f t="shared" si="55"/>
        <v>4.8660222</v>
      </c>
      <c r="CY17" s="35"/>
      <c r="CZ17" s="35">
        <f t="shared" si="56"/>
        <v>33.3427686</v>
      </c>
      <c r="DA17" s="35">
        <f t="shared" si="57"/>
        <v>33.3427686</v>
      </c>
      <c r="DB17" s="35">
        <f t="shared" si="58"/>
        <v>4.5357492</v>
      </c>
      <c r="DD17" s="5"/>
      <c r="DE17" s="35"/>
      <c r="DF17" s="35">
        <f t="shared" si="59"/>
        <v>0</v>
      </c>
      <c r="DG17" s="35">
        <f t="shared" si="60"/>
        <v>0</v>
      </c>
      <c r="DH17" s="5"/>
      <c r="DI17" s="5"/>
      <c r="DJ17" s="5"/>
      <c r="DK17" s="5"/>
      <c r="DL17" s="5"/>
      <c r="DM17" s="5"/>
      <c r="DN17" s="5"/>
      <c r="DO17" s="5"/>
      <c r="DP17" s="5"/>
      <c r="DQ17" s="5"/>
    </row>
    <row r="18" spans="1:121" ht="12.75">
      <c r="A18" s="36">
        <v>46113</v>
      </c>
      <c r="C18" s="3">
        <v>5085000</v>
      </c>
      <c r="D18" s="3">
        <v>1618581</v>
      </c>
      <c r="E18" s="34">
        <f t="shared" si="0"/>
        <v>6703581</v>
      </c>
      <c r="F18" s="34">
        <v>220182</v>
      </c>
      <c r="G18" s="35"/>
      <c r="H18" s="35">
        <f t="shared" si="61"/>
        <v>1464952.3965</v>
      </c>
      <c r="I18" s="35">
        <f t="shared" si="1"/>
        <v>466301.69417489995</v>
      </c>
      <c r="J18" s="35">
        <f t="shared" si="2"/>
        <v>1931254.0906749</v>
      </c>
      <c r="K18" s="35">
        <f>'Academic Project '!K18</f>
        <v>63432.870907799996</v>
      </c>
      <c r="M18" s="35">
        <f t="shared" si="62"/>
        <v>3620047.6035000007</v>
      </c>
      <c r="N18" s="34">
        <f t="shared" si="3"/>
        <v>1152279.3058250998</v>
      </c>
      <c r="O18" s="35">
        <f t="shared" si="4"/>
        <v>4772326.9093251005</v>
      </c>
      <c r="P18" s="34">
        <f t="shared" si="3"/>
        <v>156749.12909220002</v>
      </c>
      <c r="Q18" s="35"/>
      <c r="R18" s="35">
        <f t="shared" si="63"/>
        <v>321600.82499999995</v>
      </c>
      <c r="S18" s="35">
        <f t="shared" si="5"/>
        <v>102367.15534499999</v>
      </c>
      <c r="T18" s="35">
        <f t="shared" si="6"/>
        <v>423967.98034499993</v>
      </c>
      <c r="U18" s="35">
        <f t="shared" si="7"/>
        <v>13925.41059</v>
      </c>
      <c r="W18" s="35">
        <f t="shared" si="64"/>
        <v>909.7065</v>
      </c>
      <c r="X18" s="35">
        <f t="shared" si="8"/>
        <v>289.56414090000004</v>
      </c>
      <c r="Y18" s="35">
        <f t="shared" si="9"/>
        <v>1199.2706409</v>
      </c>
      <c r="Z18" s="35">
        <f t="shared" si="10"/>
        <v>39.390559800000005</v>
      </c>
      <c r="AB18" s="35">
        <f t="shared" si="65"/>
        <v>170575.308</v>
      </c>
      <c r="AC18" s="35">
        <f t="shared" si="11"/>
        <v>54294.9759288</v>
      </c>
      <c r="AD18" s="35">
        <f t="shared" si="12"/>
        <v>224870.2839288</v>
      </c>
      <c r="AE18" s="35">
        <f t="shared" si="13"/>
        <v>7385.9611536</v>
      </c>
      <c r="AG18" s="35">
        <f t="shared" si="66"/>
        <v>244360.1835</v>
      </c>
      <c r="AH18" s="35">
        <f t="shared" si="14"/>
        <v>77781.0718131</v>
      </c>
      <c r="AI18" s="35">
        <f t="shared" si="15"/>
        <v>322141.2553131</v>
      </c>
      <c r="AJ18" s="35">
        <f t="shared" si="16"/>
        <v>10580.8680282</v>
      </c>
      <c r="AK18" s="35"/>
      <c r="AL18" s="35">
        <f t="shared" si="67"/>
        <v>17254.422</v>
      </c>
      <c r="AM18" s="35">
        <f t="shared" si="17"/>
        <v>5492.1690492</v>
      </c>
      <c r="AN18" s="35">
        <f t="shared" si="18"/>
        <v>22746.591049199997</v>
      </c>
      <c r="AO18" s="35">
        <f t="shared" si="19"/>
        <v>747.1215624</v>
      </c>
      <c r="AP18" s="35"/>
      <c r="AQ18" s="35">
        <f t="shared" si="68"/>
        <v>61971.40349999999</v>
      </c>
      <c r="AR18" s="35">
        <f t="shared" si="20"/>
        <v>19725.808505099998</v>
      </c>
      <c r="AS18" s="35">
        <f t="shared" si="21"/>
        <v>81697.2120051</v>
      </c>
      <c r="AT18" s="35">
        <f t="shared" si="22"/>
        <v>2683.3800521999997</v>
      </c>
      <c r="AU18" s="35"/>
      <c r="AV18" s="35">
        <f t="shared" si="69"/>
        <v>439905.384</v>
      </c>
      <c r="AW18" s="35">
        <f t="shared" si="23"/>
        <v>140024.0897424</v>
      </c>
      <c r="AX18" s="35">
        <f t="shared" si="24"/>
        <v>579929.4737424001</v>
      </c>
      <c r="AY18" s="35">
        <f t="shared" si="25"/>
        <v>19048.0328928</v>
      </c>
      <c r="AZ18" s="35"/>
      <c r="BA18" s="35">
        <f t="shared" si="70"/>
        <v>3293.0460000000003</v>
      </c>
      <c r="BB18" s="35">
        <f t="shared" si="26"/>
        <v>1048.1930556</v>
      </c>
      <c r="BC18" s="35">
        <f t="shared" si="27"/>
        <v>4341.2390556</v>
      </c>
      <c r="BD18" s="35">
        <f t="shared" si="28"/>
        <v>142.5898632</v>
      </c>
      <c r="BE18" s="35"/>
      <c r="BF18" s="35">
        <f t="shared" si="71"/>
        <v>1077.003</v>
      </c>
      <c r="BG18" s="35">
        <f t="shared" si="29"/>
        <v>342.8154558</v>
      </c>
      <c r="BH18" s="35">
        <f t="shared" si="30"/>
        <v>1419.8184557999998</v>
      </c>
      <c r="BI18" s="35">
        <f t="shared" si="31"/>
        <v>46.6345476</v>
      </c>
      <c r="BJ18" s="35"/>
      <c r="BK18" s="35">
        <f t="shared" si="72"/>
        <v>681109.8165000001</v>
      </c>
      <c r="BL18" s="35">
        <f t="shared" si="32"/>
        <v>216800.6701869</v>
      </c>
      <c r="BM18" s="35">
        <f t="shared" si="33"/>
        <v>897910.4866869</v>
      </c>
      <c r="BN18" s="35">
        <f t="shared" si="34"/>
        <v>29492.2559718</v>
      </c>
      <c r="BP18" s="35">
        <f t="shared" si="73"/>
        <v>259056.8505</v>
      </c>
      <c r="BQ18" s="35">
        <f t="shared" si="35"/>
        <v>82459.0946193</v>
      </c>
      <c r="BR18" s="35">
        <f t="shared" si="36"/>
        <v>341515.9451193</v>
      </c>
      <c r="BS18" s="35">
        <f t="shared" si="37"/>
        <v>11217.2380446</v>
      </c>
      <c r="BU18" s="35">
        <f t="shared" si="74"/>
        <v>63343.844999999994</v>
      </c>
      <c r="BV18" s="35">
        <f t="shared" si="38"/>
        <v>20162.663516999997</v>
      </c>
      <c r="BW18" s="35">
        <f t="shared" si="39"/>
        <v>83506.508517</v>
      </c>
      <c r="BX18" s="35">
        <f t="shared" si="40"/>
        <v>2742.807174</v>
      </c>
      <c r="BZ18" s="35">
        <f t="shared" si="75"/>
        <v>27.967499999999998</v>
      </c>
      <c r="CA18" s="35">
        <f t="shared" si="41"/>
        <v>8.9021955</v>
      </c>
      <c r="CB18" s="35">
        <f t="shared" si="42"/>
        <v>36.8696955</v>
      </c>
      <c r="CC18" s="35">
        <f t="shared" si="43"/>
        <v>1.211001</v>
      </c>
      <c r="CE18" s="35">
        <f t="shared" si="76"/>
        <v>235563.642</v>
      </c>
      <c r="CF18" s="35">
        <f t="shared" si="44"/>
        <v>74981.08854119999</v>
      </c>
      <c r="CG18" s="35">
        <f t="shared" si="45"/>
        <v>310544.73054119997</v>
      </c>
      <c r="CH18" s="35">
        <f t="shared" si="46"/>
        <v>10199.975186399999</v>
      </c>
      <c r="CJ18" s="35">
        <f t="shared" si="77"/>
        <v>121389.12000000001</v>
      </c>
      <c r="CK18" s="35">
        <f t="shared" si="47"/>
        <v>38638.765632</v>
      </c>
      <c r="CL18" s="35">
        <f t="shared" si="48"/>
        <v>160027.88563200002</v>
      </c>
      <c r="CM18" s="35">
        <f t="shared" si="49"/>
        <v>5256.184704</v>
      </c>
      <c r="CO18" s="35">
        <f t="shared" si="78"/>
        <v>998391.951</v>
      </c>
      <c r="CP18" s="35">
        <f t="shared" si="50"/>
        <v>317793.1646886</v>
      </c>
      <c r="CQ18" s="35">
        <f t="shared" si="51"/>
        <v>1316185.1156886</v>
      </c>
      <c r="CR18" s="35">
        <f t="shared" si="52"/>
        <v>43230.6659892</v>
      </c>
      <c r="CT18" s="35">
        <f t="shared" si="79"/>
        <v>112.37849999999999</v>
      </c>
      <c r="CU18" s="35">
        <f t="shared" si="53"/>
        <v>35.770640099999994</v>
      </c>
      <c r="CV18" s="35">
        <f t="shared" si="54"/>
        <v>148.14914009999998</v>
      </c>
      <c r="CW18" s="35">
        <f t="shared" si="55"/>
        <v>4.8660222</v>
      </c>
      <c r="CY18" s="35">
        <f t="shared" si="80"/>
        <v>104.75099999999999</v>
      </c>
      <c r="CZ18" s="35">
        <f t="shared" si="56"/>
        <v>33.3427686</v>
      </c>
      <c r="DA18" s="35">
        <f t="shared" si="57"/>
        <v>138.09376859999998</v>
      </c>
      <c r="DB18" s="35">
        <f t="shared" si="58"/>
        <v>4.5357492</v>
      </c>
      <c r="DD18" s="5"/>
      <c r="DE18" s="35"/>
      <c r="DF18" s="35">
        <f t="shared" si="59"/>
        <v>0</v>
      </c>
      <c r="DG18" s="35">
        <f t="shared" si="60"/>
        <v>0</v>
      </c>
      <c r="DH18" s="5"/>
      <c r="DI18" s="5"/>
      <c r="DJ18" s="5"/>
      <c r="DK18" s="5"/>
      <c r="DL18" s="5"/>
      <c r="DM18" s="5"/>
      <c r="DN18" s="5"/>
      <c r="DO18" s="5"/>
      <c r="DP18" s="5"/>
      <c r="DQ18" s="5"/>
    </row>
    <row r="19" spans="1:121" ht="12.75">
      <c r="A19" s="36">
        <v>46296</v>
      </c>
      <c r="D19" s="3">
        <v>1491456</v>
      </c>
      <c r="E19" s="34">
        <f t="shared" si="0"/>
        <v>1491456</v>
      </c>
      <c r="F19" s="34">
        <v>220182</v>
      </c>
      <c r="G19" s="35"/>
      <c r="H19" s="35"/>
      <c r="I19" s="35">
        <f t="shared" si="1"/>
        <v>429677.8842624</v>
      </c>
      <c r="J19" s="35">
        <f t="shared" si="2"/>
        <v>429677.8842624</v>
      </c>
      <c r="K19" s="35">
        <f>'Academic Project '!K19</f>
        <v>63432.870907799996</v>
      </c>
      <c r="M19" s="35"/>
      <c r="N19" s="34">
        <f t="shared" si="3"/>
        <v>1061778.1157376003</v>
      </c>
      <c r="O19" s="35">
        <f t="shared" si="4"/>
        <v>1061778.1157376003</v>
      </c>
      <c r="P19" s="34">
        <f t="shared" si="3"/>
        <v>156749.12909220002</v>
      </c>
      <c r="Q19" s="35"/>
      <c r="R19" s="35"/>
      <c r="S19" s="35">
        <f t="shared" si="5"/>
        <v>94327.13471999999</v>
      </c>
      <c r="T19" s="35">
        <f t="shared" si="6"/>
        <v>94327.13471999999</v>
      </c>
      <c r="U19" s="35">
        <f t="shared" si="7"/>
        <v>13925.41059</v>
      </c>
      <c r="W19" s="35"/>
      <c r="X19" s="35">
        <f t="shared" si="8"/>
        <v>266.8214784</v>
      </c>
      <c r="Y19" s="35">
        <f t="shared" si="9"/>
        <v>266.8214784</v>
      </c>
      <c r="Z19" s="35">
        <f t="shared" si="10"/>
        <v>39.390559800000005</v>
      </c>
      <c r="AB19" s="35"/>
      <c r="AC19" s="35">
        <f t="shared" si="11"/>
        <v>50030.5932288</v>
      </c>
      <c r="AD19" s="35">
        <f t="shared" si="12"/>
        <v>50030.5932288</v>
      </c>
      <c r="AE19" s="35">
        <f t="shared" si="13"/>
        <v>7385.9611536</v>
      </c>
      <c r="AG19" s="35"/>
      <c r="AH19" s="35">
        <f t="shared" si="14"/>
        <v>71672.06722560001</v>
      </c>
      <c r="AI19" s="35">
        <f t="shared" si="15"/>
        <v>71672.06722560001</v>
      </c>
      <c r="AJ19" s="35">
        <f t="shared" si="16"/>
        <v>10580.8680282</v>
      </c>
      <c r="AK19" s="35"/>
      <c r="AL19" s="35"/>
      <c r="AM19" s="35">
        <f t="shared" si="17"/>
        <v>5060.8084991999995</v>
      </c>
      <c r="AN19" s="35">
        <f t="shared" si="18"/>
        <v>5060.8084991999995</v>
      </c>
      <c r="AO19" s="35">
        <f t="shared" si="19"/>
        <v>747.1215624</v>
      </c>
      <c r="AP19" s="35"/>
      <c r="AQ19" s="35"/>
      <c r="AR19" s="35">
        <f t="shared" si="20"/>
        <v>18176.523417599998</v>
      </c>
      <c r="AS19" s="35">
        <f t="shared" si="21"/>
        <v>18176.523417599998</v>
      </c>
      <c r="AT19" s="35">
        <f t="shared" si="22"/>
        <v>2683.3800521999997</v>
      </c>
      <c r="AU19" s="35"/>
      <c r="AV19" s="35"/>
      <c r="AW19" s="35">
        <f t="shared" si="23"/>
        <v>129026.4551424</v>
      </c>
      <c r="AX19" s="35">
        <f t="shared" si="24"/>
        <v>129026.4551424</v>
      </c>
      <c r="AY19" s="35">
        <f t="shared" si="25"/>
        <v>19048.0328928</v>
      </c>
      <c r="AZ19" s="35"/>
      <c r="BA19" s="35"/>
      <c r="BB19" s="35">
        <f t="shared" si="26"/>
        <v>965.8669056</v>
      </c>
      <c r="BC19" s="35">
        <f t="shared" si="27"/>
        <v>965.8669056</v>
      </c>
      <c r="BD19" s="35">
        <f t="shared" si="28"/>
        <v>142.5898632</v>
      </c>
      <c r="BE19" s="35"/>
      <c r="BF19" s="35"/>
      <c r="BG19" s="35">
        <f t="shared" si="29"/>
        <v>315.8903808</v>
      </c>
      <c r="BH19" s="35">
        <f t="shared" si="30"/>
        <v>315.8903808</v>
      </c>
      <c r="BI19" s="35">
        <f t="shared" si="31"/>
        <v>46.6345476</v>
      </c>
      <c r="BJ19" s="35"/>
      <c r="BK19" s="35"/>
      <c r="BL19" s="35">
        <f t="shared" si="32"/>
        <v>199772.92477440002</v>
      </c>
      <c r="BM19" s="35">
        <f t="shared" si="33"/>
        <v>199772.92477440002</v>
      </c>
      <c r="BN19" s="35">
        <f t="shared" si="34"/>
        <v>29492.2559718</v>
      </c>
      <c r="BP19" s="35"/>
      <c r="BQ19" s="35">
        <f t="shared" si="35"/>
        <v>75982.6733568</v>
      </c>
      <c r="BR19" s="35">
        <f t="shared" si="36"/>
        <v>75982.6733568</v>
      </c>
      <c r="BS19" s="35">
        <f t="shared" si="37"/>
        <v>11217.2380446</v>
      </c>
      <c r="BU19" s="35"/>
      <c r="BV19" s="35">
        <f t="shared" si="38"/>
        <v>18579.067391999997</v>
      </c>
      <c r="BW19" s="35">
        <f t="shared" si="39"/>
        <v>18579.067391999997</v>
      </c>
      <c r="BX19" s="35">
        <f t="shared" si="40"/>
        <v>2742.807174</v>
      </c>
      <c r="BZ19" s="35"/>
      <c r="CA19" s="35">
        <f t="shared" si="41"/>
        <v>8.203008</v>
      </c>
      <c r="CB19" s="35">
        <f t="shared" si="42"/>
        <v>8.203008</v>
      </c>
      <c r="CC19" s="35">
        <f t="shared" si="43"/>
        <v>1.211001</v>
      </c>
      <c r="CE19" s="35"/>
      <c r="CF19" s="35">
        <f t="shared" si="44"/>
        <v>69091.99749119999</v>
      </c>
      <c r="CG19" s="35">
        <f t="shared" si="45"/>
        <v>69091.99749119999</v>
      </c>
      <c r="CH19" s="35">
        <f t="shared" si="46"/>
        <v>10199.975186399999</v>
      </c>
      <c r="CJ19" s="35"/>
      <c r="CK19" s="35">
        <f t="shared" si="47"/>
        <v>35604.037632</v>
      </c>
      <c r="CL19" s="35">
        <f t="shared" si="48"/>
        <v>35604.037632</v>
      </c>
      <c r="CM19" s="35">
        <f t="shared" si="49"/>
        <v>5256.184704</v>
      </c>
      <c r="CO19" s="35"/>
      <c r="CP19" s="35">
        <f t="shared" si="50"/>
        <v>292833.3659136</v>
      </c>
      <c r="CQ19" s="35">
        <f t="shared" si="51"/>
        <v>292833.3659136</v>
      </c>
      <c r="CR19" s="35">
        <f t="shared" si="52"/>
        <v>43230.6659892</v>
      </c>
      <c r="CT19" s="35"/>
      <c r="CU19" s="35">
        <f t="shared" si="53"/>
        <v>32.9611776</v>
      </c>
      <c r="CV19" s="35">
        <f t="shared" si="54"/>
        <v>32.9611776</v>
      </c>
      <c r="CW19" s="35">
        <f t="shared" si="55"/>
        <v>4.8660222</v>
      </c>
      <c r="CY19" s="35"/>
      <c r="CZ19" s="35">
        <f t="shared" si="56"/>
        <v>30.7239936</v>
      </c>
      <c r="DA19" s="35">
        <f t="shared" si="57"/>
        <v>30.7239936</v>
      </c>
      <c r="DB19" s="35">
        <f t="shared" si="58"/>
        <v>4.5357492</v>
      </c>
      <c r="DD19" s="5"/>
      <c r="DE19" s="35"/>
      <c r="DF19" s="35">
        <f t="shared" si="59"/>
        <v>0</v>
      </c>
      <c r="DG19" s="35">
        <f t="shared" si="60"/>
        <v>0</v>
      </c>
      <c r="DH19" s="5"/>
      <c r="DI19" s="5"/>
      <c r="DJ19" s="5"/>
      <c r="DK19" s="5"/>
      <c r="DL19" s="5"/>
      <c r="DM19" s="5"/>
      <c r="DN19" s="5"/>
      <c r="DO19" s="5"/>
      <c r="DP19" s="5"/>
      <c r="DQ19" s="5"/>
    </row>
    <row r="20" spans="1:121" ht="12.75">
      <c r="A20" s="36">
        <v>46478</v>
      </c>
      <c r="C20" s="3">
        <v>5340000</v>
      </c>
      <c r="D20" s="3">
        <v>1491456</v>
      </c>
      <c r="E20" s="34">
        <f t="shared" si="0"/>
        <v>6831456</v>
      </c>
      <c r="F20" s="34">
        <v>220182</v>
      </c>
      <c r="G20" s="35"/>
      <c r="H20" s="35">
        <f t="shared" si="61"/>
        <v>1538416.086</v>
      </c>
      <c r="I20" s="35">
        <f t="shared" si="1"/>
        <v>429677.8842624</v>
      </c>
      <c r="J20" s="35">
        <f t="shared" si="2"/>
        <v>1968093.9702623999</v>
      </c>
      <c r="K20" s="35">
        <f>'Academic Project '!K20</f>
        <v>63432.870907799996</v>
      </c>
      <c r="M20" s="35">
        <f t="shared" si="62"/>
        <v>3801583.914</v>
      </c>
      <c r="N20" s="34">
        <f t="shared" si="3"/>
        <v>1061778.1157376003</v>
      </c>
      <c r="O20" s="35">
        <f t="shared" si="4"/>
        <v>4863362.0297376</v>
      </c>
      <c r="P20" s="34">
        <f t="shared" si="3"/>
        <v>156749.12909220002</v>
      </c>
      <c r="Q20" s="35"/>
      <c r="R20" s="35">
        <f t="shared" si="63"/>
        <v>337728.3</v>
      </c>
      <c r="S20" s="35">
        <f t="shared" si="5"/>
        <v>94327.13471999999</v>
      </c>
      <c r="T20" s="35">
        <f t="shared" si="6"/>
        <v>432055.43471999996</v>
      </c>
      <c r="U20" s="35">
        <f t="shared" si="7"/>
        <v>13925.41059</v>
      </c>
      <c r="W20" s="35">
        <f t="shared" si="64"/>
        <v>955.326</v>
      </c>
      <c r="X20" s="35">
        <f t="shared" si="8"/>
        <v>266.8214784</v>
      </c>
      <c r="Y20" s="35">
        <f t="shared" si="9"/>
        <v>1222.1474784</v>
      </c>
      <c r="Z20" s="35">
        <f t="shared" si="10"/>
        <v>39.390559800000005</v>
      </c>
      <c r="AB20" s="35">
        <f t="shared" si="65"/>
        <v>179129.232</v>
      </c>
      <c r="AC20" s="35">
        <f t="shared" si="11"/>
        <v>50030.5932288</v>
      </c>
      <c r="AD20" s="35">
        <f t="shared" si="12"/>
        <v>229159.82522879998</v>
      </c>
      <c r="AE20" s="35">
        <f t="shared" si="13"/>
        <v>7385.9611536</v>
      </c>
      <c r="AG20" s="35">
        <f t="shared" si="66"/>
        <v>256614.23400000003</v>
      </c>
      <c r="AH20" s="35">
        <f t="shared" si="14"/>
        <v>71672.06722560001</v>
      </c>
      <c r="AI20" s="35">
        <f t="shared" si="15"/>
        <v>328286.30122560007</v>
      </c>
      <c r="AJ20" s="35">
        <f t="shared" si="16"/>
        <v>10580.8680282</v>
      </c>
      <c r="AK20" s="35"/>
      <c r="AL20" s="35">
        <f t="shared" si="67"/>
        <v>18119.688</v>
      </c>
      <c r="AM20" s="35">
        <f t="shared" si="17"/>
        <v>5060.8084991999995</v>
      </c>
      <c r="AN20" s="35">
        <f t="shared" si="18"/>
        <v>23180.4964992</v>
      </c>
      <c r="AO20" s="35">
        <f t="shared" si="19"/>
        <v>747.1215624</v>
      </c>
      <c r="AP20" s="35"/>
      <c r="AQ20" s="35">
        <f t="shared" si="68"/>
        <v>65079.113999999994</v>
      </c>
      <c r="AR20" s="35">
        <f t="shared" si="20"/>
        <v>18176.523417599998</v>
      </c>
      <c r="AS20" s="35">
        <f t="shared" si="21"/>
        <v>83255.6374176</v>
      </c>
      <c r="AT20" s="35">
        <f t="shared" si="22"/>
        <v>2683.3800521999997</v>
      </c>
      <c r="AU20" s="35"/>
      <c r="AV20" s="35">
        <f t="shared" si="69"/>
        <v>461965.536</v>
      </c>
      <c r="AW20" s="35">
        <f t="shared" si="23"/>
        <v>129026.4551424</v>
      </c>
      <c r="AX20" s="35">
        <f t="shared" si="24"/>
        <v>590991.9911424001</v>
      </c>
      <c r="AY20" s="35">
        <f t="shared" si="25"/>
        <v>19048.0328928</v>
      </c>
      <c r="AZ20" s="35"/>
      <c r="BA20" s="35">
        <f t="shared" si="70"/>
        <v>3458.184</v>
      </c>
      <c r="BB20" s="35">
        <f t="shared" si="26"/>
        <v>965.8669056</v>
      </c>
      <c r="BC20" s="35">
        <f t="shared" si="27"/>
        <v>4424.0509056</v>
      </c>
      <c r="BD20" s="35">
        <f t="shared" si="28"/>
        <v>142.5898632</v>
      </c>
      <c r="BE20" s="35"/>
      <c r="BF20" s="35">
        <f t="shared" si="71"/>
        <v>1131.012</v>
      </c>
      <c r="BG20" s="35">
        <f t="shared" si="29"/>
        <v>315.8903808</v>
      </c>
      <c r="BH20" s="35">
        <f t="shared" si="30"/>
        <v>1446.9023808</v>
      </c>
      <c r="BI20" s="35">
        <f t="shared" si="31"/>
        <v>46.6345476</v>
      </c>
      <c r="BJ20" s="35"/>
      <c r="BK20" s="35">
        <f t="shared" si="72"/>
        <v>715265.7660000001</v>
      </c>
      <c r="BL20" s="35">
        <f t="shared" si="32"/>
        <v>199772.92477440002</v>
      </c>
      <c r="BM20" s="35">
        <f t="shared" si="33"/>
        <v>915038.6907744</v>
      </c>
      <c r="BN20" s="35">
        <f t="shared" si="34"/>
        <v>29492.2559718</v>
      </c>
      <c r="BP20" s="35">
        <f t="shared" si="73"/>
        <v>272047.902</v>
      </c>
      <c r="BQ20" s="35">
        <f t="shared" si="35"/>
        <v>75982.6733568</v>
      </c>
      <c r="BR20" s="35">
        <f t="shared" si="36"/>
        <v>348030.5753568</v>
      </c>
      <c r="BS20" s="35">
        <f t="shared" si="37"/>
        <v>11217.2380446</v>
      </c>
      <c r="BU20" s="35">
        <f t="shared" si="74"/>
        <v>66520.37999999999</v>
      </c>
      <c r="BV20" s="35">
        <f t="shared" si="38"/>
        <v>18579.067391999997</v>
      </c>
      <c r="BW20" s="35">
        <f t="shared" si="39"/>
        <v>85099.44739199999</v>
      </c>
      <c r="BX20" s="35">
        <f t="shared" si="40"/>
        <v>2742.807174</v>
      </c>
      <c r="BZ20" s="35">
        <f t="shared" si="75"/>
        <v>29.37</v>
      </c>
      <c r="CA20" s="35">
        <f t="shared" si="41"/>
        <v>8.203008</v>
      </c>
      <c r="CB20" s="35">
        <f t="shared" si="42"/>
        <v>37.573008</v>
      </c>
      <c r="CC20" s="35">
        <f t="shared" si="43"/>
        <v>1.211001</v>
      </c>
      <c r="CE20" s="35">
        <f t="shared" si="76"/>
        <v>247376.56799999997</v>
      </c>
      <c r="CF20" s="35">
        <f t="shared" si="44"/>
        <v>69091.99749119999</v>
      </c>
      <c r="CG20" s="35">
        <f t="shared" si="45"/>
        <v>316468.56549119996</v>
      </c>
      <c r="CH20" s="35">
        <f t="shared" si="46"/>
        <v>10199.975186399999</v>
      </c>
      <c r="CJ20" s="35">
        <f t="shared" si="77"/>
        <v>127476.48000000001</v>
      </c>
      <c r="CK20" s="35">
        <f t="shared" si="47"/>
        <v>35604.037632</v>
      </c>
      <c r="CL20" s="35">
        <f t="shared" si="48"/>
        <v>163080.517632</v>
      </c>
      <c r="CM20" s="35">
        <f t="shared" si="49"/>
        <v>5256.184704</v>
      </c>
      <c r="CO20" s="35">
        <f t="shared" si="78"/>
        <v>1048458.804</v>
      </c>
      <c r="CP20" s="35">
        <f t="shared" si="50"/>
        <v>292833.3659136</v>
      </c>
      <c r="CQ20" s="35">
        <f t="shared" si="51"/>
        <v>1341292.1699136</v>
      </c>
      <c r="CR20" s="35">
        <f t="shared" si="52"/>
        <v>43230.6659892</v>
      </c>
      <c r="CT20" s="35">
        <f t="shared" si="79"/>
        <v>118.014</v>
      </c>
      <c r="CU20" s="35">
        <f t="shared" si="53"/>
        <v>32.9611776</v>
      </c>
      <c r="CV20" s="35">
        <f t="shared" si="54"/>
        <v>150.9751776</v>
      </c>
      <c r="CW20" s="35">
        <f t="shared" si="55"/>
        <v>4.8660222</v>
      </c>
      <c r="CY20" s="35">
        <f t="shared" si="80"/>
        <v>110.00399999999999</v>
      </c>
      <c r="CZ20" s="35">
        <f t="shared" si="56"/>
        <v>30.7239936</v>
      </c>
      <c r="DA20" s="35">
        <f t="shared" si="57"/>
        <v>140.7279936</v>
      </c>
      <c r="DB20" s="35">
        <f t="shared" si="58"/>
        <v>4.5357492</v>
      </c>
      <c r="DD20" s="5"/>
      <c r="DE20" s="35"/>
      <c r="DF20" s="35">
        <f t="shared" si="59"/>
        <v>0</v>
      </c>
      <c r="DG20" s="35">
        <f t="shared" si="60"/>
        <v>0</v>
      </c>
      <c r="DH20" s="5"/>
      <c r="DI20" s="5"/>
      <c r="DJ20" s="5"/>
      <c r="DK20" s="5"/>
      <c r="DL20" s="5"/>
      <c r="DM20" s="5"/>
      <c r="DN20" s="5"/>
      <c r="DO20" s="5"/>
      <c r="DP20" s="5"/>
      <c r="DQ20" s="5"/>
    </row>
    <row r="21" spans="1:121" ht="12.75">
      <c r="A21" s="36">
        <v>46661</v>
      </c>
      <c r="D21" s="3">
        <v>1357956</v>
      </c>
      <c r="E21" s="34">
        <f t="shared" si="0"/>
        <v>1357956</v>
      </c>
      <c r="F21" s="34">
        <v>220182</v>
      </c>
      <c r="G21" s="35"/>
      <c r="H21" s="35"/>
      <c r="I21" s="35">
        <f t="shared" si="1"/>
        <v>391217.4821124</v>
      </c>
      <c r="J21" s="35">
        <f t="shared" si="2"/>
        <v>391217.4821124</v>
      </c>
      <c r="K21" s="35">
        <f>'Academic Project '!K21</f>
        <v>63432.870907799996</v>
      </c>
      <c r="M21" s="35"/>
      <c r="N21" s="34">
        <f t="shared" si="3"/>
        <v>966738.5178876</v>
      </c>
      <c r="O21" s="35">
        <f t="shared" si="4"/>
        <v>966738.5178876</v>
      </c>
      <c r="P21" s="34">
        <f t="shared" si="3"/>
        <v>156749.12909220002</v>
      </c>
      <c r="Q21" s="35"/>
      <c r="R21" s="35"/>
      <c r="S21" s="35">
        <f t="shared" si="5"/>
        <v>85883.92722</v>
      </c>
      <c r="T21" s="35">
        <f t="shared" si="6"/>
        <v>85883.92722</v>
      </c>
      <c r="U21" s="35">
        <f t="shared" si="7"/>
        <v>13925.41059</v>
      </c>
      <c r="W21" s="35"/>
      <c r="X21" s="35">
        <f t="shared" si="8"/>
        <v>242.93832840000002</v>
      </c>
      <c r="Y21" s="35">
        <f t="shared" si="9"/>
        <v>242.93832840000002</v>
      </c>
      <c r="Z21" s="35">
        <f t="shared" si="10"/>
        <v>39.390559800000005</v>
      </c>
      <c r="AB21" s="35"/>
      <c r="AC21" s="35">
        <f t="shared" si="11"/>
        <v>45552.3624288</v>
      </c>
      <c r="AD21" s="35">
        <f t="shared" si="12"/>
        <v>45552.3624288</v>
      </c>
      <c r="AE21" s="35">
        <f t="shared" si="13"/>
        <v>7385.9611536</v>
      </c>
      <c r="AG21" s="35"/>
      <c r="AH21" s="35">
        <f t="shared" si="14"/>
        <v>65256.7113756</v>
      </c>
      <c r="AI21" s="35">
        <f t="shared" si="15"/>
        <v>65256.7113756</v>
      </c>
      <c r="AJ21" s="35">
        <f t="shared" si="16"/>
        <v>10580.8680282</v>
      </c>
      <c r="AK21" s="35"/>
      <c r="AL21" s="35"/>
      <c r="AM21" s="35">
        <f t="shared" si="17"/>
        <v>4607.8162992</v>
      </c>
      <c r="AN21" s="35">
        <f t="shared" si="18"/>
        <v>4607.8162992</v>
      </c>
      <c r="AO21" s="35">
        <f t="shared" si="19"/>
        <v>747.1215624</v>
      </c>
      <c r="AP21" s="35"/>
      <c r="AQ21" s="35"/>
      <c r="AR21" s="35">
        <f t="shared" si="20"/>
        <v>16549.5455676</v>
      </c>
      <c r="AS21" s="35">
        <f t="shared" si="21"/>
        <v>16549.5455676</v>
      </c>
      <c r="AT21" s="35">
        <f t="shared" si="22"/>
        <v>2683.3800521999997</v>
      </c>
      <c r="AU21" s="35"/>
      <c r="AV21" s="35"/>
      <c r="AW21" s="35">
        <f t="shared" si="23"/>
        <v>117477.3167424</v>
      </c>
      <c r="AX21" s="35">
        <f t="shared" si="24"/>
        <v>117477.3167424</v>
      </c>
      <c r="AY21" s="35">
        <f t="shared" si="25"/>
        <v>19048.0328928</v>
      </c>
      <c r="AZ21" s="35"/>
      <c r="BA21" s="35"/>
      <c r="BB21" s="35">
        <f t="shared" si="26"/>
        <v>879.4123056000001</v>
      </c>
      <c r="BC21" s="35">
        <f t="shared" si="27"/>
        <v>879.4123056000001</v>
      </c>
      <c r="BD21" s="35">
        <f t="shared" si="28"/>
        <v>142.5898632</v>
      </c>
      <c r="BE21" s="35"/>
      <c r="BF21" s="35"/>
      <c r="BG21" s="35">
        <f t="shared" si="29"/>
        <v>287.6150808</v>
      </c>
      <c r="BH21" s="35">
        <f t="shared" si="30"/>
        <v>287.6150808</v>
      </c>
      <c r="BI21" s="35">
        <f t="shared" si="31"/>
        <v>46.6345476</v>
      </c>
      <c r="BJ21" s="35"/>
      <c r="BK21" s="35"/>
      <c r="BL21" s="35">
        <f t="shared" si="32"/>
        <v>181891.2806244</v>
      </c>
      <c r="BM21" s="35">
        <f t="shared" si="33"/>
        <v>181891.2806244</v>
      </c>
      <c r="BN21" s="35">
        <f t="shared" si="34"/>
        <v>29492.2559718</v>
      </c>
      <c r="BP21" s="35"/>
      <c r="BQ21" s="35">
        <f t="shared" si="35"/>
        <v>69181.4758068</v>
      </c>
      <c r="BR21" s="35">
        <f t="shared" si="36"/>
        <v>69181.4758068</v>
      </c>
      <c r="BS21" s="35">
        <f t="shared" si="37"/>
        <v>11217.2380446</v>
      </c>
      <c r="BU21" s="35"/>
      <c r="BV21" s="35">
        <f t="shared" si="38"/>
        <v>16916.057892</v>
      </c>
      <c r="BW21" s="35">
        <f t="shared" si="39"/>
        <v>16916.057892</v>
      </c>
      <c r="BX21" s="35">
        <f t="shared" si="40"/>
        <v>2742.807174</v>
      </c>
      <c r="BZ21" s="35"/>
      <c r="CA21" s="35">
        <f t="shared" si="41"/>
        <v>7.468758</v>
      </c>
      <c r="CB21" s="35">
        <f t="shared" si="42"/>
        <v>7.468758</v>
      </c>
      <c r="CC21" s="35">
        <f t="shared" si="43"/>
        <v>1.211001</v>
      </c>
      <c r="CE21" s="35"/>
      <c r="CF21" s="35">
        <f t="shared" si="44"/>
        <v>62907.5832912</v>
      </c>
      <c r="CG21" s="35">
        <f t="shared" si="45"/>
        <v>62907.5832912</v>
      </c>
      <c r="CH21" s="35">
        <f t="shared" si="46"/>
        <v>10199.975186399999</v>
      </c>
      <c r="CJ21" s="35"/>
      <c r="CK21" s="35">
        <f t="shared" si="47"/>
        <v>32417.125632000003</v>
      </c>
      <c r="CL21" s="35">
        <f t="shared" si="48"/>
        <v>32417.125632000003</v>
      </c>
      <c r="CM21" s="35">
        <f t="shared" si="49"/>
        <v>5256.184704</v>
      </c>
      <c r="CO21" s="35"/>
      <c r="CP21" s="35">
        <f t="shared" si="50"/>
        <v>266621.8958136</v>
      </c>
      <c r="CQ21" s="35">
        <f t="shared" si="51"/>
        <v>266621.8958136</v>
      </c>
      <c r="CR21" s="35">
        <f t="shared" si="52"/>
        <v>43230.6659892</v>
      </c>
      <c r="CT21" s="35"/>
      <c r="CU21" s="35">
        <f t="shared" si="53"/>
        <v>30.0108276</v>
      </c>
      <c r="CV21" s="35">
        <f t="shared" si="54"/>
        <v>30.0108276</v>
      </c>
      <c r="CW21" s="35">
        <f t="shared" si="55"/>
        <v>4.8660222</v>
      </c>
      <c r="CY21" s="35"/>
      <c r="CZ21" s="35">
        <f t="shared" si="56"/>
        <v>27.9738936</v>
      </c>
      <c r="DA21" s="35">
        <f t="shared" si="57"/>
        <v>27.9738936</v>
      </c>
      <c r="DB21" s="35">
        <f t="shared" si="58"/>
        <v>4.5357492</v>
      </c>
      <c r="DD21" s="5"/>
      <c r="DE21" s="35"/>
      <c r="DF21" s="35">
        <f t="shared" si="59"/>
        <v>0</v>
      </c>
      <c r="DG21" s="35">
        <f t="shared" si="60"/>
        <v>0</v>
      </c>
      <c r="DH21" s="5"/>
      <c r="DI21" s="5"/>
      <c r="DJ21" s="5"/>
      <c r="DK21" s="5"/>
      <c r="DL21" s="5"/>
      <c r="DM21" s="5"/>
      <c r="DN21" s="5"/>
      <c r="DO21" s="5"/>
      <c r="DP21" s="5"/>
      <c r="DQ21" s="5"/>
    </row>
    <row r="22" spans="1:121" ht="12.75">
      <c r="A22" s="36">
        <v>46844</v>
      </c>
      <c r="C22" s="3">
        <v>5610000</v>
      </c>
      <c r="D22" s="3">
        <v>1357956</v>
      </c>
      <c r="E22" s="34">
        <f t="shared" si="0"/>
        <v>6967956</v>
      </c>
      <c r="F22" s="34">
        <v>220182</v>
      </c>
      <c r="G22" s="35"/>
      <c r="H22" s="35">
        <f t="shared" si="61"/>
        <v>1616201.169</v>
      </c>
      <c r="I22" s="35">
        <f t="shared" si="1"/>
        <v>391217.4821124</v>
      </c>
      <c r="J22" s="35">
        <f t="shared" si="2"/>
        <v>2007418.6511124</v>
      </c>
      <c r="K22" s="35">
        <f>'Academic Project '!K22</f>
        <v>63432.870907799996</v>
      </c>
      <c r="M22" s="35">
        <f t="shared" si="62"/>
        <v>3993798.8310000002</v>
      </c>
      <c r="N22" s="34">
        <f t="shared" si="3"/>
        <v>966738.5178876</v>
      </c>
      <c r="O22" s="35">
        <f t="shared" si="4"/>
        <v>4960537.3488876</v>
      </c>
      <c r="P22" s="34">
        <f t="shared" si="3"/>
        <v>156749.12909220002</v>
      </c>
      <c r="Q22" s="35"/>
      <c r="R22" s="35">
        <f t="shared" si="63"/>
        <v>354804.44999999995</v>
      </c>
      <c r="S22" s="35">
        <f t="shared" si="5"/>
        <v>85883.92722</v>
      </c>
      <c r="T22" s="35">
        <f t="shared" si="6"/>
        <v>440688.37721999997</v>
      </c>
      <c r="U22" s="35">
        <f t="shared" si="7"/>
        <v>13925.41059</v>
      </c>
      <c r="W22" s="35">
        <f t="shared" si="64"/>
        <v>1003.629</v>
      </c>
      <c r="X22" s="35">
        <f t="shared" si="8"/>
        <v>242.93832840000002</v>
      </c>
      <c r="Y22" s="35">
        <f t="shared" si="9"/>
        <v>1246.5673284</v>
      </c>
      <c r="Z22" s="35">
        <f t="shared" si="10"/>
        <v>39.390559800000005</v>
      </c>
      <c r="AB22" s="35">
        <f t="shared" si="65"/>
        <v>188186.328</v>
      </c>
      <c r="AC22" s="35">
        <f t="shared" si="11"/>
        <v>45552.3624288</v>
      </c>
      <c r="AD22" s="35">
        <f t="shared" si="12"/>
        <v>233738.6904288</v>
      </c>
      <c r="AE22" s="35">
        <f t="shared" si="13"/>
        <v>7385.9611536</v>
      </c>
      <c r="AG22" s="35">
        <f t="shared" si="66"/>
        <v>269589.11100000003</v>
      </c>
      <c r="AH22" s="35">
        <f t="shared" si="14"/>
        <v>65256.7113756</v>
      </c>
      <c r="AI22" s="35">
        <f t="shared" si="15"/>
        <v>334845.82237560005</v>
      </c>
      <c r="AJ22" s="35">
        <f t="shared" si="16"/>
        <v>10580.8680282</v>
      </c>
      <c r="AK22" s="35"/>
      <c r="AL22" s="35">
        <f t="shared" si="67"/>
        <v>19035.852</v>
      </c>
      <c r="AM22" s="35">
        <f t="shared" si="17"/>
        <v>4607.8162992</v>
      </c>
      <c r="AN22" s="35">
        <f t="shared" si="18"/>
        <v>23643.6682992</v>
      </c>
      <c r="AO22" s="35">
        <f t="shared" si="19"/>
        <v>747.1215624</v>
      </c>
      <c r="AP22" s="35"/>
      <c r="AQ22" s="35">
        <f t="shared" si="68"/>
        <v>68369.631</v>
      </c>
      <c r="AR22" s="35">
        <f t="shared" si="20"/>
        <v>16549.5455676</v>
      </c>
      <c r="AS22" s="35">
        <f t="shared" si="21"/>
        <v>84919.17656759999</v>
      </c>
      <c r="AT22" s="35">
        <f t="shared" si="22"/>
        <v>2683.3800521999997</v>
      </c>
      <c r="AU22" s="35"/>
      <c r="AV22" s="35">
        <f t="shared" si="69"/>
        <v>485323.344</v>
      </c>
      <c r="AW22" s="35">
        <f t="shared" si="23"/>
        <v>117477.3167424</v>
      </c>
      <c r="AX22" s="35">
        <f t="shared" si="24"/>
        <v>602800.6607424</v>
      </c>
      <c r="AY22" s="35">
        <f t="shared" si="25"/>
        <v>19048.0328928</v>
      </c>
      <c r="AZ22" s="35"/>
      <c r="BA22" s="35">
        <f t="shared" si="70"/>
        <v>3633.036</v>
      </c>
      <c r="BB22" s="35">
        <f t="shared" si="26"/>
        <v>879.4123056000001</v>
      </c>
      <c r="BC22" s="35">
        <f t="shared" si="27"/>
        <v>4512.4483056</v>
      </c>
      <c r="BD22" s="35">
        <f t="shared" si="28"/>
        <v>142.5898632</v>
      </c>
      <c r="BE22" s="35"/>
      <c r="BF22" s="35">
        <f t="shared" si="71"/>
        <v>1188.198</v>
      </c>
      <c r="BG22" s="35">
        <f t="shared" si="29"/>
        <v>287.6150808</v>
      </c>
      <c r="BH22" s="35">
        <f t="shared" si="30"/>
        <v>1475.8130808</v>
      </c>
      <c r="BI22" s="35">
        <f t="shared" si="31"/>
        <v>46.6345476</v>
      </c>
      <c r="BJ22" s="35"/>
      <c r="BK22" s="35">
        <f t="shared" si="72"/>
        <v>751430.8890000001</v>
      </c>
      <c r="BL22" s="35">
        <f t="shared" si="32"/>
        <v>181891.2806244</v>
      </c>
      <c r="BM22" s="35">
        <f t="shared" si="33"/>
        <v>933322.1696244001</v>
      </c>
      <c r="BN22" s="35">
        <f t="shared" si="34"/>
        <v>29492.2559718</v>
      </c>
      <c r="BP22" s="35">
        <f t="shared" si="73"/>
        <v>285803.133</v>
      </c>
      <c r="BQ22" s="35">
        <f t="shared" si="35"/>
        <v>69181.4758068</v>
      </c>
      <c r="BR22" s="35">
        <f t="shared" si="36"/>
        <v>354984.6088068</v>
      </c>
      <c r="BS22" s="35">
        <f t="shared" si="37"/>
        <v>11217.2380446</v>
      </c>
      <c r="BU22" s="35">
        <f t="shared" si="74"/>
        <v>69883.76999999999</v>
      </c>
      <c r="BV22" s="35">
        <f t="shared" si="38"/>
        <v>16916.057892</v>
      </c>
      <c r="BW22" s="35">
        <f t="shared" si="39"/>
        <v>86799.82789199999</v>
      </c>
      <c r="BX22" s="35">
        <f t="shared" si="40"/>
        <v>2742.807174</v>
      </c>
      <c r="BZ22" s="35">
        <f t="shared" si="75"/>
        <v>30.855</v>
      </c>
      <c r="CA22" s="35">
        <f t="shared" si="41"/>
        <v>7.468758</v>
      </c>
      <c r="CB22" s="35">
        <f t="shared" si="42"/>
        <v>38.323758</v>
      </c>
      <c r="CC22" s="35">
        <f t="shared" si="43"/>
        <v>1.211001</v>
      </c>
      <c r="CE22" s="35">
        <f t="shared" si="76"/>
        <v>259884.37199999997</v>
      </c>
      <c r="CF22" s="35">
        <f t="shared" si="44"/>
        <v>62907.5832912</v>
      </c>
      <c r="CG22" s="35">
        <f t="shared" si="45"/>
        <v>322791.95529119996</v>
      </c>
      <c r="CH22" s="35">
        <f t="shared" si="46"/>
        <v>10199.975186399999</v>
      </c>
      <c r="CJ22" s="35">
        <f t="shared" si="77"/>
        <v>133921.92</v>
      </c>
      <c r="CK22" s="35">
        <f t="shared" si="47"/>
        <v>32417.125632000003</v>
      </c>
      <c r="CL22" s="35">
        <f t="shared" si="48"/>
        <v>166339.04563200002</v>
      </c>
      <c r="CM22" s="35">
        <f t="shared" si="49"/>
        <v>5256.184704</v>
      </c>
      <c r="CO22" s="35">
        <f t="shared" si="78"/>
        <v>1101470.766</v>
      </c>
      <c r="CP22" s="35">
        <f t="shared" si="50"/>
        <v>266621.8958136</v>
      </c>
      <c r="CQ22" s="35">
        <f t="shared" si="51"/>
        <v>1368092.6618136</v>
      </c>
      <c r="CR22" s="35">
        <f t="shared" si="52"/>
        <v>43230.6659892</v>
      </c>
      <c r="CT22" s="35">
        <f t="shared" si="79"/>
        <v>123.981</v>
      </c>
      <c r="CU22" s="35">
        <f t="shared" si="53"/>
        <v>30.0108276</v>
      </c>
      <c r="CV22" s="35">
        <f t="shared" si="54"/>
        <v>153.9918276</v>
      </c>
      <c r="CW22" s="35">
        <f t="shared" si="55"/>
        <v>4.8660222</v>
      </c>
      <c r="CY22" s="35">
        <f t="shared" si="80"/>
        <v>115.566</v>
      </c>
      <c r="CZ22" s="35">
        <f t="shared" si="56"/>
        <v>27.9738936</v>
      </c>
      <c r="DA22" s="35">
        <f t="shared" si="57"/>
        <v>143.5398936</v>
      </c>
      <c r="DB22" s="35">
        <f t="shared" si="58"/>
        <v>4.5357492</v>
      </c>
      <c r="DD22" s="5"/>
      <c r="DE22" s="35"/>
      <c r="DF22" s="35">
        <f t="shared" si="59"/>
        <v>0</v>
      </c>
      <c r="DG22" s="35">
        <f t="shared" si="60"/>
        <v>0</v>
      </c>
      <c r="DH22" s="5"/>
      <c r="DI22" s="5"/>
      <c r="DJ22" s="5"/>
      <c r="DK22" s="5"/>
      <c r="DL22" s="5"/>
      <c r="DM22" s="5"/>
      <c r="DN22" s="5"/>
      <c r="DO22" s="5"/>
      <c r="DP22" s="5"/>
      <c r="DQ22" s="5"/>
    </row>
    <row r="23" spans="1:121" ht="12.75">
      <c r="A23" s="36">
        <v>47027</v>
      </c>
      <c r="D23" s="3">
        <v>1217706</v>
      </c>
      <c r="E23" s="34">
        <f t="shared" si="0"/>
        <v>1217706</v>
      </c>
      <c r="F23" s="34">
        <v>220182</v>
      </c>
      <c r="G23" s="35"/>
      <c r="H23" s="35"/>
      <c r="I23" s="35">
        <f t="shared" si="1"/>
        <v>350812.4528874</v>
      </c>
      <c r="J23" s="35">
        <f t="shared" si="2"/>
        <v>350812.4528874</v>
      </c>
      <c r="K23" s="35">
        <f>'Academic Project '!K23</f>
        <v>63432.870907799996</v>
      </c>
      <c r="M23" s="35"/>
      <c r="N23" s="34">
        <f t="shared" si="3"/>
        <v>866893.5471126001</v>
      </c>
      <c r="O23" s="35">
        <f t="shared" si="4"/>
        <v>866893.5471126001</v>
      </c>
      <c r="P23" s="34">
        <f t="shared" si="3"/>
        <v>156749.12909220002</v>
      </c>
      <c r="Q23" s="35"/>
      <c r="R23" s="35"/>
      <c r="S23" s="35">
        <f t="shared" si="5"/>
        <v>77013.81597</v>
      </c>
      <c r="T23" s="35">
        <f t="shared" si="6"/>
        <v>77013.81597</v>
      </c>
      <c r="U23" s="35">
        <f t="shared" si="7"/>
        <v>13925.41059</v>
      </c>
      <c r="W23" s="35"/>
      <c r="X23" s="35">
        <f t="shared" si="8"/>
        <v>217.84760340000003</v>
      </c>
      <c r="Y23" s="35">
        <f t="shared" si="9"/>
        <v>217.84760340000003</v>
      </c>
      <c r="Z23" s="35">
        <f t="shared" si="10"/>
        <v>39.390559800000005</v>
      </c>
      <c r="AB23" s="35"/>
      <c r="AC23" s="35">
        <f t="shared" si="11"/>
        <v>40847.7042288</v>
      </c>
      <c r="AD23" s="35">
        <f t="shared" si="12"/>
        <v>40847.7042288</v>
      </c>
      <c r="AE23" s="35">
        <f t="shared" si="13"/>
        <v>7385.9611536</v>
      </c>
      <c r="AG23" s="35"/>
      <c r="AH23" s="35">
        <f t="shared" si="14"/>
        <v>58516.983600600004</v>
      </c>
      <c r="AI23" s="35">
        <f t="shared" si="15"/>
        <v>58516.983600600004</v>
      </c>
      <c r="AJ23" s="35">
        <f t="shared" si="16"/>
        <v>10580.8680282</v>
      </c>
      <c r="AK23" s="35"/>
      <c r="AL23" s="35"/>
      <c r="AM23" s="35">
        <f t="shared" si="17"/>
        <v>4131.919999199999</v>
      </c>
      <c r="AN23" s="35">
        <f t="shared" si="18"/>
        <v>4131.919999199999</v>
      </c>
      <c r="AO23" s="35">
        <f t="shared" si="19"/>
        <v>747.1215624</v>
      </c>
      <c r="AP23" s="35"/>
      <c r="AQ23" s="35"/>
      <c r="AR23" s="35">
        <f t="shared" si="20"/>
        <v>14840.3047926</v>
      </c>
      <c r="AS23" s="35">
        <f t="shared" si="21"/>
        <v>14840.3047926</v>
      </c>
      <c r="AT23" s="35">
        <f t="shared" si="22"/>
        <v>2683.3800521999997</v>
      </c>
      <c r="AU23" s="35"/>
      <c r="AV23" s="35"/>
      <c r="AW23" s="35">
        <f t="shared" si="23"/>
        <v>105344.2331424</v>
      </c>
      <c r="AX23" s="35">
        <f t="shared" si="24"/>
        <v>105344.2331424</v>
      </c>
      <c r="AY23" s="35">
        <f t="shared" si="25"/>
        <v>19048.0328928</v>
      </c>
      <c r="AZ23" s="35"/>
      <c r="BA23" s="35"/>
      <c r="BB23" s="35">
        <f t="shared" si="26"/>
        <v>788.5864056</v>
      </c>
      <c r="BC23" s="35">
        <f t="shared" si="27"/>
        <v>788.5864056</v>
      </c>
      <c r="BD23" s="35">
        <f t="shared" si="28"/>
        <v>142.5898632</v>
      </c>
      <c r="BE23" s="35"/>
      <c r="BF23" s="35"/>
      <c r="BG23" s="35">
        <f t="shared" si="29"/>
        <v>257.9101308</v>
      </c>
      <c r="BH23" s="35">
        <f t="shared" si="30"/>
        <v>257.9101308</v>
      </c>
      <c r="BI23" s="35">
        <f t="shared" si="31"/>
        <v>46.6345476</v>
      </c>
      <c r="BJ23" s="35"/>
      <c r="BK23" s="35"/>
      <c r="BL23" s="35">
        <f t="shared" si="32"/>
        <v>163105.50839940002</v>
      </c>
      <c r="BM23" s="35">
        <f t="shared" si="33"/>
        <v>163105.50839940002</v>
      </c>
      <c r="BN23" s="35">
        <f t="shared" si="34"/>
        <v>29492.2559718</v>
      </c>
      <c r="BP23" s="35"/>
      <c r="BQ23" s="35">
        <f t="shared" si="35"/>
        <v>62036.3974818</v>
      </c>
      <c r="BR23" s="35">
        <f t="shared" si="36"/>
        <v>62036.3974818</v>
      </c>
      <c r="BS23" s="35">
        <f t="shared" si="37"/>
        <v>11217.2380446</v>
      </c>
      <c r="BU23" s="35"/>
      <c r="BV23" s="35">
        <f t="shared" si="38"/>
        <v>15168.963641999999</v>
      </c>
      <c r="BW23" s="35">
        <f t="shared" si="39"/>
        <v>15168.963641999999</v>
      </c>
      <c r="BX23" s="35">
        <f t="shared" si="40"/>
        <v>2742.807174</v>
      </c>
      <c r="BZ23" s="35"/>
      <c r="CA23" s="35">
        <f t="shared" si="41"/>
        <v>6.697382999999999</v>
      </c>
      <c r="CB23" s="35">
        <f t="shared" si="42"/>
        <v>6.697382999999999</v>
      </c>
      <c r="CC23" s="35">
        <f t="shared" si="43"/>
        <v>1.211001</v>
      </c>
      <c r="CE23" s="35"/>
      <c r="CF23" s="35">
        <f t="shared" si="44"/>
        <v>56410.47399119999</v>
      </c>
      <c r="CG23" s="35">
        <f t="shared" si="45"/>
        <v>56410.47399119999</v>
      </c>
      <c r="CH23" s="35">
        <f t="shared" si="46"/>
        <v>10199.975186399999</v>
      </c>
      <c r="CJ23" s="35"/>
      <c r="CK23" s="35">
        <f t="shared" si="47"/>
        <v>29069.077632</v>
      </c>
      <c r="CL23" s="35">
        <f t="shared" si="48"/>
        <v>29069.077632</v>
      </c>
      <c r="CM23" s="35">
        <f t="shared" si="49"/>
        <v>5256.184704</v>
      </c>
      <c r="CO23" s="35"/>
      <c r="CP23" s="35">
        <f t="shared" si="50"/>
        <v>239085.1266636</v>
      </c>
      <c r="CQ23" s="35">
        <f t="shared" si="51"/>
        <v>239085.1266636</v>
      </c>
      <c r="CR23" s="35">
        <f t="shared" si="52"/>
        <v>43230.6659892</v>
      </c>
      <c r="CT23" s="35"/>
      <c r="CU23" s="35">
        <f t="shared" si="53"/>
        <v>26.9113026</v>
      </c>
      <c r="CV23" s="35">
        <f t="shared" si="54"/>
        <v>26.9113026</v>
      </c>
      <c r="CW23" s="35">
        <f t="shared" si="55"/>
        <v>4.8660222</v>
      </c>
      <c r="CY23" s="35"/>
      <c r="CZ23" s="35">
        <f t="shared" si="56"/>
        <v>25.0847436</v>
      </c>
      <c r="DA23" s="35">
        <f t="shared" si="57"/>
        <v>25.0847436</v>
      </c>
      <c r="DB23" s="35">
        <f t="shared" si="58"/>
        <v>4.5357492</v>
      </c>
      <c r="DD23" s="5"/>
      <c r="DE23" s="35"/>
      <c r="DF23" s="35">
        <f t="shared" si="59"/>
        <v>0</v>
      </c>
      <c r="DG23" s="35">
        <f t="shared" si="60"/>
        <v>0</v>
      </c>
      <c r="DH23" s="5"/>
      <c r="DI23" s="5"/>
      <c r="DJ23" s="5"/>
      <c r="DK23" s="5"/>
      <c r="DL23" s="5"/>
      <c r="DM23" s="5"/>
      <c r="DN23" s="5"/>
      <c r="DO23" s="5"/>
      <c r="DP23" s="5"/>
      <c r="DQ23" s="5"/>
    </row>
    <row r="24" spans="1:121" ht="12.75">
      <c r="A24" s="36">
        <v>47209</v>
      </c>
      <c r="C24" s="3">
        <v>5890000</v>
      </c>
      <c r="D24" s="3">
        <v>1217706</v>
      </c>
      <c r="E24" s="34">
        <f t="shared" si="0"/>
        <v>7107706</v>
      </c>
      <c r="F24" s="34">
        <v>220182</v>
      </c>
      <c r="G24" s="35"/>
      <c r="H24" s="35">
        <f t="shared" si="61"/>
        <v>1696867.1809999999</v>
      </c>
      <c r="I24" s="35">
        <f t="shared" si="1"/>
        <v>350812.4528874</v>
      </c>
      <c r="J24" s="35">
        <f t="shared" si="2"/>
        <v>2047679.6338874</v>
      </c>
      <c r="K24" s="35">
        <f>'Academic Project '!K24</f>
        <v>63432.870907799996</v>
      </c>
      <c r="M24" s="35">
        <f t="shared" si="62"/>
        <v>4193132.819</v>
      </c>
      <c r="N24" s="34">
        <f t="shared" si="3"/>
        <v>866893.5471126001</v>
      </c>
      <c r="O24" s="35">
        <f t="shared" si="4"/>
        <v>5060026.3661126</v>
      </c>
      <c r="P24" s="34">
        <f t="shared" si="3"/>
        <v>156749.12909220002</v>
      </c>
      <c r="Q24" s="35"/>
      <c r="R24" s="35">
        <f t="shared" si="63"/>
        <v>372513.05</v>
      </c>
      <c r="S24" s="35">
        <f t="shared" si="5"/>
        <v>77013.81597</v>
      </c>
      <c r="T24" s="35">
        <f t="shared" si="6"/>
        <v>449526.86597</v>
      </c>
      <c r="U24" s="35">
        <f t="shared" si="7"/>
        <v>13925.41059</v>
      </c>
      <c r="W24" s="35">
        <f t="shared" si="64"/>
        <v>1053.721</v>
      </c>
      <c r="X24" s="35">
        <f t="shared" si="8"/>
        <v>217.84760340000003</v>
      </c>
      <c r="Y24" s="35">
        <f t="shared" si="9"/>
        <v>1271.5686034</v>
      </c>
      <c r="Z24" s="35">
        <f t="shared" si="10"/>
        <v>39.390559800000005</v>
      </c>
      <c r="AB24" s="35">
        <f t="shared" si="65"/>
        <v>197578.872</v>
      </c>
      <c r="AC24" s="35">
        <f t="shared" si="11"/>
        <v>40847.7042288</v>
      </c>
      <c r="AD24" s="35">
        <f t="shared" si="12"/>
        <v>238426.5762288</v>
      </c>
      <c r="AE24" s="35">
        <f t="shared" si="13"/>
        <v>7385.9611536</v>
      </c>
      <c r="AG24" s="35">
        <f t="shared" si="66"/>
        <v>283044.53900000005</v>
      </c>
      <c r="AH24" s="35">
        <f t="shared" si="14"/>
        <v>58516.983600600004</v>
      </c>
      <c r="AI24" s="35">
        <f t="shared" si="15"/>
        <v>341561.52260060003</v>
      </c>
      <c r="AJ24" s="35">
        <f t="shared" si="16"/>
        <v>10580.8680282</v>
      </c>
      <c r="AK24" s="35"/>
      <c r="AL24" s="35">
        <f t="shared" si="67"/>
        <v>19985.948</v>
      </c>
      <c r="AM24" s="35">
        <f t="shared" si="17"/>
        <v>4131.919999199999</v>
      </c>
      <c r="AN24" s="35">
        <f t="shared" si="18"/>
        <v>24117.8679992</v>
      </c>
      <c r="AO24" s="35">
        <f t="shared" si="19"/>
        <v>747.1215624</v>
      </c>
      <c r="AP24" s="35"/>
      <c r="AQ24" s="35">
        <f t="shared" si="68"/>
        <v>71782.019</v>
      </c>
      <c r="AR24" s="35">
        <f t="shared" si="20"/>
        <v>14840.3047926</v>
      </c>
      <c r="AS24" s="35">
        <f t="shared" si="21"/>
        <v>86622.3237926</v>
      </c>
      <c r="AT24" s="35">
        <f t="shared" si="22"/>
        <v>2683.3800521999997</v>
      </c>
      <c r="AU24" s="35"/>
      <c r="AV24" s="35">
        <f t="shared" si="69"/>
        <v>509546.256</v>
      </c>
      <c r="AW24" s="35">
        <f t="shared" si="23"/>
        <v>105344.2331424</v>
      </c>
      <c r="AX24" s="35">
        <f t="shared" si="24"/>
        <v>614890.4891424</v>
      </c>
      <c r="AY24" s="35">
        <f t="shared" si="25"/>
        <v>19048.0328928</v>
      </c>
      <c r="AZ24" s="35"/>
      <c r="BA24" s="35">
        <f t="shared" si="70"/>
        <v>3814.364</v>
      </c>
      <c r="BB24" s="35">
        <f t="shared" si="26"/>
        <v>788.5864056</v>
      </c>
      <c r="BC24" s="35">
        <f t="shared" si="27"/>
        <v>4602.9504056000005</v>
      </c>
      <c r="BD24" s="35">
        <f t="shared" si="28"/>
        <v>142.5898632</v>
      </c>
      <c r="BE24" s="35"/>
      <c r="BF24" s="35">
        <f t="shared" si="71"/>
        <v>1247.502</v>
      </c>
      <c r="BG24" s="35">
        <f t="shared" si="29"/>
        <v>257.9101308</v>
      </c>
      <c r="BH24" s="35">
        <f t="shared" si="30"/>
        <v>1505.4121307999999</v>
      </c>
      <c r="BI24" s="35">
        <f t="shared" si="31"/>
        <v>46.6345476</v>
      </c>
      <c r="BJ24" s="35"/>
      <c r="BK24" s="35">
        <f t="shared" si="72"/>
        <v>788935.461</v>
      </c>
      <c r="BL24" s="35">
        <f t="shared" si="32"/>
        <v>163105.50839940002</v>
      </c>
      <c r="BM24" s="35">
        <f t="shared" si="33"/>
        <v>952040.9693994</v>
      </c>
      <c r="BN24" s="35">
        <f t="shared" si="34"/>
        <v>29492.2559718</v>
      </c>
      <c r="BP24" s="35">
        <f t="shared" si="73"/>
        <v>300067.817</v>
      </c>
      <c r="BQ24" s="35">
        <f t="shared" si="35"/>
        <v>62036.3974818</v>
      </c>
      <c r="BR24" s="35">
        <f t="shared" si="36"/>
        <v>362104.2144818</v>
      </c>
      <c r="BS24" s="35">
        <f t="shared" si="37"/>
        <v>11217.2380446</v>
      </c>
      <c r="BU24" s="35">
        <f t="shared" si="74"/>
        <v>73371.73</v>
      </c>
      <c r="BV24" s="35">
        <f t="shared" si="38"/>
        <v>15168.963641999999</v>
      </c>
      <c r="BW24" s="35">
        <f t="shared" si="39"/>
        <v>88540.693642</v>
      </c>
      <c r="BX24" s="35">
        <f t="shared" si="40"/>
        <v>2742.807174</v>
      </c>
      <c r="BZ24" s="35">
        <f t="shared" si="75"/>
        <v>32.394999999999996</v>
      </c>
      <c r="CA24" s="35">
        <f t="shared" si="41"/>
        <v>6.697382999999999</v>
      </c>
      <c r="CB24" s="35">
        <f t="shared" si="42"/>
        <v>39.092383</v>
      </c>
      <c r="CC24" s="35">
        <f t="shared" si="43"/>
        <v>1.211001</v>
      </c>
      <c r="CE24" s="35">
        <f t="shared" si="76"/>
        <v>272855.42799999996</v>
      </c>
      <c r="CF24" s="35">
        <f t="shared" si="44"/>
        <v>56410.47399119999</v>
      </c>
      <c r="CG24" s="35">
        <f t="shared" si="45"/>
        <v>329265.90199119993</v>
      </c>
      <c r="CH24" s="35">
        <f t="shared" si="46"/>
        <v>10199.975186399999</v>
      </c>
      <c r="CJ24" s="35">
        <f t="shared" si="77"/>
        <v>140606.08000000002</v>
      </c>
      <c r="CK24" s="35">
        <f t="shared" si="47"/>
        <v>29069.077632</v>
      </c>
      <c r="CL24" s="35">
        <f t="shared" si="48"/>
        <v>169675.15763200002</v>
      </c>
      <c r="CM24" s="35">
        <f t="shared" si="49"/>
        <v>5256.184704</v>
      </c>
      <c r="CO24" s="35">
        <f t="shared" si="78"/>
        <v>1156446.134</v>
      </c>
      <c r="CP24" s="35">
        <f t="shared" si="50"/>
        <v>239085.1266636</v>
      </c>
      <c r="CQ24" s="35">
        <f t="shared" si="51"/>
        <v>1395531.2606636002</v>
      </c>
      <c r="CR24" s="35">
        <f t="shared" si="52"/>
        <v>43230.6659892</v>
      </c>
      <c r="CT24" s="35">
        <f t="shared" si="79"/>
        <v>130.16899999999998</v>
      </c>
      <c r="CU24" s="35">
        <f t="shared" si="53"/>
        <v>26.9113026</v>
      </c>
      <c r="CV24" s="35">
        <f t="shared" si="54"/>
        <v>157.08030259999998</v>
      </c>
      <c r="CW24" s="35">
        <f t="shared" si="55"/>
        <v>4.8660222</v>
      </c>
      <c r="CY24" s="35">
        <f t="shared" si="80"/>
        <v>121.33399999999999</v>
      </c>
      <c r="CZ24" s="35">
        <f t="shared" si="56"/>
        <v>25.0847436</v>
      </c>
      <c r="DA24" s="35">
        <f t="shared" si="57"/>
        <v>146.4187436</v>
      </c>
      <c r="DB24" s="35">
        <f t="shared" si="58"/>
        <v>4.5357492</v>
      </c>
      <c r="DD24" s="5"/>
      <c r="DE24" s="35"/>
      <c r="DF24" s="35">
        <f t="shared" si="59"/>
        <v>0</v>
      </c>
      <c r="DG24" s="35">
        <f t="shared" si="60"/>
        <v>0</v>
      </c>
      <c r="DH24" s="5"/>
      <c r="DI24" s="5"/>
      <c r="DJ24" s="5"/>
      <c r="DK24" s="5"/>
      <c r="DL24" s="5"/>
      <c r="DM24" s="5"/>
      <c r="DN24" s="5"/>
      <c r="DO24" s="5"/>
      <c r="DP24" s="5"/>
      <c r="DQ24" s="5"/>
    </row>
    <row r="25" spans="1:121" ht="12.75">
      <c r="A25" s="36">
        <v>47392</v>
      </c>
      <c r="D25" s="3">
        <v>1070456</v>
      </c>
      <c r="E25" s="34">
        <f t="shared" si="0"/>
        <v>1070456</v>
      </c>
      <c r="F25" s="34">
        <v>220182</v>
      </c>
      <c r="G25" s="35"/>
      <c r="H25" s="35"/>
      <c r="I25" s="35">
        <f t="shared" si="1"/>
        <v>308390.7733624</v>
      </c>
      <c r="J25" s="35">
        <f t="shared" si="2"/>
        <v>308390.7733624</v>
      </c>
      <c r="K25" s="35">
        <f>'Academic Project '!K25</f>
        <v>63432.870907799996</v>
      </c>
      <c r="M25" s="35"/>
      <c r="N25" s="34">
        <f t="shared" si="3"/>
        <v>762065.2266376</v>
      </c>
      <c r="O25" s="35">
        <f t="shared" si="4"/>
        <v>762065.2266376</v>
      </c>
      <c r="P25" s="34">
        <f t="shared" si="3"/>
        <v>156749.12909220002</v>
      </c>
      <c r="Q25" s="35"/>
      <c r="R25" s="35"/>
      <c r="S25" s="35">
        <f t="shared" si="5"/>
        <v>67700.98972</v>
      </c>
      <c r="T25" s="35">
        <f t="shared" si="6"/>
        <v>67700.98972</v>
      </c>
      <c r="U25" s="35">
        <f t="shared" si="7"/>
        <v>13925.41059</v>
      </c>
      <c r="W25" s="35"/>
      <c r="X25" s="35">
        <f t="shared" si="8"/>
        <v>191.5045784</v>
      </c>
      <c r="Y25" s="35">
        <f t="shared" si="9"/>
        <v>191.5045784</v>
      </c>
      <c r="Z25" s="35">
        <f t="shared" si="10"/>
        <v>39.390559800000005</v>
      </c>
      <c r="AB25" s="35"/>
      <c r="AC25" s="35">
        <f t="shared" si="11"/>
        <v>35908.2324288</v>
      </c>
      <c r="AD25" s="35">
        <f t="shared" si="12"/>
        <v>35908.2324288</v>
      </c>
      <c r="AE25" s="35">
        <f t="shared" si="13"/>
        <v>7385.9611536</v>
      </c>
      <c r="AG25" s="35"/>
      <c r="AH25" s="35">
        <f t="shared" si="14"/>
        <v>51440.870125600006</v>
      </c>
      <c r="AI25" s="35">
        <f t="shared" si="15"/>
        <v>51440.870125600006</v>
      </c>
      <c r="AJ25" s="35">
        <f t="shared" si="16"/>
        <v>10580.8680282</v>
      </c>
      <c r="AK25" s="35"/>
      <c r="AL25" s="35"/>
      <c r="AM25" s="35">
        <f t="shared" si="17"/>
        <v>3632.2712991999997</v>
      </c>
      <c r="AN25" s="35">
        <f t="shared" si="18"/>
        <v>3632.2712991999997</v>
      </c>
      <c r="AO25" s="35">
        <f t="shared" si="19"/>
        <v>747.1215624</v>
      </c>
      <c r="AP25" s="35"/>
      <c r="AQ25" s="35"/>
      <c r="AR25" s="35">
        <f t="shared" si="20"/>
        <v>13045.7543176</v>
      </c>
      <c r="AS25" s="35">
        <f t="shared" si="21"/>
        <v>13045.7543176</v>
      </c>
      <c r="AT25" s="35">
        <f t="shared" si="22"/>
        <v>2683.3800521999997</v>
      </c>
      <c r="AU25" s="35"/>
      <c r="AV25" s="35"/>
      <c r="AW25" s="35">
        <f t="shared" si="23"/>
        <v>92605.57674240001</v>
      </c>
      <c r="AX25" s="35">
        <f t="shared" si="24"/>
        <v>92605.57674240001</v>
      </c>
      <c r="AY25" s="35">
        <f t="shared" si="25"/>
        <v>19048.0328928</v>
      </c>
      <c r="AZ25" s="35"/>
      <c r="BA25" s="35"/>
      <c r="BB25" s="35">
        <f t="shared" si="26"/>
        <v>693.2273056</v>
      </c>
      <c r="BC25" s="35">
        <f t="shared" si="27"/>
        <v>693.2273056</v>
      </c>
      <c r="BD25" s="35">
        <f t="shared" si="28"/>
        <v>142.5898632</v>
      </c>
      <c r="BE25" s="35"/>
      <c r="BF25" s="35"/>
      <c r="BG25" s="35">
        <f t="shared" si="29"/>
        <v>226.7225808</v>
      </c>
      <c r="BH25" s="35">
        <f t="shared" si="30"/>
        <v>226.7225808</v>
      </c>
      <c r="BI25" s="35">
        <f t="shared" si="31"/>
        <v>46.6345476</v>
      </c>
      <c r="BJ25" s="35"/>
      <c r="BK25" s="35"/>
      <c r="BL25" s="35">
        <f t="shared" si="32"/>
        <v>143382.1218744</v>
      </c>
      <c r="BM25" s="35">
        <f t="shared" si="33"/>
        <v>143382.1218744</v>
      </c>
      <c r="BN25" s="35">
        <f t="shared" si="34"/>
        <v>29492.2559718</v>
      </c>
      <c r="BP25" s="35"/>
      <c r="BQ25" s="35">
        <f t="shared" si="35"/>
        <v>54534.7020568</v>
      </c>
      <c r="BR25" s="35">
        <f t="shared" si="36"/>
        <v>54534.7020568</v>
      </c>
      <c r="BS25" s="35">
        <f t="shared" si="37"/>
        <v>11217.2380446</v>
      </c>
      <c r="BU25" s="35"/>
      <c r="BV25" s="35">
        <f t="shared" si="38"/>
        <v>13334.670392</v>
      </c>
      <c r="BW25" s="35">
        <f t="shared" si="39"/>
        <v>13334.670392</v>
      </c>
      <c r="BX25" s="35">
        <f t="shared" si="40"/>
        <v>2742.807174</v>
      </c>
      <c r="BZ25" s="35"/>
      <c r="CA25" s="35">
        <f t="shared" si="41"/>
        <v>5.8875079999999995</v>
      </c>
      <c r="CB25" s="35">
        <f t="shared" si="42"/>
        <v>5.8875079999999995</v>
      </c>
      <c r="CC25" s="35">
        <f t="shared" si="43"/>
        <v>1.211001</v>
      </c>
      <c r="CE25" s="35"/>
      <c r="CF25" s="35">
        <f t="shared" si="44"/>
        <v>49589.088291199994</v>
      </c>
      <c r="CG25" s="35">
        <f t="shared" si="45"/>
        <v>49589.088291199994</v>
      </c>
      <c r="CH25" s="35">
        <f t="shared" si="46"/>
        <v>10199.975186399999</v>
      </c>
      <c r="CJ25" s="35"/>
      <c r="CK25" s="35">
        <f t="shared" si="47"/>
        <v>25553.925632000002</v>
      </c>
      <c r="CL25" s="35">
        <f t="shared" si="48"/>
        <v>25553.925632000002</v>
      </c>
      <c r="CM25" s="35">
        <f t="shared" si="49"/>
        <v>5256.184704</v>
      </c>
      <c r="CO25" s="35"/>
      <c r="CP25" s="35">
        <f t="shared" si="50"/>
        <v>210173.9733136</v>
      </c>
      <c r="CQ25" s="35">
        <f t="shared" si="51"/>
        <v>210173.9733136</v>
      </c>
      <c r="CR25" s="35">
        <f t="shared" si="52"/>
        <v>43230.6659892</v>
      </c>
      <c r="CT25" s="35"/>
      <c r="CU25" s="35">
        <f t="shared" si="53"/>
        <v>23.657077599999997</v>
      </c>
      <c r="CV25" s="35">
        <f t="shared" si="54"/>
        <v>23.657077599999997</v>
      </c>
      <c r="CW25" s="35">
        <f t="shared" si="55"/>
        <v>4.8660222</v>
      </c>
      <c r="CY25" s="35"/>
      <c r="CZ25" s="35">
        <f t="shared" si="56"/>
        <v>22.0513936</v>
      </c>
      <c r="DA25" s="35">
        <f t="shared" si="57"/>
        <v>22.0513936</v>
      </c>
      <c r="DB25" s="35">
        <f t="shared" si="58"/>
        <v>4.5357492</v>
      </c>
      <c r="DD25" s="5"/>
      <c r="DE25" s="35"/>
      <c r="DF25" s="35">
        <f t="shared" si="59"/>
        <v>0</v>
      </c>
      <c r="DG25" s="35">
        <f t="shared" si="60"/>
        <v>0</v>
      </c>
      <c r="DH25" s="5"/>
      <c r="DI25" s="5"/>
      <c r="DJ25" s="5"/>
      <c r="DK25" s="5"/>
      <c r="DL25" s="5"/>
      <c r="DM25" s="5"/>
      <c r="DN25" s="5"/>
      <c r="DO25" s="5"/>
      <c r="DP25" s="5"/>
      <c r="DQ25" s="5"/>
    </row>
    <row r="26" spans="1:121" ht="12.75">
      <c r="A26" s="36">
        <v>11049</v>
      </c>
      <c r="C26" s="3">
        <v>6180000</v>
      </c>
      <c r="D26" s="3">
        <v>1070456</v>
      </c>
      <c r="E26" s="34">
        <f t="shared" si="0"/>
        <v>7250456</v>
      </c>
      <c r="F26" s="34">
        <v>220182</v>
      </c>
      <c r="G26" s="35"/>
      <c r="H26" s="35">
        <f t="shared" si="61"/>
        <v>1780414.122</v>
      </c>
      <c r="I26" s="35">
        <f t="shared" si="1"/>
        <v>308390.7733624</v>
      </c>
      <c r="J26" s="35">
        <f t="shared" si="2"/>
        <v>2088804.8953624</v>
      </c>
      <c r="K26" s="35">
        <f>'Academic Project '!K26</f>
        <v>63432.870907799996</v>
      </c>
      <c r="M26" s="35">
        <f t="shared" si="62"/>
        <v>4399585.8780000005</v>
      </c>
      <c r="N26" s="34">
        <f t="shared" si="3"/>
        <v>762065.2266376</v>
      </c>
      <c r="O26" s="35">
        <f t="shared" si="4"/>
        <v>5161651.1046376005</v>
      </c>
      <c r="P26" s="34">
        <f t="shared" si="3"/>
        <v>156749.12909220002</v>
      </c>
      <c r="Q26" s="35"/>
      <c r="R26" s="35">
        <f t="shared" si="63"/>
        <v>390854.1</v>
      </c>
      <c r="S26" s="35">
        <f t="shared" si="5"/>
        <v>67700.98972</v>
      </c>
      <c r="T26" s="35">
        <f t="shared" si="6"/>
        <v>458555.08972</v>
      </c>
      <c r="U26" s="35">
        <f t="shared" si="7"/>
        <v>13925.41059</v>
      </c>
      <c r="W26" s="35">
        <f t="shared" si="64"/>
        <v>1105.602</v>
      </c>
      <c r="X26" s="35">
        <f t="shared" si="8"/>
        <v>191.5045784</v>
      </c>
      <c r="Y26" s="35">
        <f t="shared" si="9"/>
        <v>1297.1065784000002</v>
      </c>
      <c r="Z26" s="35">
        <f t="shared" si="10"/>
        <v>39.390559800000005</v>
      </c>
      <c r="AB26" s="35">
        <f t="shared" si="65"/>
        <v>207306.864</v>
      </c>
      <c r="AC26" s="35">
        <f t="shared" si="11"/>
        <v>35908.2324288</v>
      </c>
      <c r="AD26" s="35">
        <f t="shared" si="12"/>
        <v>243215.0964288</v>
      </c>
      <c r="AE26" s="35">
        <f t="shared" si="13"/>
        <v>7385.9611536</v>
      </c>
      <c r="AG26" s="35">
        <f t="shared" si="66"/>
        <v>296980.51800000004</v>
      </c>
      <c r="AH26" s="35">
        <f t="shared" si="14"/>
        <v>51440.870125600006</v>
      </c>
      <c r="AI26" s="35">
        <f t="shared" si="15"/>
        <v>348421.38812560006</v>
      </c>
      <c r="AJ26" s="35">
        <f t="shared" si="16"/>
        <v>10580.8680282</v>
      </c>
      <c r="AK26" s="35"/>
      <c r="AL26" s="35">
        <f t="shared" si="67"/>
        <v>20969.976</v>
      </c>
      <c r="AM26" s="35">
        <f t="shared" si="17"/>
        <v>3632.2712991999997</v>
      </c>
      <c r="AN26" s="35">
        <f t="shared" si="18"/>
        <v>24602.247299199997</v>
      </c>
      <c r="AO26" s="35">
        <f t="shared" si="19"/>
        <v>747.1215624</v>
      </c>
      <c r="AP26" s="35"/>
      <c r="AQ26" s="35">
        <f t="shared" si="68"/>
        <v>75316.27799999999</v>
      </c>
      <c r="AR26" s="35">
        <f t="shared" si="20"/>
        <v>13045.7543176</v>
      </c>
      <c r="AS26" s="35">
        <f t="shared" si="21"/>
        <v>88362.0323176</v>
      </c>
      <c r="AT26" s="35">
        <f t="shared" si="22"/>
        <v>2683.3800521999997</v>
      </c>
      <c r="AU26" s="35"/>
      <c r="AV26" s="35">
        <f t="shared" si="69"/>
        <v>534634.272</v>
      </c>
      <c r="AW26" s="35">
        <f t="shared" si="23"/>
        <v>92605.57674240001</v>
      </c>
      <c r="AX26" s="35">
        <f t="shared" si="24"/>
        <v>627239.8487424001</v>
      </c>
      <c r="AY26" s="35">
        <f t="shared" si="25"/>
        <v>19048.0328928</v>
      </c>
      <c r="AZ26" s="35"/>
      <c r="BA26" s="35">
        <f t="shared" si="70"/>
        <v>4002.168</v>
      </c>
      <c r="BB26" s="35">
        <f t="shared" si="26"/>
        <v>693.2273056</v>
      </c>
      <c r="BC26" s="35">
        <f t="shared" si="27"/>
        <v>4695.3953056</v>
      </c>
      <c r="BD26" s="35">
        <f t="shared" si="28"/>
        <v>142.5898632</v>
      </c>
      <c r="BE26" s="35"/>
      <c r="BF26" s="35">
        <f t="shared" si="71"/>
        <v>1308.924</v>
      </c>
      <c r="BG26" s="35">
        <f t="shared" si="29"/>
        <v>226.7225808</v>
      </c>
      <c r="BH26" s="35">
        <f t="shared" si="30"/>
        <v>1535.6465808</v>
      </c>
      <c r="BI26" s="35">
        <f t="shared" si="31"/>
        <v>46.6345476</v>
      </c>
      <c r="BJ26" s="35"/>
      <c r="BK26" s="35">
        <f t="shared" si="72"/>
        <v>827779.4820000001</v>
      </c>
      <c r="BL26" s="35">
        <f t="shared" si="32"/>
        <v>143382.1218744</v>
      </c>
      <c r="BM26" s="35">
        <f t="shared" si="33"/>
        <v>971161.6038744</v>
      </c>
      <c r="BN26" s="35">
        <f t="shared" si="34"/>
        <v>29492.2559718</v>
      </c>
      <c r="BP26" s="35">
        <f t="shared" si="73"/>
        <v>314841.95399999997</v>
      </c>
      <c r="BQ26" s="35">
        <f t="shared" si="35"/>
        <v>54534.7020568</v>
      </c>
      <c r="BR26" s="35">
        <f t="shared" si="36"/>
        <v>369376.6560568</v>
      </c>
      <c r="BS26" s="35">
        <f t="shared" si="37"/>
        <v>11217.2380446</v>
      </c>
      <c r="BU26" s="35">
        <f t="shared" si="74"/>
        <v>76984.26</v>
      </c>
      <c r="BV26" s="35">
        <f t="shared" si="38"/>
        <v>13334.670392</v>
      </c>
      <c r="BW26" s="35">
        <f t="shared" si="39"/>
        <v>90318.930392</v>
      </c>
      <c r="BX26" s="35">
        <f t="shared" si="40"/>
        <v>2742.807174</v>
      </c>
      <c r="BZ26" s="35">
        <f t="shared" si="75"/>
        <v>33.99</v>
      </c>
      <c r="CA26" s="35">
        <f t="shared" si="41"/>
        <v>5.8875079999999995</v>
      </c>
      <c r="CB26" s="35">
        <f t="shared" si="42"/>
        <v>39.877508</v>
      </c>
      <c r="CC26" s="35">
        <f t="shared" si="43"/>
        <v>1.211001</v>
      </c>
      <c r="CE26" s="35">
        <f t="shared" si="76"/>
        <v>286289.736</v>
      </c>
      <c r="CF26" s="35">
        <f t="shared" si="44"/>
        <v>49589.088291199994</v>
      </c>
      <c r="CG26" s="35">
        <f t="shared" si="45"/>
        <v>335878.82429119997</v>
      </c>
      <c r="CH26" s="35">
        <f t="shared" si="46"/>
        <v>10199.975186399999</v>
      </c>
      <c r="CJ26" s="35">
        <f t="shared" si="77"/>
        <v>147528.96</v>
      </c>
      <c r="CK26" s="35">
        <f t="shared" si="47"/>
        <v>25553.925632000002</v>
      </c>
      <c r="CL26" s="35">
        <f t="shared" si="48"/>
        <v>173082.885632</v>
      </c>
      <c r="CM26" s="35">
        <f t="shared" si="49"/>
        <v>5256.184704</v>
      </c>
      <c r="CO26" s="35">
        <f t="shared" si="78"/>
        <v>1213384.908</v>
      </c>
      <c r="CP26" s="35">
        <f t="shared" si="50"/>
        <v>210173.9733136</v>
      </c>
      <c r="CQ26" s="35">
        <f t="shared" si="51"/>
        <v>1423558.8813136</v>
      </c>
      <c r="CR26" s="35">
        <f t="shared" si="52"/>
        <v>43230.6659892</v>
      </c>
      <c r="CT26" s="35">
        <f t="shared" si="79"/>
        <v>136.578</v>
      </c>
      <c r="CU26" s="35">
        <f t="shared" si="53"/>
        <v>23.657077599999997</v>
      </c>
      <c r="CV26" s="35">
        <f t="shared" si="54"/>
        <v>160.2350776</v>
      </c>
      <c r="CW26" s="35">
        <f t="shared" si="55"/>
        <v>4.8660222</v>
      </c>
      <c r="CY26" s="35">
        <f t="shared" si="80"/>
        <v>127.30799999999999</v>
      </c>
      <c r="CZ26" s="35">
        <f t="shared" si="56"/>
        <v>22.0513936</v>
      </c>
      <c r="DA26" s="35">
        <f t="shared" si="57"/>
        <v>149.3593936</v>
      </c>
      <c r="DB26" s="35">
        <f t="shared" si="58"/>
        <v>4.5357492</v>
      </c>
      <c r="DD26" s="5"/>
      <c r="DE26" s="35"/>
      <c r="DF26" s="35">
        <f t="shared" si="59"/>
        <v>0</v>
      </c>
      <c r="DG26" s="35">
        <f t="shared" si="60"/>
        <v>0</v>
      </c>
      <c r="DH26" s="5"/>
      <c r="DI26" s="5"/>
      <c r="DJ26" s="5"/>
      <c r="DK26" s="5"/>
      <c r="DL26" s="5"/>
      <c r="DM26" s="5"/>
      <c r="DN26" s="5"/>
      <c r="DO26" s="5"/>
      <c r="DP26" s="5"/>
      <c r="DQ26" s="5"/>
    </row>
    <row r="27" spans="1:121" ht="12.75">
      <c r="A27" s="36">
        <v>11232</v>
      </c>
      <c r="D27" s="3">
        <v>915956</v>
      </c>
      <c r="E27" s="34">
        <f t="shared" si="0"/>
        <v>915956</v>
      </c>
      <c r="F27" s="34">
        <v>220182</v>
      </c>
      <c r="G27" s="35"/>
      <c r="H27" s="35"/>
      <c r="I27" s="35">
        <f t="shared" si="1"/>
        <v>263880.4203124</v>
      </c>
      <c r="J27" s="35">
        <f t="shared" si="2"/>
        <v>263880.4203124</v>
      </c>
      <c r="K27" s="35">
        <f>'Academic Project '!K27</f>
        <v>63432.870907799996</v>
      </c>
      <c r="M27" s="35"/>
      <c r="N27" s="34">
        <f t="shared" si="3"/>
        <v>652075.5796876</v>
      </c>
      <c r="O27" s="35">
        <f t="shared" si="4"/>
        <v>652075.5796876</v>
      </c>
      <c r="P27" s="34">
        <f t="shared" si="3"/>
        <v>156749.12909220002</v>
      </c>
      <c r="Q27" s="35"/>
      <c r="R27" s="35"/>
      <c r="S27" s="35">
        <f t="shared" si="5"/>
        <v>57929.63722</v>
      </c>
      <c r="T27" s="35">
        <f t="shared" si="6"/>
        <v>57929.63722</v>
      </c>
      <c r="U27" s="35">
        <f t="shared" si="7"/>
        <v>13925.41059</v>
      </c>
      <c r="W27" s="35"/>
      <c r="X27" s="35">
        <f t="shared" si="8"/>
        <v>163.8645284</v>
      </c>
      <c r="Y27" s="35">
        <f t="shared" si="9"/>
        <v>163.8645284</v>
      </c>
      <c r="Z27" s="35">
        <f t="shared" si="10"/>
        <v>39.390559800000005</v>
      </c>
      <c r="AB27" s="35"/>
      <c r="AC27" s="35">
        <f t="shared" si="11"/>
        <v>30725.5608288</v>
      </c>
      <c r="AD27" s="35">
        <f t="shared" si="12"/>
        <v>30725.5608288</v>
      </c>
      <c r="AE27" s="35">
        <f t="shared" si="13"/>
        <v>7385.9611536</v>
      </c>
      <c r="AG27" s="35"/>
      <c r="AH27" s="35">
        <f t="shared" si="14"/>
        <v>44016.3571756</v>
      </c>
      <c r="AI27" s="35">
        <f t="shared" si="15"/>
        <v>44016.3571756</v>
      </c>
      <c r="AJ27" s="35">
        <f t="shared" si="16"/>
        <v>10580.8680282</v>
      </c>
      <c r="AK27" s="35"/>
      <c r="AL27" s="35"/>
      <c r="AM27" s="35">
        <f t="shared" si="17"/>
        <v>3108.0218992</v>
      </c>
      <c r="AN27" s="35">
        <f t="shared" si="18"/>
        <v>3108.0218992</v>
      </c>
      <c r="AO27" s="35">
        <f t="shared" si="19"/>
        <v>747.1215624</v>
      </c>
      <c r="AP27" s="35"/>
      <c r="AQ27" s="35"/>
      <c r="AR27" s="35">
        <f t="shared" si="20"/>
        <v>11162.8473676</v>
      </c>
      <c r="AS27" s="35">
        <f t="shared" si="21"/>
        <v>11162.8473676</v>
      </c>
      <c r="AT27" s="35">
        <f t="shared" si="22"/>
        <v>2683.3800521999997</v>
      </c>
      <c r="AU27" s="35"/>
      <c r="AV27" s="35"/>
      <c r="AW27" s="35">
        <f t="shared" si="23"/>
        <v>79239.7199424</v>
      </c>
      <c r="AX27" s="35">
        <f t="shared" si="24"/>
        <v>79239.7199424</v>
      </c>
      <c r="AY27" s="35">
        <f t="shared" si="25"/>
        <v>19048.0328928</v>
      </c>
      <c r="AZ27" s="35"/>
      <c r="BA27" s="35"/>
      <c r="BB27" s="35">
        <f t="shared" si="26"/>
        <v>593.1731056</v>
      </c>
      <c r="BC27" s="35">
        <f t="shared" si="27"/>
        <v>593.1731056</v>
      </c>
      <c r="BD27" s="35">
        <f t="shared" si="28"/>
        <v>142.5898632</v>
      </c>
      <c r="BE27" s="35"/>
      <c r="BF27" s="35"/>
      <c r="BG27" s="35">
        <f t="shared" si="29"/>
        <v>193.9994808</v>
      </c>
      <c r="BH27" s="35">
        <f t="shared" si="30"/>
        <v>193.9994808</v>
      </c>
      <c r="BI27" s="35">
        <f t="shared" si="31"/>
        <v>46.6345476</v>
      </c>
      <c r="BJ27" s="35"/>
      <c r="BK27" s="35"/>
      <c r="BL27" s="35">
        <f t="shared" si="32"/>
        <v>122687.63482440001</v>
      </c>
      <c r="BM27" s="35">
        <f t="shared" si="33"/>
        <v>122687.63482440001</v>
      </c>
      <c r="BN27" s="35">
        <f t="shared" si="34"/>
        <v>29492.2559718</v>
      </c>
      <c r="BP27" s="35"/>
      <c r="BQ27" s="35">
        <f t="shared" si="35"/>
        <v>46663.6532068</v>
      </c>
      <c r="BR27" s="35">
        <f t="shared" si="36"/>
        <v>46663.6532068</v>
      </c>
      <c r="BS27" s="35">
        <f t="shared" si="37"/>
        <v>11217.2380446</v>
      </c>
      <c r="BU27" s="35"/>
      <c r="BV27" s="35">
        <f t="shared" si="38"/>
        <v>11410.063892</v>
      </c>
      <c r="BW27" s="35">
        <f t="shared" si="39"/>
        <v>11410.063892</v>
      </c>
      <c r="BX27" s="35">
        <f t="shared" si="40"/>
        <v>2742.807174</v>
      </c>
      <c r="BZ27" s="35"/>
      <c r="CA27" s="35">
        <f t="shared" si="41"/>
        <v>5.037758</v>
      </c>
      <c r="CB27" s="35">
        <f t="shared" si="42"/>
        <v>5.037758</v>
      </c>
      <c r="CC27" s="35">
        <f t="shared" si="43"/>
        <v>1.211001</v>
      </c>
      <c r="CE27" s="35"/>
      <c r="CF27" s="35">
        <f t="shared" si="44"/>
        <v>42431.844891199995</v>
      </c>
      <c r="CG27" s="35">
        <f t="shared" si="45"/>
        <v>42431.844891199995</v>
      </c>
      <c r="CH27" s="35">
        <f t="shared" si="46"/>
        <v>10199.975186399999</v>
      </c>
      <c r="CJ27" s="35"/>
      <c r="CK27" s="35">
        <f t="shared" si="47"/>
        <v>21865.701632</v>
      </c>
      <c r="CL27" s="35">
        <f t="shared" si="48"/>
        <v>21865.701632</v>
      </c>
      <c r="CM27" s="35">
        <f t="shared" si="49"/>
        <v>5256.184704</v>
      </c>
      <c r="CO27" s="35"/>
      <c r="CP27" s="35">
        <f t="shared" si="50"/>
        <v>179839.3506136</v>
      </c>
      <c r="CQ27" s="35">
        <f t="shared" si="51"/>
        <v>179839.3506136</v>
      </c>
      <c r="CR27" s="35">
        <f t="shared" si="52"/>
        <v>43230.6659892</v>
      </c>
      <c r="CT27" s="35"/>
      <c r="CU27" s="35">
        <f t="shared" si="53"/>
        <v>20.2426276</v>
      </c>
      <c r="CV27" s="35">
        <f t="shared" si="54"/>
        <v>20.2426276</v>
      </c>
      <c r="CW27" s="35">
        <f t="shared" si="55"/>
        <v>4.8660222</v>
      </c>
      <c r="CY27" s="35"/>
      <c r="CZ27" s="35">
        <f t="shared" si="56"/>
        <v>18.8686936</v>
      </c>
      <c r="DA27" s="35">
        <f t="shared" si="57"/>
        <v>18.8686936</v>
      </c>
      <c r="DB27" s="35">
        <f t="shared" si="58"/>
        <v>4.5357492</v>
      </c>
      <c r="DD27" s="5"/>
      <c r="DE27" s="35"/>
      <c r="DF27" s="35">
        <f t="shared" si="59"/>
        <v>0</v>
      </c>
      <c r="DG27" s="35">
        <f t="shared" si="60"/>
        <v>0</v>
      </c>
      <c r="DH27" s="5"/>
      <c r="DI27" s="5"/>
      <c r="DJ27" s="5"/>
      <c r="DK27" s="5"/>
      <c r="DL27" s="5"/>
      <c r="DM27" s="5"/>
      <c r="DN27" s="5"/>
      <c r="DO27" s="5"/>
      <c r="DP27" s="5"/>
      <c r="DQ27" s="5"/>
    </row>
    <row r="28" spans="1:121" ht="12.75">
      <c r="A28" s="36">
        <v>11414</v>
      </c>
      <c r="C28" s="3">
        <v>6490000</v>
      </c>
      <c r="D28" s="3">
        <v>915956</v>
      </c>
      <c r="E28" s="34">
        <f t="shared" si="0"/>
        <v>7405956</v>
      </c>
      <c r="F28" s="34">
        <v>220182</v>
      </c>
      <c r="G28" s="35"/>
      <c r="H28" s="35">
        <f t="shared" si="61"/>
        <v>1869722.9209999999</v>
      </c>
      <c r="I28" s="35">
        <f t="shared" si="1"/>
        <v>263880.4203124</v>
      </c>
      <c r="J28" s="35">
        <f t="shared" si="2"/>
        <v>2133603.3413124</v>
      </c>
      <c r="K28" s="35">
        <f>'Academic Project '!K28</f>
        <v>63432.870907799996</v>
      </c>
      <c r="M28" s="35">
        <f t="shared" si="62"/>
        <v>4620277.079</v>
      </c>
      <c r="N28" s="34">
        <f t="shared" si="3"/>
        <v>652075.5796876</v>
      </c>
      <c r="O28" s="35">
        <f t="shared" si="4"/>
        <v>5272352.6586876</v>
      </c>
      <c r="P28" s="34">
        <f t="shared" si="3"/>
        <v>156749.12909220002</v>
      </c>
      <c r="Q28" s="35"/>
      <c r="R28" s="35">
        <f t="shared" si="63"/>
        <v>410460.05</v>
      </c>
      <c r="S28" s="35">
        <f t="shared" si="5"/>
        <v>57929.63722</v>
      </c>
      <c r="T28" s="35">
        <f t="shared" si="6"/>
        <v>468389.68721999996</v>
      </c>
      <c r="U28" s="35">
        <f t="shared" si="7"/>
        <v>13925.41059</v>
      </c>
      <c r="W28" s="35">
        <f t="shared" si="64"/>
        <v>1161.0610000000001</v>
      </c>
      <c r="X28" s="35">
        <f t="shared" si="8"/>
        <v>163.8645284</v>
      </c>
      <c r="Y28" s="35">
        <f t="shared" si="9"/>
        <v>1324.9255284</v>
      </c>
      <c r="Z28" s="35">
        <f t="shared" si="10"/>
        <v>39.390559800000005</v>
      </c>
      <c r="AB28" s="35">
        <f t="shared" si="65"/>
        <v>217705.752</v>
      </c>
      <c r="AC28" s="35">
        <f t="shared" si="11"/>
        <v>30725.5608288</v>
      </c>
      <c r="AD28" s="35">
        <f t="shared" si="12"/>
        <v>248431.3128288</v>
      </c>
      <c r="AE28" s="35">
        <f t="shared" si="13"/>
        <v>7385.9611536</v>
      </c>
      <c r="AG28" s="35">
        <f t="shared" si="66"/>
        <v>311877.59900000005</v>
      </c>
      <c r="AH28" s="35">
        <f t="shared" si="14"/>
        <v>44016.3571756</v>
      </c>
      <c r="AI28" s="35">
        <f t="shared" si="15"/>
        <v>355893.95617560006</v>
      </c>
      <c r="AJ28" s="35">
        <f t="shared" si="16"/>
        <v>10580.8680282</v>
      </c>
      <c r="AK28" s="35"/>
      <c r="AL28" s="35">
        <f t="shared" si="67"/>
        <v>22021.868</v>
      </c>
      <c r="AM28" s="35">
        <f t="shared" si="17"/>
        <v>3108.0218992</v>
      </c>
      <c r="AN28" s="35">
        <f t="shared" si="18"/>
        <v>25129.8898992</v>
      </c>
      <c r="AO28" s="35">
        <f t="shared" si="19"/>
        <v>747.1215624</v>
      </c>
      <c r="AP28" s="35"/>
      <c r="AQ28" s="35">
        <f t="shared" si="68"/>
        <v>79094.279</v>
      </c>
      <c r="AR28" s="35">
        <f t="shared" si="20"/>
        <v>11162.8473676</v>
      </c>
      <c r="AS28" s="35">
        <f t="shared" si="21"/>
        <v>90257.1263676</v>
      </c>
      <c r="AT28" s="35">
        <f t="shared" si="22"/>
        <v>2683.3800521999997</v>
      </c>
      <c r="AU28" s="35"/>
      <c r="AV28" s="35">
        <f t="shared" si="69"/>
        <v>561452.496</v>
      </c>
      <c r="AW28" s="35">
        <f t="shared" si="23"/>
        <v>79239.7199424</v>
      </c>
      <c r="AX28" s="35">
        <f t="shared" si="24"/>
        <v>640692.2159424</v>
      </c>
      <c r="AY28" s="35">
        <f t="shared" si="25"/>
        <v>19048.0328928</v>
      </c>
      <c r="AZ28" s="35"/>
      <c r="BA28" s="35">
        <f t="shared" si="70"/>
        <v>4202.924</v>
      </c>
      <c r="BB28" s="35">
        <f t="shared" si="26"/>
        <v>593.1731056</v>
      </c>
      <c r="BC28" s="35">
        <f t="shared" si="27"/>
        <v>4796.0971056</v>
      </c>
      <c r="BD28" s="35">
        <f t="shared" si="28"/>
        <v>142.5898632</v>
      </c>
      <c r="BE28" s="35"/>
      <c r="BF28" s="35">
        <f t="shared" si="71"/>
        <v>1374.5819999999999</v>
      </c>
      <c r="BG28" s="35">
        <f t="shared" si="29"/>
        <v>193.9994808</v>
      </c>
      <c r="BH28" s="35">
        <f t="shared" si="30"/>
        <v>1568.5814807999998</v>
      </c>
      <c r="BI28" s="35">
        <f t="shared" si="31"/>
        <v>46.6345476</v>
      </c>
      <c r="BJ28" s="35"/>
      <c r="BK28" s="35">
        <f t="shared" si="72"/>
        <v>869302.4010000001</v>
      </c>
      <c r="BL28" s="35">
        <f t="shared" si="32"/>
        <v>122687.63482440001</v>
      </c>
      <c r="BM28" s="35">
        <f t="shared" si="33"/>
        <v>991990.0358244001</v>
      </c>
      <c r="BN28" s="35">
        <f t="shared" si="34"/>
        <v>29492.2559718</v>
      </c>
      <c r="BP28" s="35">
        <f t="shared" si="73"/>
        <v>330634.997</v>
      </c>
      <c r="BQ28" s="35">
        <f t="shared" si="35"/>
        <v>46663.6532068</v>
      </c>
      <c r="BR28" s="35">
        <f t="shared" si="36"/>
        <v>377298.65020679997</v>
      </c>
      <c r="BS28" s="35">
        <f t="shared" si="37"/>
        <v>11217.2380446</v>
      </c>
      <c r="BU28" s="35">
        <f t="shared" si="74"/>
        <v>80845.93</v>
      </c>
      <c r="BV28" s="35">
        <f t="shared" si="38"/>
        <v>11410.063892</v>
      </c>
      <c r="BW28" s="35">
        <f t="shared" si="39"/>
        <v>92255.993892</v>
      </c>
      <c r="BX28" s="35">
        <f t="shared" si="40"/>
        <v>2742.807174</v>
      </c>
      <c r="BZ28" s="35">
        <f t="shared" si="75"/>
        <v>35.695</v>
      </c>
      <c r="CA28" s="35">
        <f t="shared" si="41"/>
        <v>5.037758</v>
      </c>
      <c r="CB28" s="35">
        <f t="shared" si="42"/>
        <v>40.732758000000004</v>
      </c>
      <c r="CC28" s="35">
        <f t="shared" si="43"/>
        <v>1.211001</v>
      </c>
      <c r="CE28" s="35">
        <f t="shared" si="76"/>
        <v>300650.54799999995</v>
      </c>
      <c r="CF28" s="35">
        <f t="shared" si="44"/>
        <v>42431.844891199995</v>
      </c>
      <c r="CG28" s="35">
        <f t="shared" si="45"/>
        <v>343082.39289119997</v>
      </c>
      <c r="CH28" s="35">
        <f t="shared" si="46"/>
        <v>10199.975186399999</v>
      </c>
      <c r="CJ28" s="35">
        <f t="shared" si="77"/>
        <v>154929.28</v>
      </c>
      <c r="CK28" s="35">
        <f t="shared" si="47"/>
        <v>21865.701632</v>
      </c>
      <c r="CL28" s="35">
        <f t="shared" si="48"/>
        <v>176794.981632</v>
      </c>
      <c r="CM28" s="35">
        <f t="shared" si="49"/>
        <v>5256.184704</v>
      </c>
      <c r="CO28" s="35">
        <f t="shared" si="78"/>
        <v>1274250.494</v>
      </c>
      <c r="CP28" s="35">
        <f t="shared" si="50"/>
        <v>179839.3506136</v>
      </c>
      <c r="CQ28" s="35">
        <f t="shared" si="51"/>
        <v>1454089.8446136</v>
      </c>
      <c r="CR28" s="35">
        <f t="shared" si="52"/>
        <v>43230.6659892</v>
      </c>
      <c r="CT28" s="35">
        <f t="shared" si="79"/>
        <v>143.429</v>
      </c>
      <c r="CU28" s="35">
        <f t="shared" si="53"/>
        <v>20.2426276</v>
      </c>
      <c r="CV28" s="35">
        <f t="shared" si="54"/>
        <v>163.6716276</v>
      </c>
      <c r="CW28" s="35">
        <f t="shared" si="55"/>
        <v>4.8660222</v>
      </c>
      <c r="CY28" s="35">
        <f t="shared" si="80"/>
        <v>133.694</v>
      </c>
      <c r="CZ28" s="35">
        <f t="shared" si="56"/>
        <v>18.8686936</v>
      </c>
      <c r="DA28" s="35">
        <f t="shared" si="57"/>
        <v>152.5626936</v>
      </c>
      <c r="DB28" s="35">
        <f t="shared" si="58"/>
        <v>4.5357492</v>
      </c>
      <c r="DD28" s="5"/>
      <c r="DE28" s="35"/>
      <c r="DF28" s="35">
        <f t="shared" si="59"/>
        <v>0</v>
      </c>
      <c r="DG28" s="35">
        <f t="shared" si="60"/>
        <v>0</v>
      </c>
      <c r="DH28" s="5"/>
      <c r="DI28" s="5"/>
      <c r="DJ28" s="5"/>
      <c r="DK28" s="5"/>
      <c r="DL28" s="5"/>
      <c r="DM28" s="5"/>
      <c r="DN28" s="5"/>
      <c r="DO28" s="5"/>
      <c r="DP28" s="5"/>
      <c r="DQ28" s="5"/>
    </row>
    <row r="29" spans="1:121" ht="12.75">
      <c r="A29" s="36">
        <v>11597</v>
      </c>
      <c r="D29" s="3">
        <v>818606</v>
      </c>
      <c r="E29" s="34">
        <f t="shared" si="0"/>
        <v>818606</v>
      </c>
      <c r="F29" s="34">
        <v>220182</v>
      </c>
      <c r="G29" s="35"/>
      <c r="H29" s="35"/>
      <c r="I29" s="35">
        <f t="shared" si="1"/>
        <v>235834.57649739998</v>
      </c>
      <c r="J29" s="35">
        <f t="shared" si="2"/>
        <v>235834.57649739998</v>
      </c>
      <c r="K29" s="35">
        <f>'Academic Project '!K29</f>
        <v>63432.870907799996</v>
      </c>
      <c r="M29" s="35"/>
      <c r="N29" s="34">
        <f t="shared" si="3"/>
        <v>582771.4235025999</v>
      </c>
      <c r="O29" s="35">
        <f t="shared" si="4"/>
        <v>582771.4235025999</v>
      </c>
      <c r="P29" s="34">
        <f t="shared" si="3"/>
        <v>156749.12909220002</v>
      </c>
      <c r="Q29" s="35"/>
      <c r="R29" s="35"/>
      <c r="S29" s="35">
        <f t="shared" si="5"/>
        <v>51772.736469999996</v>
      </c>
      <c r="T29" s="35">
        <f t="shared" si="6"/>
        <v>51772.736469999996</v>
      </c>
      <c r="U29" s="35">
        <f t="shared" si="7"/>
        <v>13925.41059</v>
      </c>
      <c r="W29" s="35"/>
      <c r="X29" s="35">
        <f t="shared" si="8"/>
        <v>146.4486134</v>
      </c>
      <c r="Y29" s="35">
        <f t="shared" si="9"/>
        <v>146.4486134</v>
      </c>
      <c r="Z29" s="35">
        <f t="shared" si="10"/>
        <v>39.390559800000005</v>
      </c>
      <c r="AB29" s="35"/>
      <c r="AC29" s="35">
        <f t="shared" si="11"/>
        <v>27459.9745488</v>
      </c>
      <c r="AD29" s="35">
        <f t="shared" si="12"/>
        <v>27459.9745488</v>
      </c>
      <c r="AE29" s="35">
        <f t="shared" si="13"/>
        <v>7385.9611536</v>
      </c>
      <c r="AG29" s="35"/>
      <c r="AH29" s="35">
        <f t="shared" si="14"/>
        <v>39338.1931906</v>
      </c>
      <c r="AI29" s="35">
        <f t="shared" si="15"/>
        <v>39338.1931906</v>
      </c>
      <c r="AJ29" s="35">
        <f t="shared" si="16"/>
        <v>10580.8680282</v>
      </c>
      <c r="AK29" s="35"/>
      <c r="AL29" s="35"/>
      <c r="AM29" s="35">
        <f t="shared" si="17"/>
        <v>2777.6938792</v>
      </c>
      <c r="AN29" s="35">
        <f t="shared" si="18"/>
        <v>2777.6938792</v>
      </c>
      <c r="AO29" s="35">
        <f t="shared" si="19"/>
        <v>747.1215624</v>
      </c>
      <c r="AP29" s="35"/>
      <c r="AQ29" s="35"/>
      <c r="AR29" s="35">
        <f t="shared" si="20"/>
        <v>9976.4331826</v>
      </c>
      <c r="AS29" s="35">
        <f t="shared" si="21"/>
        <v>9976.4331826</v>
      </c>
      <c r="AT29" s="35">
        <f t="shared" si="22"/>
        <v>2683.3800521999997</v>
      </c>
      <c r="AU29" s="35"/>
      <c r="AV29" s="35"/>
      <c r="AW29" s="35">
        <f t="shared" si="23"/>
        <v>70817.9325024</v>
      </c>
      <c r="AX29" s="35">
        <f t="shared" si="24"/>
        <v>70817.9325024</v>
      </c>
      <c r="AY29" s="35">
        <f t="shared" si="25"/>
        <v>19048.0328928</v>
      </c>
      <c r="AZ29" s="35"/>
      <c r="BA29" s="35"/>
      <c r="BB29" s="35">
        <f t="shared" si="26"/>
        <v>530.1292456</v>
      </c>
      <c r="BC29" s="35">
        <f t="shared" si="27"/>
        <v>530.1292456</v>
      </c>
      <c r="BD29" s="35">
        <f t="shared" si="28"/>
        <v>142.5898632</v>
      </c>
      <c r="BE29" s="35"/>
      <c r="BF29" s="35"/>
      <c r="BG29" s="35">
        <f t="shared" si="29"/>
        <v>173.3807508</v>
      </c>
      <c r="BH29" s="35">
        <f t="shared" si="30"/>
        <v>173.3807508</v>
      </c>
      <c r="BI29" s="35">
        <f t="shared" si="31"/>
        <v>46.6345476</v>
      </c>
      <c r="BJ29" s="35"/>
      <c r="BK29" s="35"/>
      <c r="BL29" s="35">
        <f t="shared" si="32"/>
        <v>109648.0988094</v>
      </c>
      <c r="BM29" s="35">
        <f t="shared" si="33"/>
        <v>109648.0988094</v>
      </c>
      <c r="BN29" s="35">
        <f t="shared" si="34"/>
        <v>29492.2559718</v>
      </c>
      <c r="BP29" s="35"/>
      <c r="BQ29" s="35">
        <f t="shared" si="35"/>
        <v>41704.1282518</v>
      </c>
      <c r="BR29" s="35">
        <f t="shared" si="36"/>
        <v>41704.1282518</v>
      </c>
      <c r="BS29" s="35">
        <f t="shared" si="37"/>
        <v>11217.2380446</v>
      </c>
      <c r="BU29" s="35"/>
      <c r="BV29" s="35">
        <f t="shared" si="38"/>
        <v>10197.374941999999</v>
      </c>
      <c r="BW29" s="35">
        <f t="shared" si="39"/>
        <v>10197.374941999999</v>
      </c>
      <c r="BX29" s="35">
        <f t="shared" si="40"/>
        <v>2742.807174</v>
      </c>
      <c r="BZ29" s="35"/>
      <c r="CA29" s="35">
        <f t="shared" si="41"/>
        <v>4.502333</v>
      </c>
      <c r="CB29" s="35">
        <f t="shared" si="42"/>
        <v>4.502333</v>
      </c>
      <c r="CC29" s="35">
        <f t="shared" si="43"/>
        <v>1.211001</v>
      </c>
      <c r="CE29" s="35"/>
      <c r="CF29" s="35">
        <f t="shared" si="44"/>
        <v>37922.0866712</v>
      </c>
      <c r="CG29" s="35">
        <f t="shared" si="45"/>
        <v>37922.0866712</v>
      </c>
      <c r="CH29" s="35">
        <f t="shared" si="46"/>
        <v>10199.975186399999</v>
      </c>
      <c r="CJ29" s="35"/>
      <c r="CK29" s="35">
        <f t="shared" si="47"/>
        <v>19541.762432</v>
      </c>
      <c r="CL29" s="35">
        <f t="shared" si="48"/>
        <v>19541.762432</v>
      </c>
      <c r="CM29" s="35">
        <f t="shared" si="49"/>
        <v>5256.184704</v>
      </c>
      <c r="CO29" s="35"/>
      <c r="CP29" s="35">
        <f t="shared" si="50"/>
        <v>160725.5932036</v>
      </c>
      <c r="CQ29" s="35">
        <f t="shared" si="51"/>
        <v>160725.5932036</v>
      </c>
      <c r="CR29" s="35">
        <f t="shared" si="52"/>
        <v>43230.6659892</v>
      </c>
      <c r="CT29" s="35"/>
      <c r="CU29" s="35">
        <f t="shared" si="53"/>
        <v>18.0911926</v>
      </c>
      <c r="CV29" s="35">
        <f t="shared" si="54"/>
        <v>18.0911926</v>
      </c>
      <c r="CW29" s="35">
        <f t="shared" si="55"/>
        <v>4.8660222</v>
      </c>
      <c r="CY29" s="35"/>
      <c r="CZ29" s="35">
        <f t="shared" si="56"/>
        <v>16.8632836</v>
      </c>
      <c r="DA29" s="35">
        <f t="shared" si="57"/>
        <v>16.8632836</v>
      </c>
      <c r="DB29" s="35">
        <f t="shared" si="58"/>
        <v>4.5357492</v>
      </c>
      <c r="DD29" s="5"/>
      <c r="DE29" s="35"/>
      <c r="DF29" s="35">
        <f t="shared" si="59"/>
        <v>0</v>
      </c>
      <c r="DG29" s="35">
        <f t="shared" si="60"/>
        <v>0</v>
      </c>
      <c r="DH29" s="5"/>
      <c r="DI29" s="5"/>
      <c r="DJ29" s="5"/>
      <c r="DK29" s="5"/>
      <c r="DL29" s="5"/>
      <c r="DM29" s="5"/>
      <c r="DN29" s="5"/>
      <c r="DO29" s="5"/>
      <c r="DP29" s="5"/>
      <c r="DQ29" s="5"/>
    </row>
    <row r="30" spans="1:121" ht="12.75">
      <c r="A30" s="36">
        <v>11780</v>
      </c>
      <c r="C30" s="3">
        <v>6685000</v>
      </c>
      <c r="D30" s="3">
        <v>818606</v>
      </c>
      <c r="E30" s="34">
        <f t="shared" si="0"/>
        <v>7503606</v>
      </c>
      <c r="F30" s="34">
        <v>220182</v>
      </c>
      <c r="G30" s="35"/>
      <c r="H30" s="35">
        <f t="shared" si="61"/>
        <v>1925901.0365</v>
      </c>
      <c r="I30" s="35">
        <f t="shared" si="1"/>
        <v>235834.57649739998</v>
      </c>
      <c r="J30" s="35">
        <f t="shared" si="2"/>
        <v>2161735.6129974</v>
      </c>
      <c r="K30" s="35">
        <f>'Academic Project '!K30</f>
        <v>63432.870907799996</v>
      </c>
      <c r="M30" s="35">
        <f t="shared" si="62"/>
        <v>4759098.9635</v>
      </c>
      <c r="N30" s="34">
        <f t="shared" si="3"/>
        <v>582771.4235025999</v>
      </c>
      <c r="O30" s="35">
        <f t="shared" si="4"/>
        <v>5341870.387002599</v>
      </c>
      <c r="P30" s="34">
        <f t="shared" si="3"/>
        <v>156749.12909220002</v>
      </c>
      <c r="Q30" s="35"/>
      <c r="R30" s="35">
        <f t="shared" si="63"/>
        <v>422792.82499999995</v>
      </c>
      <c r="S30" s="35">
        <f t="shared" si="5"/>
        <v>51772.736469999996</v>
      </c>
      <c r="T30" s="35">
        <f t="shared" si="6"/>
        <v>474565.56146999996</v>
      </c>
      <c r="U30" s="35">
        <f t="shared" si="7"/>
        <v>13925.41059</v>
      </c>
      <c r="W30" s="35">
        <f t="shared" si="64"/>
        <v>1195.9465</v>
      </c>
      <c r="X30" s="35">
        <f t="shared" si="8"/>
        <v>146.4486134</v>
      </c>
      <c r="Y30" s="35">
        <f t="shared" si="9"/>
        <v>1342.3951134</v>
      </c>
      <c r="Z30" s="35">
        <f t="shared" si="10"/>
        <v>39.390559800000005</v>
      </c>
      <c r="AB30" s="35">
        <f t="shared" si="65"/>
        <v>224246.98799999998</v>
      </c>
      <c r="AC30" s="35">
        <f t="shared" si="11"/>
        <v>27459.9745488</v>
      </c>
      <c r="AD30" s="35">
        <f t="shared" si="12"/>
        <v>251706.9625488</v>
      </c>
      <c r="AE30" s="35">
        <f t="shared" si="13"/>
        <v>7385.9611536</v>
      </c>
      <c r="AG30" s="35">
        <f t="shared" si="66"/>
        <v>321248.3435</v>
      </c>
      <c r="AH30" s="35">
        <f t="shared" si="14"/>
        <v>39338.1931906</v>
      </c>
      <c r="AI30" s="35">
        <f t="shared" si="15"/>
        <v>360586.53669060004</v>
      </c>
      <c r="AJ30" s="35">
        <f t="shared" si="16"/>
        <v>10580.8680282</v>
      </c>
      <c r="AK30" s="35"/>
      <c r="AL30" s="35">
        <f t="shared" si="67"/>
        <v>22683.541999999998</v>
      </c>
      <c r="AM30" s="35">
        <f t="shared" si="17"/>
        <v>2777.6938792</v>
      </c>
      <c r="AN30" s="35">
        <f t="shared" si="18"/>
        <v>25461.235879199998</v>
      </c>
      <c r="AO30" s="35">
        <f t="shared" si="19"/>
        <v>747.1215624</v>
      </c>
      <c r="AP30" s="35"/>
      <c r="AQ30" s="35">
        <f t="shared" si="68"/>
        <v>81470.7635</v>
      </c>
      <c r="AR30" s="35">
        <f t="shared" si="20"/>
        <v>9976.4331826</v>
      </c>
      <c r="AS30" s="35">
        <f t="shared" si="21"/>
        <v>91447.1966826</v>
      </c>
      <c r="AT30" s="35">
        <f t="shared" si="22"/>
        <v>2683.3800521999997</v>
      </c>
      <c r="AU30" s="35"/>
      <c r="AV30" s="35">
        <f t="shared" si="69"/>
        <v>578322.024</v>
      </c>
      <c r="AW30" s="35">
        <f t="shared" si="23"/>
        <v>70817.9325024</v>
      </c>
      <c r="AX30" s="35">
        <f t="shared" si="24"/>
        <v>649139.9565024</v>
      </c>
      <c r="AY30" s="35">
        <f t="shared" si="25"/>
        <v>19048.0328928</v>
      </c>
      <c r="AZ30" s="35"/>
      <c r="BA30" s="35">
        <f t="shared" si="70"/>
        <v>4329.206</v>
      </c>
      <c r="BB30" s="35">
        <f t="shared" si="26"/>
        <v>530.1292456</v>
      </c>
      <c r="BC30" s="35">
        <f t="shared" si="27"/>
        <v>4859.3352456</v>
      </c>
      <c r="BD30" s="35">
        <f t="shared" si="28"/>
        <v>142.5898632</v>
      </c>
      <c r="BE30" s="35"/>
      <c r="BF30" s="35">
        <f t="shared" si="71"/>
        <v>1415.883</v>
      </c>
      <c r="BG30" s="35">
        <f t="shared" si="29"/>
        <v>173.3807508</v>
      </c>
      <c r="BH30" s="35">
        <f t="shared" si="30"/>
        <v>1589.2637508</v>
      </c>
      <c r="BI30" s="35">
        <f t="shared" si="31"/>
        <v>46.6345476</v>
      </c>
      <c r="BJ30" s="35"/>
      <c r="BK30" s="35">
        <f t="shared" si="72"/>
        <v>895421.6565</v>
      </c>
      <c r="BL30" s="35">
        <f t="shared" si="32"/>
        <v>109648.0988094</v>
      </c>
      <c r="BM30" s="35">
        <f t="shared" si="33"/>
        <v>1005069.7553094</v>
      </c>
      <c r="BN30" s="35">
        <f t="shared" si="34"/>
        <v>29492.2559718</v>
      </c>
      <c r="BP30" s="35">
        <f t="shared" si="73"/>
        <v>340569.3305</v>
      </c>
      <c r="BQ30" s="35">
        <f t="shared" si="35"/>
        <v>41704.1282518</v>
      </c>
      <c r="BR30" s="35">
        <f t="shared" si="36"/>
        <v>382273.4587518</v>
      </c>
      <c r="BS30" s="35">
        <f t="shared" si="37"/>
        <v>11217.2380446</v>
      </c>
      <c r="BU30" s="35">
        <f t="shared" si="74"/>
        <v>83275.045</v>
      </c>
      <c r="BV30" s="35">
        <f t="shared" si="38"/>
        <v>10197.374941999999</v>
      </c>
      <c r="BW30" s="35">
        <f t="shared" si="39"/>
        <v>93472.419942</v>
      </c>
      <c r="BX30" s="35">
        <f t="shared" si="40"/>
        <v>2742.807174</v>
      </c>
      <c r="BZ30" s="35">
        <f t="shared" si="75"/>
        <v>36.7675</v>
      </c>
      <c r="CA30" s="35">
        <f t="shared" si="41"/>
        <v>4.502333</v>
      </c>
      <c r="CB30" s="35">
        <f t="shared" si="42"/>
        <v>41.269833</v>
      </c>
      <c r="CC30" s="35">
        <f t="shared" si="43"/>
        <v>1.211001</v>
      </c>
      <c r="CE30" s="35">
        <f t="shared" si="76"/>
        <v>309683.962</v>
      </c>
      <c r="CF30" s="35">
        <f t="shared" si="44"/>
        <v>37922.0866712</v>
      </c>
      <c r="CG30" s="35">
        <f t="shared" si="45"/>
        <v>347606.0486712</v>
      </c>
      <c r="CH30" s="35">
        <f t="shared" si="46"/>
        <v>10199.975186399999</v>
      </c>
      <c r="CJ30" s="35">
        <f t="shared" si="77"/>
        <v>159584.32</v>
      </c>
      <c r="CK30" s="35">
        <f t="shared" si="47"/>
        <v>19541.762432</v>
      </c>
      <c r="CL30" s="35">
        <f t="shared" si="48"/>
        <v>179126.082432</v>
      </c>
      <c r="CM30" s="35">
        <f t="shared" si="49"/>
        <v>5256.184704</v>
      </c>
      <c r="CO30" s="35">
        <f t="shared" si="78"/>
        <v>1312536.911</v>
      </c>
      <c r="CP30" s="35">
        <f t="shared" si="50"/>
        <v>160725.5932036</v>
      </c>
      <c r="CQ30" s="35">
        <f t="shared" si="51"/>
        <v>1473262.5042036</v>
      </c>
      <c r="CR30" s="35">
        <f t="shared" si="52"/>
        <v>43230.6659892</v>
      </c>
      <c r="CT30" s="35">
        <f t="shared" si="79"/>
        <v>147.7385</v>
      </c>
      <c r="CU30" s="35">
        <f t="shared" si="53"/>
        <v>18.0911926</v>
      </c>
      <c r="CV30" s="35">
        <f t="shared" si="54"/>
        <v>165.8296926</v>
      </c>
      <c r="CW30" s="35">
        <f t="shared" si="55"/>
        <v>4.8660222</v>
      </c>
      <c r="CY30" s="35">
        <f t="shared" si="80"/>
        <v>137.71099999999998</v>
      </c>
      <c r="CZ30" s="35">
        <f t="shared" si="56"/>
        <v>16.8632836</v>
      </c>
      <c r="DA30" s="35">
        <f t="shared" si="57"/>
        <v>154.57428359999997</v>
      </c>
      <c r="DB30" s="35">
        <f t="shared" si="58"/>
        <v>4.5357492</v>
      </c>
      <c r="DD30" s="5"/>
      <c r="DE30" s="35"/>
      <c r="DF30" s="35">
        <f t="shared" si="59"/>
        <v>0</v>
      </c>
      <c r="DG30" s="35">
        <f t="shared" si="60"/>
        <v>0</v>
      </c>
      <c r="DH30" s="5"/>
      <c r="DI30" s="5"/>
      <c r="DJ30" s="5"/>
      <c r="DK30" s="5"/>
      <c r="DL30" s="5"/>
      <c r="DM30" s="5"/>
      <c r="DN30" s="5"/>
      <c r="DO30" s="5"/>
      <c r="DP30" s="5"/>
      <c r="DQ30" s="5"/>
    </row>
    <row r="31" spans="1:121" ht="12.75">
      <c r="A31" s="36">
        <v>11963</v>
      </c>
      <c r="D31" s="3">
        <v>718331</v>
      </c>
      <c r="E31" s="34">
        <f t="shared" si="0"/>
        <v>718331</v>
      </c>
      <c r="F31" s="34">
        <v>220182</v>
      </c>
      <c r="G31" s="35"/>
      <c r="H31" s="35"/>
      <c r="I31" s="35">
        <f t="shared" si="1"/>
        <v>206946.06094989998</v>
      </c>
      <c r="J31" s="35">
        <f t="shared" si="2"/>
        <v>206946.06094989998</v>
      </c>
      <c r="K31" s="35">
        <f>'Academic Project '!K31</f>
        <v>63432.870907799996</v>
      </c>
      <c r="M31" s="35"/>
      <c r="N31" s="34">
        <f t="shared" si="3"/>
        <v>511384.9390501001</v>
      </c>
      <c r="O31" s="35">
        <f t="shared" si="4"/>
        <v>511384.9390501001</v>
      </c>
      <c r="P31" s="34">
        <f t="shared" si="3"/>
        <v>156749.12909220002</v>
      </c>
      <c r="Q31" s="35"/>
      <c r="R31" s="35"/>
      <c r="S31" s="35">
        <f t="shared" si="5"/>
        <v>45430.844095</v>
      </c>
      <c r="T31" s="35">
        <f t="shared" si="6"/>
        <v>45430.844095</v>
      </c>
      <c r="U31" s="35">
        <f t="shared" si="7"/>
        <v>13925.41059</v>
      </c>
      <c r="W31" s="35"/>
      <c r="X31" s="35">
        <f t="shared" si="8"/>
        <v>128.50941590000002</v>
      </c>
      <c r="Y31" s="35">
        <f t="shared" si="9"/>
        <v>128.50941590000002</v>
      </c>
      <c r="Z31" s="35">
        <f t="shared" si="10"/>
        <v>39.390559800000005</v>
      </c>
      <c r="AB31" s="35"/>
      <c r="AC31" s="35">
        <f t="shared" si="11"/>
        <v>24096.269728799998</v>
      </c>
      <c r="AD31" s="35">
        <f t="shared" si="12"/>
        <v>24096.269728799998</v>
      </c>
      <c r="AE31" s="35">
        <f t="shared" si="13"/>
        <v>7385.9611536</v>
      </c>
      <c r="AG31" s="35"/>
      <c r="AH31" s="35">
        <f t="shared" si="14"/>
        <v>34519.4680381</v>
      </c>
      <c r="AI31" s="35">
        <f t="shared" si="15"/>
        <v>34519.4680381</v>
      </c>
      <c r="AJ31" s="35">
        <f t="shared" si="16"/>
        <v>10580.8680282</v>
      </c>
      <c r="AK31" s="35"/>
      <c r="AL31" s="35"/>
      <c r="AM31" s="35">
        <f t="shared" si="17"/>
        <v>2437.4407492</v>
      </c>
      <c r="AN31" s="35">
        <f t="shared" si="18"/>
        <v>2437.4407492</v>
      </c>
      <c r="AO31" s="35">
        <f t="shared" si="19"/>
        <v>747.1215624</v>
      </c>
      <c r="AP31" s="35"/>
      <c r="AQ31" s="35"/>
      <c r="AR31" s="35">
        <f t="shared" si="20"/>
        <v>8754.3717301</v>
      </c>
      <c r="AS31" s="35">
        <f t="shared" si="21"/>
        <v>8754.3717301</v>
      </c>
      <c r="AT31" s="35">
        <f t="shared" si="22"/>
        <v>2683.3800521999997</v>
      </c>
      <c r="AU31" s="35"/>
      <c r="AV31" s="35"/>
      <c r="AW31" s="35">
        <f t="shared" si="23"/>
        <v>62143.1021424</v>
      </c>
      <c r="AX31" s="35">
        <f t="shared" si="24"/>
        <v>62143.1021424</v>
      </c>
      <c r="AY31" s="35">
        <f t="shared" si="25"/>
        <v>19048.0328928</v>
      </c>
      <c r="AZ31" s="35"/>
      <c r="BA31" s="35"/>
      <c r="BB31" s="35">
        <f t="shared" si="26"/>
        <v>465.1911556</v>
      </c>
      <c r="BC31" s="35">
        <f t="shared" si="27"/>
        <v>465.1911556</v>
      </c>
      <c r="BD31" s="35">
        <f t="shared" si="28"/>
        <v>142.5898632</v>
      </c>
      <c r="BE31" s="35"/>
      <c r="BF31" s="35"/>
      <c r="BG31" s="35">
        <f t="shared" si="29"/>
        <v>152.1425058</v>
      </c>
      <c r="BH31" s="35">
        <f t="shared" si="30"/>
        <v>152.1425058</v>
      </c>
      <c r="BI31" s="35">
        <f t="shared" si="31"/>
        <v>46.6345476</v>
      </c>
      <c r="BJ31" s="35"/>
      <c r="BK31" s="35"/>
      <c r="BL31" s="35">
        <f t="shared" si="32"/>
        <v>96216.7739619</v>
      </c>
      <c r="BM31" s="35">
        <f t="shared" si="33"/>
        <v>96216.7739619</v>
      </c>
      <c r="BN31" s="35">
        <f t="shared" si="34"/>
        <v>29492.2559718</v>
      </c>
      <c r="BP31" s="35"/>
      <c r="BQ31" s="35">
        <f t="shared" si="35"/>
        <v>36595.588294299996</v>
      </c>
      <c r="BR31" s="35">
        <f t="shared" si="36"/>
        <v>36595.588294299996</v>
      </c>
      <c r="BS31" s="35">
        <f t="shared" si="37"/>
        <v>11217.2380446</v>
      </c>
      <c r="BU31" s="35"/>
      <c r="BV31" s="35">
        <f t="shared" si="38"/>
        <v>8948.249267</v>
      </c>
      <c r="BW31" s="35">
        <f t="shared" si="39"/>
        <v>8948.249267</v>
      </c>
      <c r="BX31" s="35">
        <f t="shared" si="40"/>
        <v>2742.807174</v>
      </c>
      <c r="BZ31" s="35"/>
      <c r="CA31" s="35">
        <f t="shared" si="41"/>
        <v>3.9508205</v>
      </c>
      <c r="CB31" s="35">
        <f t="shared" si="42"/>
        <v>3.9508205</v>
      </c>
      <c r="CC31" s="35">
        <f t="shared" si="43"/>
        <v>1.211001</v>
      </c>
      <c r="CE31" s="35"/>
      <c r="CF31" s="35">
        <f t="shared" si="44"/>
        <v>33276.8272412</v>
      </c>
      <c r="CG31" s="35">
        <f t="shared" si="45"/>
        <v>33276.8272412</v>
      </c>
      <c r="CH31" s="35">
        <f t="shared" si="46"/>
        <v>10199.975186399999</v>
      </c>
      <c r="CJ31" s="35"/>
      <c r="CK31" s="35">
        <f t="shared" si="47"/>
        <v>17147.997632000002</v>
      </c>
      <c r="CL31" s="35">
        <f t="shared" si="48"/>
        <v>17147.997632000002</v>
      </c>
      <c r="CM31" s="35">
        <f t="shared" si="49"/>
        <v>5256.184704</v>
      </c>
      <c r="CO31" s="35"/>
      <c r="CP31" s="35">
        <f t="shared" si="50"/>
        <v>141037.53953860002</v>
      </c>
      <c r="CQ31" s="35">
        <f t="shared" si="51"/>
        <v>141037.53953860002</v>
      </c>
      <c r="CR31" s="35">
        <f t="shared" si="52"/>
        <v>43230.6659892</v>
      </c>
      <c r="CT31" s="35"/>
      <c r="CU31" s="35">
        <f t="shared" si="53"/>
        <v>15.875115099999999</v>
      </c>
      <c r="CV31" s="35">
        <f t="shared" si="54"/>
        <v>15.875115099999999</v>
      </c>
      <c r="CW31" s="35">
        <f t="shared" si="55"/>
        <v>4.8660222</v>
      </c>
      <c r="CY31" s="35"/>
      <c r="CZ31" s="35">
        <f t="shared" si="56"/>
        <v>14.7976186</v>
      </c>
      <c r="DA31" s="35">
        <f t="shared" si="57"/>
        <v>14.7976186</v>
      </c>
      <c r="DB31" s="35">
        <f t="shared" si="58"/>
        <v>4.5357492</v>
      </c>
      <c r="DD31" s="5"/>
      <c r="DE31" s="35"/>
      <c r="DF31" s="35">
        <f t="shared" si="59"/>
        <v>0</v>
      </c>
      <c r="DG31" s="35">
        <f t="shared" si="60"/>
        <v>0</v>
      </c>
      <c r="DH31" s="5"/>
      <c r="DI31" s="5"/>
      <c r="DJ31" s="5"/>
      <c r="DK31" s="5"/>
      <c r="DL31" s="5"/>
      <c r="DM31" s="5"/>
      <c r="DN31" s="5"/>
      <c r="DO31" s="5"/>
      <c r="DP31" s="5"/>
      <c r="DQ31" s="5"/>
    </row>
    <row r="32" spans="1:121" ht="12.75">
      <c r="A32" s="36">
        <v>12145</v>
      </c>
      <c r="C32" s="3">
        <v>6885000</v>
      </c>
      <c r="D32" s="3">
        <v>718331</v>
      </c>
      <c r="E32" s="34">
        <f t="shared" si="0"/>
        <v>7603331</v>
      </c>
      <c r="F32" s="34">
        <v>220182</v>
      </c>
      <c r="G32" s="35"/>
      <c r="H32" s="35">
        <f t="shared" si="61"/>
        <v>1983519.6165</v>
      </c>
      <c r="I32" s="35">
        <f t="shared" si="1"/>
        <v>206946.06094989998</v>
      </c>
      <c r="J32" s="35">
        <f t="shared" si="2"/>
        <v>2190465.6774499</v>
      </c>
      <c r="K32" s="35">
        <f>'Academic Project '!K32</f>
        <v>63432.870907799996</v>
      </c>
      <c r="M32" s="35">
        <f t="shared" si="62"/>
        <v>4901480.3834999995</v>
      </c>
      <c r="N32" s="34">
        <f t="shared" si="3"/>
        <v>511384.9390501001</v>
      </c>
      <c r="O32" s="35">
        <f t="shared" si="4"/>
        <v>5412865.322550099</v>
      </c>
      <c r="P32" s="34">
        <f t="shared" si="3"/>
        <v>156749.12909220002</v>
      </c>
      <c r="Q32" s="35"/>
      <c r="R32" s="35">
        <f t="shared" si="63"/>
        <v>435441.82499999995</v>
      </c>
      <c r="S32" s="35">
        <f t="shared" si="5"/>
        <v>45430.844095</v>
      </c>
      <c r="T32" s="35">
        <f t="shared" si="6"/>
        <v>480872.66909499996</v>
      </c>
      <c r="U32" s="35">
        <f t="shared" si="7"/>
        <v>13925.41059</v>
      </c>
      <c r="W32" s="35">
        <f t="shared" si="64"/>
        <v>1231.7265</v>
      </c>
      <c r="X32" s="35">
        <f t="shared" si="8"/>
        <v>128.50941590000002</v>
      </c>
      <c r="Y32" s="35">
        <f t="shared" si="9"/>
        <v>1360.2359159</v>
      </c>
      <c r="Z32" s="35">
        <f t="shared" si="10"/>
        <v>39.390559800000005</v>
      </c>
      <c r="AB32" s="35">
        <f t="shared" si="65"/>
        <v>230955.948</v>
      </c>
      <c r="AC32" s="35">
        <f t="shared" si="11"/>
        <v>24096.269728799998</v>
      </c>
      <c r="AD32" s="35">
        <f t="shared" si="12"/>
        <v>255052.2177288</v>
      </c>
      <c r="AE32" s="35">
        <f t="shared" si="13"/>
        <v>7385.9611536</v>
      </c>
      <c r="AG32" s="35">
        <f t="shared" si="66"/>
        <v>330859.36350000004</v>
      </c>
      <c r="AH32" s="35">
        <f t="shared" si="14"/>
        <v>34519.4680381</v>
      </c>
      <c r="AI32" s="35">
        <f t="shared" si="15"/>
        <v>365378.8315381</v>
      </c>
      <c r="AJ32" s="35">
        <f t="shared" si="16"/>
        <v>10580.8680282</v>
      </c>
      <c r="AK32" s="35"/>
      <c r="AL32" s="35">
        <f t="shared" si="67"/>
        <v>23362.182</v>
      </c>
      <c r="AM32" s="35">
        <f t="shared" si="17"/>
        <v>2437.4407492</v>
      </c>
      <c r="AN32" s="35">
        <f t="shared" si="18"/>
        <v>25799.6227492</v>
      </c>
      <c r="AO32" s="35">
        <f t="shared" si="19"/>
        <v>747.1215624</v>
      </c>
      <c r="AP32" s="35"/>
      <c r="AQ32" s="35">
        <f t="shared" si="68"/>
        <v>83908.1835</v>
      </c>
      <c r="AR32" s="35">
        <f t="shared" si="20"/>
        <v>8754.3717301</v>
      </c>
      <c r="AS32" s="35">
        <f t="shared" si="21"/>
        <v>92662.5552301</v>
      </c>
      <c r="AT32" s="35">
        <f t="shared" si="22"/>
        <v>2683.3800521999997</v>
      </c>
      <c r="AU32" s="35"/>
      <c r="AV32" s="35">
        <f t="shared" si="69"/>
        <v>595624.104</v>
      </c>
      <c r="AW32" s="35">
        <f t="shared" si="23"/>
        <v>62143.1021424</v>
      </c>
      <c r="AX32" s="35">
        <f t="shared" si="24"/>
        <v>657767.2061424</v>
      </c>
      <c r="AY32" s="35">
        <f t="shared" si="25"/>
        <v>19048.0328928</v>
      </c>
      <c r="AZ32" s="35"/>
      <c r="BA32" s="35">
        <f t="shared" si="70"/>
        <v>4458.726000000001</v>
      </c>
      <c r="BB32" s="35">
        <f t="shared" si="26"/>
        <v>465.1911556</v>
      </c>
      <c r="BC32" s="35">
        <f t="shared" si="27"/>
        <v>4923.9171556</v>
      </c>
      <c r="BD32" s="35">
        <f t="shared" si="28"/>
        <v>142.5898632</v>
      </c>
      <c r="BE32" s="35"/>
      <c r="BF32" s="35">
        <f t="shared" si="71"/>
        <v>1458.243</v>
      </c>
      <c r="BG32" s="35">
        <f t="shared" si="29"/>
        <v>152.1425058</v>
      </c>
      <c r="BH32" s="35">
        <f t="shared" si="30"/>
        <v>1610.3855058</v>
      </c>
      <c r="BI32" s="35">
        <f t="shared" si="31"/>
        <v>46.6345476</v>
      </c>
      <c r="BJ32" s="35"/>
      <c r="BK32" s="35">
        <f t="shared" si="72"/>
        <v>922210.6365</v>
      </c>
      <c r="BL32" s="35">
        <f t="shared" si="32"/>
        <v>96216.7739619</v>
      </c>
      <c r="BM32" s="35">
        <f t="shared" si="33"/>
        <v>1018427.4104619</v>
      </c>
      <c r="BN32" s="35">
        <f t="shared" si="34"/>
        <v>29492.2559718</v>
      </c>
      <c r="BP32" s="35">
        <f t="shared" si="73"/>
        <v>350758.3905</v>
      </c>
      <c r="BQ32" s="35">
        <f t="shared" si="35"/>
        <v>36595.588294299996</v>
      </c>
      <c r="BR32" s="35">
        <f t="shared" si="36"/>
        <v>387353.9787943</v>
      </c>
      <c r="BS32" s="35">
        <f t="shared" si="37"/>
        <v>11217.2380446</v>
      </c>
      <c r="BU32" s="35">
        <f t="shared" si="74"/>
        <v>85766.44499999999</v>
      </c>
      <c r="BV32" s="35">
        <f t="shared" si="38"/>
        <v>8948.249267</v>
      </c>
      <c r="BW32" s="35">
        <f t="shared" si="39"/>
        <v>94714.69426699998</v>
      </c>
      <c r="BX32" s="35">
        <f t="shared" si="40"/>
        <v>2742.807174</v>
      </c>
      <c r="BZ32" s="35">
        <f t="shared" si="75"/>
        <v>37.8675</v>
      </c>
      <c r="CA32" s="35">
        <f t="shared" si="41"/>
        <v>3.9508205</v>
      </c>
      <c r="CB32" s="35">
        <f t="shared" si="42"/>
        <v>41.8183205</v>
      </c>
      <c r="CC32" s="35">
        <f t="shared" si="43"/>
        <v>1.211001</v>
      </c>
      <c r="CE32" s="35">
        <f t="shared" si="76"/>
        <v>318949.002</v>
      </c>
      <c r="CF32" s="35">
        <f t="shared" si="44"/>
        <v>33276.8272412</v>
      </c>
      <c r="CG32" s="35">
        <f t="shared" si="45"/>
        <v>352225.8292412</v>
      </c>
      <c r="CH32" s="35">
        <f t="shared" si="46"/>
        <v>10199.975186399999</v>
      </c>
      <c r="CJ32" s="35">
        <f t="shared" si="77"/>
        <v>164358.72</v>
      </c>
      <c r="CK32" s="35">
        <f t="shared" si="47"/>
        <v>17147.997632000002</v>
      </c>
      <c r="CL32" s="35">
        <f t="shared" si="48"/>
        <v>181506.717632</v>
      </c>
      <c r="CM32" s="35">
        <f t="shared" si="49"/>
        <v>5256.184704</v>
      </c>
      <c r="CO32" s="35">
        <f t="shared" si="78"/>
        <v>1351805.031</v>
      </c>
      <c r="CP32" s="35">
        <f t="shared" si="50"/>
        <v>141037.53953860002</v>
      </c>
      <c r="CQ32" s="35">
        <f t="shared" si="51"/>
        <v>1492842.5705386</v>
      </c>
      <c r="CR32" s="35">
        <f t="shared" si="52"/>
        <v>43230.6659892</v>
      </c>
      <c r="CT32" s="35">
        <f t="shared" si="79"/>
        <v>152.1585</v>
      </c>
      <c r="CU32" s="35">
        <f t="shared" si="53"/>
        <v>15.875115099999999</v>
      </c>
      <c r="CV32" s="35">
        <f t="shared" si="54"/>
        <v>168.0336151</v>
      </c>
      <c r="CW32" s="35">
        <f t="shared" si="55"/>
        <v>4.8660222</v>
      </c>
      <c r="CY32" s="35">
        <f t="shared" si="80"/>
        <v>141.831</v>
      </c>
      <c r="CZ32" s="35">
        <f t="shared" si="56"/>
        <v>14.7976186</v>
      </c>
      <c r="DA32" s="35">
        <f t="shared" si="57"/>
        <v>156.62861859999998</v>
      </c>
      <c r="DB32" s="35">
        <f t="shared" si="58"/>
        <v>4.5357492</v>
      </c>
      <c r="DD32" s="5"/>
      <c r="DE32" s="35"/>
      <c r="DF32" s="35">
        <f t="shared" si="59"/>
        <v>0</v>
      </c>
      <c r="DG32" s="35">
        <f t="shared" si="60"/>
        <v>0</v>
      </c>
      <c r="DH32" s="5"/>
      <c r="DI32" s="5"/>
      <c r="DJ32" s="5"/>
      <c r="DK32" s="5"/>
      <c r="DL32" s="5"/>
      <c r="DM32" s="5"/>
      <c r="DN32" s="5"/>
      <c r="DO32" s="5"/>
      <c r="DP32" s="5"/>
      <c r="DQ32" s="5"/>
    </row>
    <row r="33" spans="1:121" ht="12.75">
      <c r="A33" s="36">
        <v>12328</v>
      </c>
      <c r="D33" s="3">
        <v>610753</v>
      </c>
      <c r="E33" s="34">
        <f t="shared" si="0"/>
        <v>610753</v>
      </c>
      <c r="F33" s="34">
        <v>220182</v>
      </c>
      <c r="G33" s="35"/>
      <c r="H33" s="35"/>
      <c r="I33" s="35">
        <f t="shared" si="1"/>
        <v>175953.6029537</v>
      </c>
      <c r="J33" s="35">
        <f t="shared" si="2"/>
        <v>175953.6029537</v>
      </c>
      <c r="K33" s="35">
        <f>'Academic Project '!K33</f>
        <v>63432.870907799996</v>
      </c>
      <c r="M33" s="35"/>
      <c r="N33" s="34">
        <f t="shared" si="3"/>
        <v>434799.3970463</v>
      </c>
      <c r="O33" s="35">
        <f t="shared" si="4"/>
        <v>434799.3970463</v>
      </c>
      <c r="P33" s="34">
        <f t="shared" si="3"/>
        <v>156749.12909220002</v>
      </c>
      <c r="Q33" s="35"/>
      <c r="R33" s="35"/>
      <c r="S33" s="35">
        <f t="shared" si="5"/>
        <v>38627.073485</v>
      </c>
      <c r="T33" s="35">
        <f t="shared" si="6"/>
        <v>38627.073485</v>
      </c>
      <c r="U33" s="35">
        <f t="shared" si="7"/>
        <v>13925.41059</v>
      </c>
      <c r="W33" s="35"/>
      <c r="X33" s="35">
        <f t="shared" si="8"/>
        <v>109.2637117</v>
      </c>
      <c r="Y33" s="35">
        <f t="shared" si="9"/>
        <v>109.2637117</v>
      </c>
      <c r="Z33" s="35">
        <f t="shared" si="10"/>
        <v>39.390559800000005</v>
      </c>
      <c r="AB33" s="35"/>
      <c r="AC33" s="35">
        <f t="shared" si="11"/>
        <v>20487.587234399998</v>
      </c>
      <c r="AD33" s="35">
        <f t="shared" si="12"/>
        <v>20487.587234399998</v>
      </c>
      <c r="AE33" s="35">
        <f t="shared" si="13"/>
        <v>7385.9611536</v>
      </c>
      <c r="AG33" s="35"/>
      <c r="AH33" s="35">
        <f t="shared" si="14"/>
        <v>29349.796490300003</v>
      </c>
      <c r="AI33" s="35">
        <f t="shared" si="15"/>
        <v>29349.796490300003</v>
      </c>
      <c r="AJ33" s="35">
        <f t="shared" si="16"/>
        <v>10580.8680282</v>
      </c>
      <c r="AK33" s="35"/>
      <c r="AL33" s="35"/>
      <c r="AM33" s="35">
        <f t="shared" si="17"/>
        <v>2072.4070796</v>
      </c>
      <c r="AN33" s="35">
        <f t="shared" si="18"/>
        <v>2072.4070796</v>
      </c>
      <c r="AO33" s="35">
        <f t="shared" si="19"/>
        <v>747.1215624</v>
      </c>
      <c r="AP33" s="35"/>
      <c r="AQ33" s="35"/>
      <c r="AR33" s="35">
        <f t="shared" si="20"/>
        <v>7443.307886299999</v>
      </c>
      <c r="AS33" s="35">
        <f t="shared" si="21"/>
        <v>7443.307886299999</v>
      </c>
      <c r="AT33" s="35">
        <f t="shared" si="22"/>
        <v>2683.3800521999997</v>
      </c>
      <c r="AU33" s="35"/>
      <c r="AV33" s="35"/>
      <c r="AW33" s="35">
        <f t="shared" si="23"/>
        <v>52836.4863312</v>
      </c>
      <c r="AX33" s="35">
        <f t="shared" si="24"/>
        <v>52836.4863312</v>
      </c>
      <c r="AY33" s="35">
        <f t="shared" si="25"/>
        <v>19048.0328928</v>
      </c>
      <c r="AZ33" s="35"/>
      <c r="BA33" s="35"/>
      <c r="BB33" s="35">
        <f t="shared" si="26"/>
        <v>395.5236428</v>
      </c>
      <c r="BC33" s="35">
        <f t="shared" si="27"/>
        <v>395.5236428</v>
      </c>
      <c r="BD33" s="35">
        <f t="shared" si="28"/>
        <v>142.5898632</v>
      </c>
      <c r="BE33" s="35"/>
      <c r="BF33" s="35"/>
      <c r="BG33" s="35">
        <f t="shared" si="29"/>
        <v>129.3574854</v>
      </c>
      <c r="BH33" s="35">
        <f t="shared" si="30"/>
        <v>129.3574854</v>
      </c>
      <c r="BI33" s="35">
        <f t="shared" si="31"/>
        <v>46.6345476</v>
      </c>
      <c r="BJ33" s="35"/>
      <c r="BK33" s="35"/>
      <c r="BL33" s="35">
        <f t="shared" si="32"/>
        <v>81807.2495097</v>
      </c>
      <c r="BM33" s="35">
        <f t="shared" si="33"/>
        <v>81807.2495097</v>
      </c>
      <c r="BN33" s="35">
        <f t="shared" si="34"/>
        <v>29492.2559718</v>
      </c>
      <c r="BP33" s="35"/>
      <c r="BQ33" s="35">
        <f t="shared" si="35"/>
        <v>31114.9948109</v>
      </c>
      <c r="BR33" s="35">
        <f t="shared" si="36"/>
        <v>31114.9948109</v>
      </c>
      <c r="BS33" s="35">
        <f t="shared" si="37"/>
        <v>11217.2380446</v>
      </c>
      <c r="BU33" s="35"/>
      <c r="BV33" s="35">
        <f t="shared" si="38"/>
        <v>7608.150121</v>
      </c>
      <c r="BW33" s="35">
        <f t="shared" si="39"/>
        <v>7608.150121</v>
      </c>
      <c r="BX33" s="35">
        <f t="shared" si="40"/>
        <v>2742.807174</v>
      </c>
      <c r="BZ33" s="35"/>
      <c r="CA33" s="35">
        <f t="shared" si="41"/>
        <v>3.3591415</v>
      </c>
      <c r="CB33" s="35">
        <f t="shared" si="42"/>
        <v>3.3591415</v>
      </c>
      <c r="CC33" s="35">
        <f t="shared" si="43"/>
        <v>1.211001</v>
      </c>
      <c r="CE33" s="35"/>
      <c r="CF33" s="35">
        <f t="shared" si="44"/>
        <v>28293.2548756</v>
      </c>
      <c r="CG33" s="35">
        <f t="shared" si="45"/>
        <v>28293.2548756</v>
      </c>
      <c r="CH33" s="35">
        <f t="shared" si="46"/>
        <v>10199.975186399999</v>
      </c>
      <c r="CJ33" s="35"/>
      <c r="CK33" s="35">
        <f t="shared" si="47"/>
        <v>14579.895616</v>
      </c>
      <c r="CL33" s="35">
        <f t="shared" si="48"/>
        <v>14579.895616</v>
      </c>
      <c r="CM33" s="35">
        <f t="shared" si="49"/>
        <v>5256.184704</v>
      </c>
      <c r="CO33" s="35"/>
      <c r="CP33" s="35">
        <f t="shared" si="50"/>
        <v>119915.6104718</v>
      </c>
      <c r="CQ33" s="35">
        <f t="shared" si="51"/>
        <v>119915.6104718</v>
      </c>
      <c r="CR33" s="35">
        <f t="shared" si="52"/>
        <v>43230.6659892</v>
      </c>
      <c r="CT33" s="35"/>
      <c r="CU33" s="35">
        <f t="shared" si="53"/>
        <v>13.4976413</v>
      </c>
      <c r="CV33" s="35">
        <f t="shared" si="54"/>
        <v>13.4976413</v>
      </c>
      <c r="CW33" s="35">
        <f t="shared" si="55"/>
        <v>4.8660222</v>
      </c>
      <c r="CY33" s="35"/>
      <c r="CZ33" s="35">
        <f t="shared" si="56"/>
        <v>12.5815118</v>
      </c>
      <c r="DA33" s="35">
        <f t="shared" si="57"/>
        <v>12.5815118</v>
      </c>
      <c r="DB33" s="35">
        <f t="shared" si="58"/>
        <v>4.5357492</v>
      </c>
      <c r="DD33" s="5"/>
      <c r="DE33" s="35"/>
      <c r="DF33" s="35">
        <f t="shared" si="59"/>
        <v>0</v>
      </c>
      <c r="DG33" s="35">
        <f t="shared" si="60"/>
        <v>0</v>
      </c>
      <c r="DH33" s="5"/>
      <c r="DI33" s="5"/>
      <c r="DJ33" s="5"/>
      <c r="DK33" s="5"/>
      <c r="DL33" s="5"/>
      <c r="DM33" s="5"/>
      <c r="DN33" s="5"/>
      <c r="DO33" s="5"/>
      <c r="DP33" s="5"/>
      <c r="DQ33" s="5"/>
    </row>
    <row r="34" spans="1:121" ht="12.75">
      <c r="A34" s="36">
        <v>12510</v>
      </c>
      <c r="C34" s="3">
        <v>7100000</v>
      </c>
      <c r="D34" s="3">
        <v>610753</v>
      </c>
      <c r="E34" s="34">
        <f t="shared" si="0"/>
        <v>7710753</v>
      </c>
      <c r="F34" s="34">
        <v>220182</v>
      </c>
      <c r="G34" s="35"/>
      <c r="H34" s="35">
        <f t="shared" si="61"/>
        <v>2045459.5899999999</v>
      </c>
      <c r="I34" s="35">
        <f t="shared" si="1"/>
        <v>175953.6029537</v>
      </c>
      <c r="J34" s="35">
        <f t="shared" si="2"/>
        <v>2221413.1929536997</v>
      </c>
      <c r="K34" s="35">
        <f>'Academic Project '!K34</f>
        <v>63432.870907799996</v>
      </c>
      <c r="M34" s="35">
        <f t="shared" si="62"/>
        <v>5054540.409999999</v>
      </c>
      <c r="N34" s="34">
        <f t="shared" si="3"/>
        <v>434799.3970463</v>
      </c>
      <c r="O34" s="35">
        <f t="shared" si="4"/>
        <v>5489339.807046299</v>
      </c>
      <c r="P34" s="34">
        <f t="shared" si="3"/>
        <v>156749.12909220002</v>
      </c>
      <c r="Q34" s="35"/>
      <c r="R34" s="35">
        <f t="shared" si="63"/>
        <v>449039.49999999994</v>
      </c>
      <c r="S34" s="35">
        <f t="shared" si="5"/>
        <v>38627.073485</v>
      </c>
      <c r="T34" s="35">
        <f t="shared" si="6"/>
        <v>487666.57348499994</v>
      </c>
      <c r="U34" s="35">
        <f t="shared" si="7"/>
        <v>13925.41059</v>
      </c>
      <c r="W34" s="35">
        <f t="shared" si="64"/>
        <v>1270.19</v>
      </c>
      <c r="X34" s="35">
        <f t="shared" si="8"/>
        <v>109.2637117</v>
      </c>
      <c r="Y34" s="35">
        <f t="shared" si="9"/>
        <v>1379.4537117</v>
      </c>
      <c r="Z34" s="35">
        <f t="shared" si="10"/>
        <v>39.390559800000005</v>
      </c>
      <c r="AB34" s="35">
        <f t="shared" si="65"/>
        <v>238168.08</v>
      </c>
      <c r="AC34" s="35">
        <f t="shared" si="11"/>
        <v>20487.587234399998</v>
      </c>
      <c r="AD34" s="35">
        <f t="shared" si="12"/>
        <v>258655.6672344</v>
      </c>
      <c r="AE34" s="35">
        <f t="shared" si="13"/>
        <v>7385.9611536</v>
      </c>
      <c r="AG34" s="35">
        <f t="shared" si="66"/>
        <v>341191.21</v>
      </c>
      <c r="AH34" s="35">
        <f t="shared" si="14"/>
        <v>29349.796490300003</v>
      </c>
      <c r="AI34" s="35">
        <f t="shared" si="15"/>
        <v>370541.0064903</v>
      </c>
      <c r="AJ34" s="35">
        <f t="shared" si="16"/>
        <v>10580.8680282</v>
      </c>
      <c r="AK34" s="35"/>
      <c r="AL34" s="35">
        <f t="shared" si="67"/>
        <v>24091.719999999998</v>
      </c>
      <c r="AM34" s="35">
        <f t="shared" si="17"/>
        <v>2072.4070796</v>
      </c>
      <c r="AN34" s="35">
        <f t="shared" si="18"/>
        <v>26164.1270796</v>
      </c>
      <c r="AO34" s="35">
        <f t="shared" si="19"/>
        <v>747.1215624</v>
      </c>
      <c r="AP34" s="35"/>
      <c r="AQ34" s="35">
        <f t="shared" si="68"/>
        <v>86528.40999999999</v>
      </c>
      <c r="AR34" s="35">
        <f t="shared" si="20"/>
        <v>7443.307886299999</v>
      </c>
      <c r="AS34" s="35">
        <f t="shared" si="21"/>
        <v>93971.71788629999</v>
      </c>
      <c r="AT34" s="35">
        <f t="shared" si="22"/>
        <v>2683.3800521999997</v>
      </c>
      <c r="AU34" s="35"/>
      <c r="AV34" s="35">
        <f t="shared" si="69"/>
        <v>614223.84</v>
      </c>
      <c r="AW34" s="35">
        <f t="shared" si="23"/>
        <v>52836.4863312</v>
      </c>
      <c r="AX34" s="35">
        <f t="shared" si="24"/>
        <v>667060.3263312</v>
      </c>
      <c r="AY34" s="35">
        <f t="shared" si="25"/>
        <v>19048.0328928</v>
      </c>
      <c r="AZ34" s="35"/>
      <c r="BA34" s="35">
        <f t="shared" si="70"/>
        <v>4597.96</v>
      </c>
      <c r="BB34" s="35">
        <f t="shared" si="26"/>
        <v>395.5236428</v>
      </c>
      <c r="BC34" s="35">
        <f t="shared" si="27"/>
        <v>4993.4836428</v>
      </c>
      <c r="BD34" s="35">
        <f t="shared" si="28"/>
        <v>142.5898632</v>
      </c>
      <c r="BE34" s="35"/>
      <c r="BF34" s="35">
        <f t="shared" si="71"/>
        <v>1503.78</v>
      </c>
      <c r="BG34" s="35">
        <f t="shared" si="29"/>
        <v>129.3574854</v>
      </c>
      <c r="BH34" s="35">
        <f t="shared" si="30"/>
        <v>1633.1374854</v>
      </c>
      <c r="BI34" s="35">
        <f t="shared" si="31"/>
        <v>46.6345476</v>
      </c>
      <c r="BJ34" s="35"/>
      <c r="BK34" s="35">
        <f t="shared" si="72"/>
        <v>951008.79</v>
      </c>
      <c r="BL34" s="35">
        <f t="shared" si="32"/>
        <v>81807.2495097</v>
      </c>
      <c r="BM34" s="35">
        <f t="shared" si="33"/>
        <v>1032816.0395097</v>
      </c>
      <c r="BN34" s="35">
        <f t="shared" si="34"/>
        <v>29492.2559718</v>
      </c>
      <c r="BP34" s="35">
        <f t="shared" si="73"/>
        <v>361711.63</v>
      </c>
      <c r="BQ34" s="35">
        <f t="shared" si="35"/>
        <v>31114.9948109</v>
      </c>
      <c r="BR34" s="35">
        <f t="shared" si="36"/>
        <v>392826.6248109</v>
      </c>
      <c r="BS34" s="35">
        <f t="shared" si="37"/>
        <v>11217.2380446</v>
      </c>
      <c r="BU34" s="35">
        <f t="shared" si="74"/>
        <v>88444.7</v>
      </c>
      <c r="BV34" s="35">
        <f t="shared" si="38"/>
        <v>7608.150121</v>
      </c>
      <c r="BW34" s="35">
        <f t="shared" si="39"/>
        <v>96052.850121</v>
      </c>
      <c r="BX34" s="35">
        <f t="shared" si="40"/>
        <v>2742.807174</v>
      </c>
      <c r="BZ34" s="35">
        <f t="shared" si="75"/>
        <v>39.05</v>
      </c>
      <c r="CA34" s="35">
        <f t="shared" si="41"/>
        <v>3.3591415</v>
      </c>
      <c r="CB34" s="35">
        <f t="shared" si="42"/>
        <v>42.4091415</v>
      </c>
      <c r="CC34" s="35">
        <f t="shared" si="43"/>
        <v>1.211001</v>
      </c>
      <c r="CE34" s="35">
        <f t="shared" si="76"/>
        <v>328908.92</v>
      </c>
      <c r="CF34" s="35">
        <f t="shared" si="44"/>
        <v>28293.2548756</v>
      </c>
      <c r="CG34" s="35">
        <f t="shared" si="45"/>
        <v>357202.1748756</v>
      </c>
      <c r="CH34" s="35">
        <f t="shared" si="46"/>
        <v>10199.975186399999</v>
      </c>
      <c r="CJ34" s="35">
        <f t="shared" si="77"/>
        <v>169491.2</v>
      </c>
      <c r="CK34" s="35">
        <f t="shared" si="47"/>
        <v>14579.895616</v>
      </c>
      <c r="CL34" s="35">
        <f t="shared" si="48"/>
        <v>184071.095616</v>
      </c>
      <c r="CM34" s="35">
        <f t="shared" si="49"/>
        <v>5256.184704</v>
      </c>
      <c r="CO34" s="35">
        <f t="shared" si="78"/>
        <v>1394018.26</v>
      </c>
      <c r="CP34" s="35">
        <f t="shared" si="50"/>
        <v>119915.6104718</v>
      </c>
      <c r="CQ34" s="35">
        <f t="shared" si="51"/>
        <v>1513933.8704718</v>
      </c>
      <c r="CR34" s="35">
        <f t="shared" si="52"/>
        <v>43230.6659892</v>
      </c>
      <c r="CT34" s="35">
        <f t="shared" si="79"/>
        <v>156.91</v>
      </c>
      <c r="CU34" s="35">
        <f t="shared" si="53"/>
        <v>13.4976413</v>
      </c>
      <c r="CV34" s="35">
        <f t="shared" si="54"/>
        <v>170.4076413</v>
      </c>
      <c r="CW34" s="35">
        <f t="shared" si="55"/>
        <v>4.8660222</v>
      </c>
      <c r="CY34" s="35">
        <f t="shared" si="80"/>
        <v>146.26</v>
      </c>
      <c r="CZ34" s="35">
        <f t="shared" si="56"/>
        <v>12.5815118</v>
      </c>
      <c r="DA34" s="35">
        <f t="shared" si="57"/>
        <v>158.84151179999998</v>
      </c>
      <c r="DB34" s="35">
        <f t="shared" si="58"/>
        <v>4.5357492</v>
      </c>
      <c r="DD34" s="5"/>
      <c r="DE34" s="35"/>
      <c r="DF34" s="35">
        <f t="shared" si="59"/>
        <v>0</v>
      </c>
      <c r="DG34" s="35">
        <f t="shared" si="60"/>
        <v>0</v>
      </c>
      <c r="DH34" s="5"/>
      <c r="DI34" s="5"/>
      <c r="DJ34" s="5"/>
      <c r="DK34" s="5"/>
      <c r="DL34" s="5"/>
      <c r="DM34" s="5"/>
      <c r="DN34" s="5"/>
      <c r="DO34" s="5"/>
      <c r="DP34" s="5"/>
      <c r="DQ34" s="5"/>
    </row>
    <row r="35" spans="1:121" ht="12.75">
      <c r="A35" s="36">
        <v>12693</v>
      </c>
      <c r="D35" s="3">
        <v>499816</v>
      </c>
      <c r="E35" s="34">
        <f t="shared" si="0"/>
        <v>499816</v>
      </c>
      <c r="F35" s="34">
        <v>220182</v>
      </c>
      <c r="G35" s="35"/>
      <c r="H35" s="35"/>
      <c r="I35" s="35">
        <f t="shared" si="1"/>
        <v>143993.4409064</v>
      </c>
      <c r="J35" s="35">
        <f t="shared" si="2"/>
        <v>143993.4409064</v>
      </c>
      <c r="K35" s="35">
        <f>'Academic Project '!K35</f>
        <v>63432.870907799996</v>
      </c>
      <c r="M35" s="35"/>
      <c r="N35" s="34">
        <f t="shared" si="3"/>
        <v>355822.5590936001</v>
      </c>
      <c r="O35" s="35">
        <f t="shared" si="4"/>
        <v>355822.5590936001</v>
      </c>
      <c r="P35" s="34">
        <f t="shared" si="3"/>
        <v>156749.12909220002</v>
      </c>
      <c r="Q35" s="35"/>
      <c r="R35" s="35"/>
      <c r="S35" s="35">
        <f t="shared" si="5"/>
        <v>31610.86292</v>
      </c>
      <c r="T35" s="35">
        <f t="shared" si="6"/>
        <v>31610.86292</v>
      </c>
      <c r="U35" s="35">
        <f t="shared" si="7"/>
        <v>13925.41059</v>
      </c>
      <c r="W35" s="35"/>
      <c r="X35" s="35">
        <f t="shared" si="8"/>
        <v>89.41708240000001</v>
      </c>
      <c r="Y35" s="35">
        <f t="shared" si="9"/>
        <v>89.41708240000001</v>
      </c>
      <c r="Z35" s="35">
        <f t="shared" si="10"/>
        <v>39.390559800000005</v>
      </c>
      <c r="AB35" s="35"/>
      <c r="AC35" s="35">
        <f t="shared" si="11"/>
        <v>16766.2277568</v>
      </c>
      <c r="AD35" s="35">
        <f t="shared" si="12"/>
        <v>16766.2277568</v>
      </c>
      <c r="AE35" s="35">
        <f t="shared" si="13"/>
        <v>7385.9611536</v>
      </c>
      <c r="AG35" s="35"/>
      <c r="AH35" s="35">
        <f t="shared" si="14"/>
        <v>24018.7078616</v>
      </c>
      <c r="AI35" s="35">
        <f t="shared" si="15"/>
        <v>24018.7078616</v>
      </c>
      <c r="AJ35" s="35">
        <f t="shared" si="16"/>
        <v>10580.8680282</v>
      </c>
      <c r="AK35" s="35"/>
      <c r="AL35" s="35"/>
      <c r="AM35" s="35">
        <f t="shared" si="17"/>
        <v>1695.9756512</v>
      </c>
      <c r="AN35" s="35">
        <f t="shared" si="18"/>
        <v>1695.9756512</v>
      </c>
      <c r="AO35" s="35">
        <f t="shared" si="19"/>
        <v>747.1215624</v>
      </c>
      <c r="AP35" s="35"/>
      <c r="AQ35" s="35"/>
      <c r="AR35" s="35">
        <f t="shared" si="20"/>
        <v>6091.3075736</v>
      </c>
      <c r="AS35" s="35">
        <f t="shared" si="21"/>
        <v>6091.3075736</v>
      </c>
      <c r="AT35" s="35">
        <f t="shared" si="22"/>
        <v>2683.3800521999997</v>
      </c>
      <c r="AU35" s="35"/>
      <c r="AV35" s="35"/>
      <c r="AW35" s="35">
        <f t="shared" si="23"/>
        <v>43239.2820864</v>
      </c>
      <c r="AX35" s="35">
        <f t="shared" si="24"/>
        <v>43239.2820864</v>
      </c>
      <c r="AY35" s="35">
        <f t="shared" si="25"/>
        <v>19048.0328928</v>
      </c>
      <c r="AZ35" s="35"/>
      <c r="BA35" s="35"/>
      <c r="BB35" s="35">
        <f t="shared" si="26"/>
        <v>323.6808416</v>
      </c>
      <c r="BC35" s="35">
        <f t="shared" si="27"/>
        <v>323.6808416</v>
      </c>
      <c r="BD35" s="35">
        <f t="shared" si="28"/>
        <v>142.5898632</v>
      </c>
      <c r="BE35" s="35"/>
      <c r="BF35" s="35"/>
      <c r="BG35" s="35">
        <f t="shared" si="29"/>
        <v>105.8610288</v>
      </c>
      <c r="BH35" s="35">
        <f t="shared" si="30"/>
        <v>105.8610288</v>
      </c>
      <c r="BI35" s="35">
        <f t="shared" si="31"/>
        <v>46.6345476</v>
      </c>
      <c r="BJ35" s="35"/>
      <c r="BK35" s="35"/>
      <c r="BL35" s="35">
        <f t="shared" si="32"/>
        <v>66947.80413840001</v>
      </c>
      <c r="BM35" s="35">
        <f t="shared" si="33"/>
        <v>66947.80413840001</v>
      </c>
      <c r="BN35" s="35">
        <f t="shared" si="34"/>
        <v>29492.2559718</v>
      </c>
      <c r="BP35" s="35"/>
      <c r="BQ35" s="35">
        <f t="shared" si="35"/>
        <v>25463.2760648</v>
      </c>
      <c r="BR35" s="35">
        <f t="shared" si="36"/>
        <v>25463.2760648</v>
      </c>
      <c r="BS35" s="35">
        <f t="shared" si="37"/>
        <v>11217.2380446</v>
      </c>
      <c r="BU35" s="35"/>
      <c r="BV35" s="35">
        <f t="shared" si="38"/>
        <v>6226.207912</v>
      </c>
      <c r="BW35" s="35">
        <f t="shared" si="39"/>
        <v>6226.207912</v>
      </c>
      <c r="BX35" s="35">
        <f t="shared" si="40"/>
        <v>2742.807174</v>
      </c>
      <c r="BZ35" s="35"/>
      <c r="CA35" s="35">
        <f t="shared" si="41"/>
        <v>2.7489879999999998</v>
      </c>
      <c r="CB35" s="35">
        <f t="shared" si="42"/>
        <v>2.7489879999999998</v>
      </c>
      <c r="CC35" s="35">
        <f t="shared" si="43"/>
        <v>1.211001</v>
      </c>
      <c r="CE35" s="35"/>
      <c r="CF35" s="35">
        <f t="shared" si="44"/>
        <v>23154.0761632</v>
      </c>
      <c r="CG35" s="35">
        <f t="shared" si="45"/>
        <v>23154.0761632</v>
      </c>
      <c r="CH35" s="35">
        <f t="shared" si="46"/>
        <v>10199.975186399999</v>
      </c>
      <c r="CJ35" s="35"/>
      <c r="CK35" s="35">
        <f t="shared" si="47"/>
        <v>11931.607552000001</v>
      </c>
      <c r="CL35" s="35">
        <f t="shared" si="48"/>
        <v>11931.607552000001</v>
      </c>
      <c r="CM35" s="35">
        <f t="shared" si="49"/>
        <v>5256.184704</v>
      </c>
      <c r="CO35" s="35"/>
      <c r="CP35" s="35">
        <f t="shared" si="50"/>
        <v>98134.1733296</v>
      </c>
      <c r="CQ35" s="35">
        <f t="shared" si="51"/>
        <v>98134.1733296</v>
      </c>
      <c r="CR35" s="35">
        <f t="shared" si="52"/>
        <v>43230.6659892</v>
      </c>
      <c r="CT35" s="35"/>
      <c r="CU35" s="35">
        <f t="shared" si="53"/>
        <v>11.0459336</v>
      </c>
      <c r="CV35" s="35">
        <f t="shared" si="54"/>
        <v>11.0459336</v>
      </c>
      <c r="CW35" s="35">
        <f t="shared" si="55"/>
        <v>4.8660222</v>
      </c>
      <c r="CY35" s="35"/>
      <c r="CZ35" s="35">
        <f t="shared" si="56"/>
        <v>10.2962096</v>
      </c>
      <c r="DA35" s="35">
        <f t="shared" si="57"/>
        <v>10.2962096</v>
      </c>
      <c r="DB35" s="35">
        <f t="shared" si="58"/>
        <v>4.5357492</v>
      </c>
      <c r="DD35" s="5"/>
      <c r="DE35" s="35"/>
      <c r="DF35" s="35">
        <f t="shared" si="59"/>
        <v>0</v>
      </c>
      <c r="DG35" s="35">
        <f t="shared" si="60"/>
        <v>0</v>
      </c>
      <c r="DH35" s="5"/>
      <c r="DI35" s="5"/>
      <c r="DJ35" s="5"/>
      <c r="DK35" s="5"/>
      <c r="DL35" s="5"/>
      <c r="DM35" s="5"/>
      <c r="DN35" s="5"/>
      <c r="DO35" s="5"/>
      <c r="DP35" s="5"/>
      <c r="DQ35" s="5"/>
    </row>
    <row r="36" spans="1:121" ht="12.75">
      <c r="A36" s="36">
        <v>12875</v>
      </c>
      <c r="C36" s="3">
        <v>7325000</v>
      </c>
      <c r="D36" s="3">
        <v>499816</v>
      </c>
      <c r="E36" s="34">
        <f t="shared" si="0"/>
        <v>7824816</v>
      </c>
      <c r="F36" s="34">
        <v>220182</v>
      </c>
      <c r="G36" s="35"/>
      <c r="H36" s="35">
        <f t="shared" si="61"/>
        <v>2110280.4924999997</v>
      </c>
      <c r="I36" s="35">
        <f t="shared" si="1"/>
        <v>143993.4409064</v>
      </c>
      <c r="J36" s="35">
        <f t="shared" si="2"/>
        <v>2254273.9334063996</v>
      </c>
      <c r="K36" s="35">
        <f>'Academic Project '!K36</f>
        <v>63432.870907799996</v>
      </c>
      <c r="M36" s="35">
        <f t="shared" si="62"/>
        <v>5214719.507499999</v>
      </c>
      <c r="N36" s="34">
        <f t="shared" si="3"/>
        <v>355822.5590936001</v>
      </c>
      <c r="O36" s="35">
        <f t="shared" si="4"/>
        <v>5570542.0665935995</v>
      </c>
      <c r="P36" s="34">
        <f t="shared" si="3"/>
        <v>156749.12909220002</v>
      </c>
      <c r="Q36" s="35"/>
      <c r="R36" s="35">
        <f t="shared" si="63"/>
        <v>463269.62499999994</v>
      </c>
      <c r="S36" s="35">
        <f t="shared" si="5"/>
        <v>31610.86292</v>
      </c>
      <c r="T36" s="35">
        <f t="shared" si="6"/>
        <v>494880.4879199999</v>
      </c>
      <c r="U36" s="35">
        <f t="shared" si="7"/>
        <v>13925.41059</v>
      </c>
      <c r="W36" s="35">
        <f t="shared" si="64"/>
        <v>1310.4425</v>
      </c>
      <c r="X36" s="35">
        <f t="shared" si="8"/>
        <v>89.41708240000001</v>
      </c>
      <c r="Y36" s="35">
        <f t="shared" si="9"/>
        <v>1399.8595824000001</v>
      </c>
      <c r="Z36" s="35">
        <f t="shared" si="10"/>
        <v>39.390559800000005</v>
      </c>
      <c r="AB36" s="35">
        <f t="shared" si="65"/>
        <v>245715.66</v>
      </c>
      <c r="AC36" s="35">
        <f t="shared" si="11"/>
        <v>16766.2277568</v>
      </c>
      <c r="AD36" s="35">
        <f t="shared" si="12"/>
        <v>262481.8877568</v>
      </c>
      <c r="AE36" s="35">
        <f t="shared" si="13"/>
        <v>7385.9611536</v>
      </c>
      <c r="AG36" s="35">
        <f t="shared" si="66"/>
        <v>352003.60750000004</v>
      </c>
      <c r="AH36" s="35">
        <f t="shared" si="14"/>
        <v>24018.7078616</v>
      </c>
      <c r="AI36" s="35">
        <f t="shared" si="15"/>
        <v>376022.3153616</v>
      </c>
      <c r="AJ36" s="35">
        <f t="shared" si="16"/>
        <v>10580.8680282</v>
      </c>
      <c r="AK36" s="35"/>
      <c r="AL36" s="35">
        <f t="shared" si="67"/>
        <v>24855.19</v>
      </c>
      <c r="AM36" s="35">
        <f t="shared" si="17"/>
        <v>1695.9756512</v>
      </c>
      <c r="AN36" s="35">
        <f t="shared" si="18"/>
        <v>26551.165651199997</v>
      </c>
      <c r="AO36" s="35">
        <f t="shared" si="19"/>
        <v>747.1215624</v>
      </c>
      <c r="AP36" s="35"/>
      <c r="AQ36" s="35">
        <f t="shared" si="68"/>
        <v>89270.50749999999</v>
      </c>
      <c r="AR36" s="35">
        <f t="shared" si="20"/>
        <v>6091.3075736</v>
      </c>
      <c r="AS36" s="35">
        <f t="shared" si="21"/>
        <v>95361.8150736</v>
      </c>
      <c r="AT36" s="35">
        <f t="shared" si="22"/>
        <v>2683.3800521999997</v>
      </c>
      <c r="AU36" s="35"/>
      <c r="AV36" s="35">
        <f t="shared" si="69"/>
        <v>633688.68</v>
      </c>
      <c r="AW36" s="35">
        <f t="shared" si="23"/>
        <v>43239.2820864</v>
      </c>
      <c r="AX36" s="35">
        <f t="shared" si="24"/>
        <v>676927.9620864</v>
      </c>
      <c r="AY36" s="35">
        <f t="shared" si="25"/>
        <v>19048.0328928</v>
      </c>
      <c r="AZ36" s="35"/>
      <c r="BA36" s="35">
        <f t="shared" si="70"/>
        <v>4743.67</v>
      </c>
      <c r="BB36" s="35">
        <f t="shared" si="26"/>
        <v>323.6808416</v>
      </c>
      <c r="BC36" s="35">
        <f t="shared" si="27"/>
        <v>5067.3508416</v>
      </c>
      <c r="BD36" s="35">
        <f t="shared" si="28"/>
        <v>142.5898632</v>
      </c>
      <c r="BE36" s="35"/>
      <c r="BF36" s="35">
        <f t="shared" si="71"/>
        <v>1551.435</v>
      </c>
      <c r="BG36" s="35">
        <f t="shared" si="29"/>
        <v>105.8610288</v>
      </c>
      <c r="BH36" s="35">
        <f t="shared" si="30"/>
        <v>1657.2960288</v>
      </c>
      <c r="BI36" s="35">
        <f t="shared" si="31"/>
        <v>46.6345476</v>
      </c>
      <c r="BJ36" s="35"/>
      <c r="BK36" s="35">
        <f t="shared" si="72"/>
        <v>981146.3925000001</v>
      </c>
      <c r="BL36" s="35">
        <f t="shared" si="32"/>
        <v>66947.80413840001</v>
      </c>
      <c r="BM36" s="35">
        <f t="shared" si="33"/>
        <v>1048094.1966384001</v>
      </c>
      <c r="BN36" s="35">
        <f t="shared" si="34"/>
        <v>29492.2559718</v>
      </c>
      <c r="BP36" s="35">
        <f t="shared" si="73"/>
        <v>373174.3225</v>
      </c>
      <c r="BQ36" s="35">
        <f t="shared" si="35"/>
        <v>25463.2760648</v>
      </c>
      <c r="BR36" s="35">
        <f t="shared" si="36"/>
        <v>398637.5985648</v>
      </c>
      <c r="BS36" s="35">
        <f t="shared" si="37"/>
        <v>11217.2380446</v>
      </c>
      <c r="BU36" s="35">
        <f t="shared" si="74"/>
        <v>91247.525</v>
      </c>
      <c r="BV36" s="35">
        <f t="shared" si="38"/>
        <v>6226.207912</v>
      </c>
      <c r="BW36" s="35">
        <f t="shared" si="39"/>
        <v>97473.73291199999</v>
      </c>
      <c r="BX36" s="35">
        <f t="shared" si="40"/>
        <v>2742.807174</v>
      </c>
      <c r="BZ36" s="35">
        <f t="shared" si="75"/>
        <v>40.2875</v>
      </c>
      <c r="CA36" s="35">
        <f t="shared" si="41"/>
        <v>2.7489879999999998</v>
      </c>
      <c r="CB36" s="35">
        <f t="shared" si="42"/>
        <v>43.036488</v>
      </c>
      <c r="CC36" s="35">
        <f t="shared" si="43"/>
        <v>1.211001</v>
      </c>
      <c r="CE36" s="35">
        <f t="shared" si="76"/>
        <v>339332.08999999997</v>
      </c>
      <c r="CF36" s="35">
        <f t="shared" si="44"/>
        <v>23154.0761632</v>
      </c>
      <c r="CG36" s="35">
        <f t="shared" si="45"/>
        <v>362486.1661632</v>
      </c>
      <c r="CH36" s="35">
        <f t="shared" si="46"/>
        <v>10199.975186399999</v>
      </c>
      <c r="CJ36" s="35">
        <f t="shared" si="77"/>
        <v>174862.4</v>
      </c>
      <c r="CK36" s="35">
        <f t="shared" si="47"/>
        <v>11931.607552000001</v>
      </c>
      <c r="CL36" s="35">
        <f t="shared" si="48"/>
        <v>186794.007552</v>
      </c>
      <c r="CM36" s="35">
        <f t="shared" si="49"/>
        <v>5256.184704</v>
      </c>
      <c r="CO36" s="35">
        <f t="shared" si="78"/>
        <v>1438194.895</v>
      </c>
      <c r="CP36" s="35">
        <f t="shared" si="50"/>
        <v>98134.1733296</v>
      </c>
      <c r="CQ36" s="35">
        <f t="shared" si="51"/>
        <v>1536329.0683296</v>
      </c>
      <c r="CR36" s="35">
        <f t="shared" si="52"/>
        <v>43230.6659892</v>
      </c>
      <c r="CT36" s="35">
        <f t="shared" si="79"/>
        <v>161.8825</v>
      </c>
      <c r="CU36" s="35">
        <f t="shared" si="53"/>
        <v>11.0459336</v>
      </c>
      <c r="CV36" s="35">
        <f t="shared" si="54"/>
        <v>172.9284336</v>
      </c>
      <c r="CW36" s="35">
        <f t="shared" si="55"/>
        <v>4.8660222</v>
      </c>
      <c r="CY36" s="35">
        <f t="shared" si="80"/>
        <v>150.89499999999998</v>
      </c>
      <c r="CZ36" s="35">
        <f t="shared" si="56"/>
        <v>10.2962096</v>
      </c>
      <c r="DA36" s="35">
        <f t="shared" si="57"/>
        <v>161.19120959999998</v>
      </c>
      <c r="DB36" s="35">
        <f t="shared" si="58"/>
        <v>4.5357492</v>
      </c>
      <c r="DD36" s="5"/>
      <c r="DE36" s="35"/>
      <c r="DF36" s="35">
        <f t="shared" si="59"/>
        <v>0</v>
      </c>
      <c r="DG36" s="35">
        <f t="shared" si="60"/>
        <v>0</v>
      </c>
      <c r="DH36" s="5"/>
      <c r="DI36" s="5"/>
      <c r="DJ36" s="5"/>
      <c r="DK36" s="5"/>
      <c r="DL36" s="5"/>
      <c r="DM36" s="5"/>
      <c r="DN36" s="5"/>
      <c r="DO36" s="5"/>
      <c r="DP36" s="5"/>
      <c r="DQ36" s="5"/>
    </row>
    <row r="37" spans="1:121" ht="12.75">
      <c r="A37" s="36">
        <v>13058</v>
      </c>
      <c r="D37" s="3">
        <v>385363</v>
      </c>
      <c r="E37" s="34">
        <f t="shared" si="0"/>
        <v>385363</v>
      </c>
      <c r="F37" s="34">
        <v>220182</v>
      </c>
      <c r="G37" s="35"/>
      <c r="H37" s="35"/>
      <c r="I37" s="35">
        <f t="shared" si="1"/>
        <v>111020.34422269999</v>
      </c>
      <c r="J37" s="35">
        <f t="shared" si="2"/>
        <v>111020.34422269999</v>
      </c>
      <c r="K37" s="35">
        <f>'Academic Project '!K37</f>
        <v>63432.870907799996</v>
      </c>
      <c r="M37" s="35"/>
      <c r="N37" s="34">
        <f t="shared" si="3"/>
        <v>274342.6557773</v>
      </c>
      <c r="O37" s="35">
        <f t="shared" si="4"/>
        <v>274342.6557773</v>
      </c>
      <c r="P37" s="34">
        <f t="shared" si="3"/>
        <v>156749.12909220002</v>
      </c>
      <c r="Q37" s="35"/>
      <c r="R37" s="35"/>
      <c r="S37" s="35">
        <f t="shared" si="5"/>
        <v>24372.282935</v>
      </c>
      <c r="T37" s="35">
        <f t="shared" si="6"/>
        <v>24372.282935</v>
      </c>
      <c r="U37" s="35">
        <f t="shared" si="7"/>
        <v>13925.41059</v>
      </c>
      <c r="W37" s="35"/>
      <c r="X37" s="35">
        <f t="shared" si="8"/>
        <v>68.9414407</v>
      </c>
      <c r="Y37" s="35">
        <f t="shared" si="9"/>
        <v>68.9414407</v>
      </c>
      <c r="Z37" s="35">
        <f t="shared" si="10"/>
        <v>39.390559800000005</v>
      </c>
      <c r="AB37" s="35"/>
      <c r="AC37" s="35">
        <f t="shared" si="11"/>
        <v>12926.9247624</v>
      </c>
      <c r="AD37" s="35">
        <f t="shared" si="12"/>
        <v>12926.9247624</v>
      </c>
      <c r="AE37" s="35">
        <f t="shared" si="13"/>
        <v>7385.9611536</v>
      </c>
      <c r="AG37" s="35"/>
      <c r="AH37" s="35">
        <f t="shared" si="14"/>
        <v>18518.6575013</v>
      </c>
      <c r="AI37" s="35">
        <f t="shared" si="15"/>
        <v>18518.6575013</v>
      </c>
      <c r="AJ37" s="35">
        <f t="shared" si="16"/>
        <v>10580.8680282</v>
      </c>
      <c r="AK37" s="35"/>
      <c r="AL37" s="35"/>
      <c r="AM37" s="35">
        <f t="shared" si="17"/>
        <v>1307.6137316</v>
      </c>
      <c r="AN37" s="35">
        <f t="shared" si="18"/>
        <v>1307.6137316</v>
      </c>
      <c r="AO37" s="35">
        <f t="shared" si="19"/>
        <v>747.1215624</v>
      </c>
      <c r="AP37" s="35"/>
      <c r="AQ37" s="35"/>
      <c r="AR37" s="35">
        <f t="shared" si="20"/>
        <v>4696.4574173</v>
      </c>
      <c r="AS37" s="35">
        <f t="shared" si="21"/>
        <v>4696.4574173</v>
      </c>
      <c r="AT37" s="35">
        <f t="shared" si="22"/>
        <v>2683.3800521999997</v>
      </c>
      <c r="AU37" s="35"/>
      <c r="AV37" s="35"/>
      <c r="AW37" s="35">
        <f t="shared" si="23"/>
        <v>33337.9072752</v>
      </c>
      <c r="AX37" s="35">
        <f t="shared" si="24"/>
        <v>33337.9072752</v>
      </c>
      <c r="AY37" s="35">
        <f t="shared" si="25"/>
        <v>19048.0328928</v>
      </c>
      <c r="AZ37" s="35"/>
      <c r="BA37" s="35"/>
      <c r="BB37" s="35">
        <f t="shared" si="26"/>
        <v>249.56107880000002</v>
      </c>
      <c r="BC37" s="35">
        <f t="shared" si="27"/>
        <v>249.56107880000002</v>
      </c>
      <c r="BD37" s="35">
        <f t="shared" si="28"/>
        <v>142.5898632</v>
      </c>
      <c r="BE37" s="35"/>
      <c r="BF37" s="35"/>
      <c r="BG37" s="35">
        <f t="shared" si="29"/>
        <v>81.6198834</v>
      </c>
      <c r="BH37" s="35">
        <f t="shared" si="30"/>
        <v>81.6198834</v>
      </c>
      <c r="BI37" s="35">
        <f t="shared" si="31"/>
        <v>46.6345476</v>
      </c>
      <c r="BJ37" s="35"/>
      <c r="BK37" s="35"/>
      <c r="BL37" s="35">
        <f t="shared" si="32"/>
        <v>51617.4084987</v>
      </c>
      <c r="BM37" s="35">
        <f t="shared" si="33"/>
        <v>51617.4084987</v>
      </c>
      <c r="BN37" s="35">
        <f t="shared" si="34"/>
        <v>29492.2559718</v>
      </c>
      <c r="BP37" s="35"/>
      <c r="BQ37" s="35">
        <f t="shared" si="35"/>
        <v>19632.4336439</v>
      </c>
      <c r="BR37" s="35">
        <f t="shared" si="36"/>
        <v>19632.4336439</v>
      </c>
      <c r="BS37" s="35">
        <f t="shared" si="37"/>
        <v>11217.2380446</v>
      </c>
      <c r="BU37" s="35"/>
      <c r="BV37" s="35">
        <f t="shared" si="38"/>
        <v>4800.466891</v>
      </c>
      <c r="BW37" s="35">
        <f t="shared" si="39"/>
        <v>4800.466891</v>
      </c>
      <c r="BX37" s="35">
        <f t="shared" si="40"/>
        <v>2742.807174</v>
      </c>
      <c r="BZ37" s="35"/>
      <c r="CA37" s="35">
        <f t="shared" si="41"/>
        <v>2.1194965</v>
      </c>
      <c r="CB37" s="35">
        <f t="shared" si="42"/>
        <v>2.1194965</v>
      </c>
      <c r="CC37" s="35">
        <f t="shared" si="43"/>
        <v>1.211001</v>
      </c>
      <c r="CE37" s="35"/>
      <c r="CF37" s="35">
        <f t="shared" si="44"/>
        <v>17852.0180476</v>
      </c>
      <c r="CG37" s="35">
        <f t="shared" si="45"/>
        <v>17852.0180476</v>
      </c>
      <c r="CH37" s="35">
        <f t="shared" si="46"/>
        <v>10199.975186399999</v>
      </c>
      <c r="CJ37" s="35"/>
      <c r="CK37" s="35">
        <f t="shared" si="47"/>
        <v>9199.385536</v>
      </c>
      <c r="CL37" s="35">
        <f t="shared" si="48"/>
        <v>9199.385536</v>
      </c>
      <c r="CM37" s="35">
        <f t="shared" si="49"/>
        <v>5256.184704</v>
      </c>
      <c r="CO37" s="35"/>
      <c r="CP37" s="35">
        <f t="shared" si="50"/>
        <v>75662.4026378</v>
      </c>
      <c r="CQ37" s="35">
        <f t="shared" si="51"/>
        <v>75662.4026378</v>
      </c>
      <c r="CR37" s="35">
        <f t="shared" si="52"/>
        <v>43230.6659892</v>
      </c>
      <c r="CT37" s="35"/>
      <c r="CU37" s="35">
        <f t="shared" si="53"/>
        <v>8.5165223</v>
      </c>
      <c r="CV37" s="35">
        <f t="shared" si="54"/>
        <v>8.5165223</v>
      </c>
      <c r="CW37" s="35">
        <f t="shared" si="55"/>
        <v>4.8660222</v>
      </c>
      <c r="CY37" s="35"/>
      <c r="CZ37" s="35">
        <f t="shared" si="56"/>
        <v>7.938477799999999</v>
      </c>
      <c r="DA37" s="35">
        <f t="shared" si="57"/>
        <v>7.938477799999999</v>
      </c>
      <c r="DB37" s="35">
        <f t="shared" si="58"/>
        <v>4.5357492</v>
      </c>
      <c r="DD37" s="5"/>
      <c r="DE37" s="35"/>
      <c r="DF37" s="35">
        <f t="shared" si="59"/>
        <v>0</v>
      </c>
      <c r="DG37" s="35">
        <f t="shared" si="60"/>
        <v>0</v>
      </c>
      <c r="DH37" s="5"/>
      <c r="DI37" s="5"/>
      <c r="DJ37" s="5"/>
      <c r="DK37" s="5"/>
      <c r="DL37" s="5"/>
      <c r="DM37" s="5"/>
      <c r="DN37" s="5"/>
      <c r="DO37" s="5"/>
      <c r="DP37" s="5"/>
      <c r="DQ37" s="5"/>
    </row>
    <row r="38" spans="1:121" ht="12.75">
      <c r="A38" s="36">
        <v>13241</v>
      </c>
      <c r="C38" s="3">
        <v>7555000</v>
      </c>
      <c r="D38" s="3">
        <v>385363</v>
      </c>
      <c r="E38" s="34">
        <f t="shared" si="0"/>
        <v>7940363</v>
      </c>
      <c r="F38" s="34">
        <v>220182</v>
      </c>
      <c r="G38" s="35"/>
      <c r="H38" s="35">
        <f t="shared" si="61"/>
        <v>2176541.8595</v>
      </c>
      <c r="I38" s="35">
        <f t="shared" si="1"/>
        <v>111020.34422269999</v>
      </c>
      <c r="J38" s="35">
        <f t="shared" si="2"/>
        <v>2287562.2037226995</v>
      </c>
      <c r="K38" s="35">
        <f>'Academic Project '!K38</f>
        <v>63432.870907799996</v>
      </c>
      <c r="M38" s="35">
        <f t="shared" si="62"/>
        <v>5378458.1405</v>
      </c>
      <c r="N38" s="34">
        <f t="shared" si="3"/>
        <v>274342.6557773</v>
      </c>
      <c r="O38" s="35">
        <f t="shared" si="4"/>
        <v>5652800.7962772995</v>
      </c>
      <c r="P38" s="34">
        <f t="shared" si="3"/>
        <v>156749.12909220002</v>
      </c>
      <c r="Q38" s="35"/>
      <c r="R38" s="35">
        <f t="shared" si="63"/>
        <v>477815.975</v>
      </c>
      <c r="S38" s="35">
        <f t="shared" si="5"/>
        <v>24372.282935</v>
      </c>
      <c r="T38" s="35">
        <f t="shared" si="6"/>
        <v>502188.257935</v>
      </c>
      <c r="U38" s="35">
        <f t="shared" si="7"/>
        <v>13925.41059</v>
      </c>
      <c r="W38" s="35">
        <f t="shared" si="64"/>
        <v>1351.5895</v>
      </c>
      <c r="X38" s="35">
        <f t="shared" si="8"/>
        <v>68.9414407</v>
      </c>
      <c r="Y38" s="35">
        <f t="shared" si="9"/>
        <v>1420.5309407</v>
      </c>
      <c r="Z38" s="35">
        <f t="shared" si="10"/>
        <v>39.390559800000005</v>
      </c>
      <c r="AB38" s="35">
        <f t="shared" si="65"/>
        <v>253430.964</v>
      </c>
      <c r="AC38" s="35">
        <f t="shared" si="11"/>
        <v>12926.9247624</v>
      </c>
      <c r="AD38" s="35">
        <f t="shared" si="12"/>
        <v>266357.8887624</v>
      </c>
      <c r="AE38" s="35">
        <f t="shared" si="13"/>
        <v>7385.9611536</v>
      </c>
      <c r="AG38" s="35">
        <f t="shared" si="66"/>
        <v>363056.28050000005</v>
      </c>
      <c r="AH38" s="35">
        <f t="shared" si="14"/>
        <v>18518.6575013</v>
      </c>
      <c r="AI38" s="35">
        <f t="shared" si="15"/>
        <v>381574.93800130003</v>
      </c>
      <c r="AJ38" s="35">
        <f t="shared" si="16"/>
        <v>10580.8680282</v>
      </c>
      <c r="AK38" s="35"/>
      <c r="AL38" s="35">
        <f t="shared" si="67"/>
        <v>25635.626</v>
      </c>
      <c r="AM38" s="35">
        <f t="shared" si="17"/>
        <v>1307.6137316</v>
      </c>
      <c r="AN38" s="35">
        <f t="shared" si="18"/>
        <v>26943.2397316</v>
      </c>
      <c r="AO38" s="35">
        <f t="shared" si="19"/>
        <v>747.1215624</v>
      </c>
      <c r="AP38" s="35"/>
      <c r="AQ38" s="35">
        <f t="shared" si="68"/>
        <v>92073.54049999999</v>
      </c>
      <c r="AR38" s="35">
        <f t="shared" si="20"/>
        <v>4696.4574173</v>
      </c>
      <c r="AS38" s="35">
        <f t="shared" si="21"/>
        <v>96769.99791729999</v>
      </c>
      <c r="AT38" s="35">
        <f t="shared" si="22"/>
        <v>2683.3800521999997</v>
      </c>
      <c r="AU38" s="35"/>
      <c r="AV38" s="35">
        <f t="shared" si="69"/>
        <v>653586.072</v>
      </c>
      <c r="AW38" s="35">
        <f t="shared" si="23"/>
        <v>33337.9072752</v>
      </c>
      <c r="AX38" s="35">
        <f t="shared" si="24"/>
        <v>686923.9792752</v>
      </c>
      <c r="AY38" s="35">
        <f t="shared" si="25"/>
        <v>19048.0328928</v>
      </c>
      <c r="AZ38" s="35"/>
      <c r="BA38" s="35">
        <f t="shared" si="70"/>
        <v>4892.618</v>
      </c>
      <c r="BB38" s="35">
        <f t="shared" si="26"/>
        <v>249.56107880000002</v>
      </c>
      <c r="BC38" s="35">
        <f t="shared" si="27"/>
        <v>5142.179078800001</v>
      </c>
      <c r="BD38" s="35">
        <f t="shared" si="28"/>
        <v>142.5898632</v>
      </c>
      <c r="BE38" s="35"/>
      <c r="BF38" s="35">
        <f t="shared" si="71"/>
        <v>1600.149</v>
      </c>
      <c r="BG38" s="35">
        <f t="shared" si="29"/>
        <v>81.6198834</v>
      </c>
      <c r="BH38" s="35">
        <f t="shared" si="30"/>
        <v>1681.7688833999998</v>
      </c>
      <c r="BI38" s="35">
        <f t="shared" si="31"/>
        <v>46.6345476</v>
      </c>
      <c r="BJ38" s="35"/>
      <c r="BK38" s="35">
        <f t="shared" si="72"/>
        <v>1011953.7195</v>
      </c>
      <c r="BL38" s="35">
        <f t="shared" si="32"/>
        <v>51617.4084987</v>
      </c>
      <c r="BM38" s="35">
        <f t="shared" si="33"/>
        <v>1063571.1279987</v>
      </c>
      <c r="BN38" s="35">
        <f t="shared" si="34"/>
        <v>29492.2559718</v>
      </c>
      <c r="BP38" s="35">
        <f t="shared" si="73"/>
        <v>384891.7415</v>
      </c>
      <c r="BQ38" s="35">
        <f t="shared" si="35"/>
        <v>19632.4336439</v>
      </c>
      <c r="BR38" s="35">
        <f t="shared" si="36"/>
        <v>404524.1751439</v>
      </c>
      <c r="BS38" s="35">
        <f t="shared" si="37"/>
        <v>11217.2380446</v>
      </c>
      <c r="BU38" s="35">
        <f t="shared" si="74"/>
        <v>94112.635</v>
      </c>
      <c r="BV38" s="35">
        <f t="shared" si="38"/>
        <v>4800.466891</v>
      </c>
      <c r="BW38" s="35">
        <f t="shared" si="39"/>
        <v>98913.101891</v>
      </c>
      <c r="BX38" s="35">
        <f t="shared" si="40"/>
        <v>2742.807174</v>
      </c>
      <c r="BZ38" s="35">
        <f t="shared" si="75"/>
        <v>41.5525</v>
      </c>
      <c r="CA38" s="35">
        <f t="shared" si="41"/>
        <v>2.1194965</v>
      </c>
      <c r="CB38" s="35">
        <f t="shared" si="42"/>
        <v>43.6719965</v>
      </c>
      <c r="CC38" s="35">
        <f t="shared" si="43"/>
        <v>1.211001</v>
      </c>
      <c r="CE38" s="35">
        <f t="shared" si="76"/>
        <v>349986.886</v>
      </c>
      <c r="CF38" s="35">
        <f t="shared" si="44"/>
        <v>17852.0180476</v>
      </c>
      <c r="CG38" s="35">
        <f t="shared" si="45"/>
        <v>367838.9040476</v>
      </c>
      <c r="CH38" s="35">
        <f t="shared" si="46"/>
        <v>10199.975186399999</v>
      </c>
      <c r="CJ38" s="35">
        <f t="shared" si="77"/>
        <v>180352.96000000002</v>
      </c>
      <c r="CK38" s="35">
        <f t="shared" si="47"/>
        <v>9199.385536</v>
      </c>
      <c r="CL38" s="35">
        <f t="shared" si="48"/>
        <v>189552.345536</v>
      </c>
      <c r="CM38" s="35">
        <f t="shared" si="49"/>
        <v>5256.184704</v>
      </c>
      <c r="CO38" s="35">
        <f t="shared" si="78"/>
        <v>1483353.233</v>
      </c>
      <c r="CP38" s="35">
        <f t="shared" si="50"/>
        <v>75662.4026378</v>
      </c>
      <c r="CQ38" s="35">
        <f t="shared" si="51"/>
        <v>1559015.6356378</v>
      </c>
      <c r="CR38" s="35">
        <f t="shared" si="52"/>
        <v>43230.6659892</v>
      </c>
      <c r="CT38" s="35">
        <f t="shared" si="79"/>
        <v>166.9655</v>
      </c>
      <c r="CU38" s="35">
        <f t="shared" si="53"/>
        <v>8.5165223</v>
      </c>
      <c r="CV38" s="35">
        <f t="shared" si="54"/>
        <v>175.48202229999998</v>
      </c>
      <c r="CW38" s="35">
        <f t="shared" si="55"/>
        <v>4.8660222</v>
      </c>
      <c r="CY38" s="35">
        <f t="shared" si="80"/>
        <v>155.63299999999998</v>
      </c>
      <c r="CZ38" s="35">
        <f t="shared" si="56"/>
        <v>7.938477799999999</v>
      </c>
      <c r="DA38" s="35">
        <f t="shared" si="57"/>
        <v>163.57147779999997</v>
      </c>
      <c r="DB38" s="35">
        <f t="shared" si="58"/>
        <v>4.5357492</v>
      </c>
      <c r="DD38" s="5"/>
      <c r="DE38" s="35"/>
      <c r="DF38" s="35">
        <f t="shared" si="59"/>
        <v>0</v>
      </c>
      <c r="DG38" s="35">
        <f t="shared" si="60"/>
        <v>0</v>
      </c>
      <c r="DH38" s="5"/>
      <c r="DI38" s="5"/>
      <c r="DJ38" s="5"/>
      <c r="DK38" s="5"/>
      <c r="DL38" s="5"/>
      <c r="DM38" s="5"/>
      <c r="DN38" s="5"/>
      <c r="DO38" s="5"/>
      <c r="DP38" s="5"/>
      <c r="DQ38" s="5"/>
    </row>
    <row r="39" spans="1:121" ht="12.75">
      <c r="A39" s="36">
        <v>13424</v>
      </c>
      <c r="D39" s="3">
        <v>262594</v>
      </c>
      <c r="E39" s="34">
        <f t="shared" si="0"/>
        <v>262594</v>
      </c>
      <c r="F39" s="34">
        <v>220182</v>
      </c>
      <c r="G39" s="35"/>
      <c r="H39" s="35"/>
      <c r="I39" s="35">
        <f t="shared" si="1"/>
        <v>75651.4669826</v>
      </c>
      <c r="J39" s="35">
        <f t="shared" si="2"/>
        <v>75651.4669826</v>
      </c>
      <c r="K39" s="35">
        <f>'Academic Project '!K39</f>
        <v>63432.870907799996</v>
      </c>
      <c r="M39" s="35"/>
      <c r="N39" s="34">
        <f t="shared" si="3"/>
        <v>186942.53301739995</v>
      </c>
      <c r="O39" s="35">
        <f t="shared" si="4"/>
        <v>186942.53301739995</v>
      </c>
      <c r="P39" s="34">
        <f t="shared" si="3"/>
        <v>156749.12909220002</v>
      </c>
      <c r="Q39" s="35"/>
      <c r="R39" s="35"/>
      <c r="S39" s="35">
        <f t="shared" si="5"/>
        <v>16607.75753</v>
      </c>
      <c r="T39" s="35">
        <f t="shared" si="6"/>
        <v>16607.75753</v>
      </c>
      <c r="U39" s="35">
        <f t="shared" si="7"/>
        <v>13925.41059</v>
      </c>
      <c r="W39" s="35"/>
      <c r="X39" s="35">
        <f t="shared" si="8"/>
        <v>46.978066600000005</v>
      </c>
      <c r="Y39" s="35">
        <f t="shared" si="9"/>
        <v>46.978066600000005</v>
      </c>
      <c r="Z39" s="35">
        <f t="shared" si="10"/>
        <v>39.390559800000005</v>
      </c>
      <c r="AB39" s="35"/>
      <c r="AC39" s="35">
        <f t="shared" si="11"/>
        <v>8808.6632112</v>
      </c>
      <c r="AD39" s="35">
        <f t="shared" si="12"/>
        <v>8808.6632112</v>
      </c>
      <c r="AE39" s="35">
        <f t="shared" si="13"/>
        <v>7385.9611536</v>
      </c>
      <c r="AG39" s="35"/>
      <c r="AH39" s="35">
        <f t="shared" si="14"/>
        <v>12618.9809294</v>
      </c>
      <c r="AI39" s="35">
        <f t="shared" si="15"/>
        <v>12618.9809294</v>
      </c>
      <c r="AJ39" s="35">
        <f t="shared" si="16"/>
        <v>10580.8680282</v>
      </c>
      <c r="AK39" s="35"/>
      <c r="AL39" s="35"/>
      <c r="AM39" s="35">
        <f t="shared" si="17"/>
        <v>891.0339607999999</v>
      </c>
      <c r="AN39" s="35">
        <f t="shared" si="18"/>
        <v>891.0339607999999</v>
      </c>
      <c r="AO39" s="35">
        <f t="shared" si="19"/>
        <v>747.1215624</v>
      </c>
      <c r="AP39" s="35"/>
      <c r="AQ39" s="35"/>
      <c r="AR39" s="35">
        <f t="shared" si="20"/>
        <v>3200.2593374</v>
      </c>
      <c r="AS39" s="35">
        <f t="shared" si="21"/>
        <v>3200.2593374</v>
      </c>
      <c r="AT39" s="35">
        <f t="shared" si="22"/>
        <v>2683.3800521999997</v>
      </c>
      <c r="AU39" s="35"/>
      <c r="AV39" s="35"/>
      <c r="AW39" s="35">
        <f t="shared" si="23"/>
        <v>22717.1119776</v>
      </c>
      <c r="AX39" s="35">
        <f t="shared" si="24"/>
        <v>22717.1119776</v>
      </c>
      <c r="AY39" s="35">
        <f t="shared" si="25"/>
        <v>19048.0328928</v>
      </c>
      <c r="AZ39" s="35"/>
      <c r="BA39" s="35"/>
      <c r="BB39" s="35">
        <f t="shared" si="26"/>
        <v>170.0558744</v>
      </c>
      <c r="BC39" s="35">
        <f t="shared" si="27"/>
        <v>170.0558744</v>
      </c>
      <c r="BD39" s="35">
        <f t="shared" si="28"/>
        <v>142.5898632</v>
      </c>
      <c r="BE39" s="35"/>
      <c r="BF39" s="35"/>
      <c r="BG39" s="35">
        <f t="shared" si="29"/>
        <v>55.6174092</v>
      </c>
      <c r="BH39" s="35">
        <f t="shared" si="30"/>
        <v>55.6174092</v>
      </c>
      <c r="BI39" s="35">
        <f t="shared" si="31"/>
        <v>46.6345476</v>
      </c>
      <c r="BJ39" s="35"/>
      <c r="BK39" s="35"/>
      <c r="BL39" s="35">
        <f t="shared" si="32"/>
        <v>35173.1270706</v>
      </c>
      <c r="BM39" s="35">
        <f t="shared" si="33"/>
        <v>35173.1270706</v>
      </c>
      <c r="BN39" s="35">
        <f t="shared" si="34"/>
        <v>29492.2559718</v>
      </c>
      <c r="BP39" s="35"/>
      <c r="BQ39" s="35">
        <f t="shared" si="35"/>
        <v>13377.9301082</v>
      </c>
      <c r="BR39" s="35">
        <f t="shared" si="36"/>
        <v>13377.9301082</v>
      </c>
      <c r="BS39" s="35">
        <f t="shared" si="37"/>
        <v>11217.2380446</v>
      </c>
      <c r="BU39" s="35"/>
      <c r="BV39" s="35">
        <f t="shared" si="38"/>
        <v>3271.133458</v>
      </c>
      <c r="BW39" s="35">
        <f t="shared" si="39"/>
        <v>3271.133458</v>
      </c>
      <c r="BX39" s="35">
        <f t="shared" si="40"/>
        <v>2742.807174</v>
      </c>
      <c r="BZ39" s="35"/>
      <c r="CA39" s="35">
        <f t="shared" si="41"/>
        <v>1.444267</v>
      </c>
      <c r="CB39" s="35">
        <f t="shared" si="42"/>
        <v>1.444267</v>
      </c>
      <c r="CC39" s="35">
        <f t="shared" si="43"/>
        <v>1.211001</v>
      </c>
      <c r="CE39" s="35"/>
      <c r="CF39" s="35">
        <f t="shared" si="44"/>
        <v>12164.7195688</v>
      </c>
      <c r="CG39" s="35">
        <f t="shared" si="45"/>
        <v>12164.7195688</v>
      </c>
      <c r="CH39" s="35">
        <f t="shared" si="46"/>
        <v>10199.975186399999</v>
      </c>
      <c r="CJ39" s="35"/>
      <c r="CK39" s="35">
        <f t="shared" si="47"/>
        <v>6268.643968</v>
      </c>
      <c r="CL39" s="35">
        <f t="shared" si="48"/>
        <v>6268.643968</v>
      </c>
      <c r="CM39" s="35">
        <f t="shared" si="49"/>
        <v>5256.184704</v>
      </c>
      <c r="CO39" s="35"/>
      <c r="CP39" s="35">
        <f t="shared" si="50"/>
        <v>51557.8635164</v>
      </c>
      <c r="CQ39" s="35">
        <f t="shared" si="51"/>
        <v>51557.8635164</v>
      </c>
      <c r="CR39" s="35">
        <f t="shared" si="52"/>
        <v>43230.6659892</v>
      </c>
      <c r="CT39" s="35"/>
      <c r="CU39" s="35">
        <f t="shared" si="53"/>
        <v>5.8033274</v>
      </c>
      <c r="CV39" s="35">
        <f t="shared" si="54"/>
        <v>5.8033274</v>
      </c>
      <c r="CW39" s="35">
        <f t="shared" si="55"/>
        <v>4.8660222</v>
      </c>
      <c r="CY39" s="35"/>
      <c r="CZ39" s="35">
        <f t="shared" si="56"/>
        <v>5.4094364</v>
      </c>
      <c r="DA39" s="35">
        <f t="shared" si="57"/>
        <v>5.4094364</v>
      </c>
      <c r="DB39" s="35">
        <f t="shared" si="58"/>
        <v>4.5357492</v>
      </c>
      <c r="DD39" s="5"/>
      <c r="DE39" s="35"/>
      <c r="DF39" s="35">
        <f t="shared" si="59"/>
        <v>0</v>
      </c>
      <c r="DG39" s="35">
        <f t="shared" si="60"/>
        <v>0</v>
      </c>
      <c r="DH39" s="5"/>
      <c r="DI39" s="5"/>
      <c r="DJ39" s="5"/>
      <c r="DK39" s="5"/>
      <c r="DL39" s="5"/>
      <c r="DM39" s="5"/>
      <c r="DN39" s="5"/>
      <c r="DO39" s="5"/>
      <c r="DP39" s="5"/>
      <c r="DQ39" s="5"/>
    </row>
    <row r="40" spans="1:121" ht="12.75">
      <c r="A40" s="36">
        <v>13606</v>
      </c>
      <c r="C40" s="3">
        <v>7800000</v>
      </c>
      <c r="D40" s="3">
        <v>262594</v>
      </c>
      <c r="E40" s="34">
        <f t="shared" si="0"/>
        <v>8062594</v>
      </c>
      <c r="F40" s="34">
        <v>220182</v>
      </c>
      <c r="G40" s="35"/>
      <c r="H40" s="35">
        <f t="shared" si="61"/>
        <v>2247124.62</v>
      </c>
      <c r="I40" s="35">
        <f t="shared" si="1"/>
        <v>75651.4669826</v>
      </c>
      <c r="J40" s="35">
        <f t="shared" si="2"/>
        <v>2322776.0869826</v>
      </c>
      <c r="K40" s="35">
        <f>'Academic Project '!K40</f>
        <v>63432.870907799996</v>
      </c>
      <c r="M40" s="35">
        <f t="shared" si="62"/>
        <v>5552875.379999999</v>
      </c>
      <c r="N40" s="34">
        <f t="shared" si="3"/>
        <v>186942.53301739995</v>
      </c>
      <c r="O40" s="35">
        <f t="shared" si="4"/>
        <v>5739817.913017399</v>
      </c>
      <c r="P40" s="34">
        <f t="shared" si="3"/>
        <v>156749.12909220002</v>
      </c>
      <c r="Q40" s="35"/>
      <c r="R40" s="35">
        <f t="shared" si="63"/>
        <v>493310.99999999994</v>
      </c>
      <c r="S40" s="35">
        <f t="shared" si="5"/>
        <v>16607.75753</v>
      </c>
      <c r="T40" s="35">
        <f t="shared" si="6"/>
        <v>509918.75752999994</v>
      </c>
      <c r="U40" s="35">
        <f t="shared" si="7"/>
        <v>13925.41059</v>
      </c>
      <c r="W40" s="35">
        <f t="shared" si="64"/>
        <v>1395.42</v>
      </c>
      <c r="X40" s="35">
        <f t="shared" si="8"/>
        <v>46.978066600000005</v>
      </c>
      <c r="Y40" s="35">
        <f t="shared" si="9"/>
        <v>1442.3980666</v>
      </c>
      <c r="Z40" s="35">
        <f t="shared" si="10"/>
        <v>39.390559800000005</v>
      </c>
      <c r="AB40" s="35">
        <f t="shared" si="65"/>
        <v>261649.44</v>
      </c>
      <c r="AC40" s="35">
        <f t="shared" si="11"/>
        <v>8808.6632112</v>
      </c>
      <c r="AD40" s="35">
        <f t="shared" si="12"/>
        <v>270458.1032112</v>
      </c>
      <c r="AE40" s="35">
        <f t="shared" si="13"/>
        <v>7385.9611536</v>
      </c>
      <c r="AG40" s="35">
        <f t="shared" si="66"/>
        <v>374829.78</v>
      </c>
      <c r="AH40" s="35">
        <f t="shared" si="14"/>
        <v>12618.9809294</v>
      </c>
      <c r="AI40" s="35">
        <f t="shared" si="15"/>
        <v>387448.76092940004</v>
      </c>
      <c r="AJ40" s="35">
        <f t="shared" si="16"/>
        <v>10580.8680282</v>
      </c>
      <c r="AK40" s="35"/>
      <c r="AL40" s="35">
        <f t="shared" si="67"/>
        <v>26466.96</v>
      </c>
      <c r="AM40" s="35">
        <f t="shared" si="17"/>
        <v>891.0339607999999</v>
      </c>
      <c r="AN40" s="35">
        <f t="shared" si="18"/>
        <v>27357.9939608</v>
      </c>
      <c r="AO40" s="35">
        <f t="shared" si="19"/>
        <v>747.1215624</v>
      </c>
      <c r="AP40" s="35"/>
      <c r="AQ40" s="35">
        <f t="shared" si="68"/>
        <v>95059.37999999999</v>
      </c>
      <c r="AR40" s="35">
        <f t="shared" si="20"/>
        <v>3200.2593374</v>
      </c>
      <c r="AS40" s="35">
        <f t="shared" si="21"/>
        <v>98259.63933739999</v>
      </c>
      <c r="AT40" s="35">
        <f t="shared" si="22"/>
        <v>2683.3800521999997</v>
      </c>
      <c r="AU40" s="35"/>
      <c r="AV40" s="35">
        <f t="shared" si="69"/>
        <v>674781.12</v>
      </c>
      <c r="AW40" s="35">
        <f t="shared" si="23"/>
        <v>22717.1119776</v>
      </c>
      <c r="AX40" s="35">
        <f t="shared" si="24"/>
        <v>697498.2319776</v>
      </c>
      <c r="AY40" s="35">
        <f t="shared" si="25"/>
        <v>19048.0328928</v>
      </c>
      <c r="AZ40" s="35"/>
      <c r="BA40" s="35">
        <f t="shared" si="70"/>
        <v>5051.28</v>
      </c>
      <c r="BB40" s="35">
        <f t="shared" si="26"/>
        <v>170.0558744</v>
      </c>
      <c r="BC40" s="35">
        <f t="shared" si="27"/>
        <v>5221.3358744</v>
      </c>
      <c r="BD40" s="35">
        <f t="shared" si="28"/>
        <v>142.5898632</v>
      </c>
      <c r="BE40" s="35"/>
      <c r="BF40" s="35">
        <f t="shared" si="71"/>
        <v>1652.04</v>
      </c>
      <c r="BG40" s="35">
        <f t="shared" si="29"/>
        <v>55.6174092</v>
      </c>
      <c r="BH40" s="35">
        <f t="shared" si="30"/>
        <v>1707.6574092</v>
      </c>
      <c r="BI40" s="35">
        <f t="shared" si="31"/>
        <v>46.6345476</v>
      </c>
      <c r="BJ40" s="35"/>
      <c r="BK40" s="35">
        <f t="shared" si="72"/>
        <v>1044770.2200000001</v>
      </c>
      <c r="BL40" s="35">
        <f t="shared" si="32"/>
        <v>35173.1270706</v>
      </c>
      <c r="BM40" s="35">
        <f t="shared" si="33"/>
        <v>1079943.3470706001</v>
      </c>
      <c r="BN40" s="35">
        <f t="shared" si="34"/>
        <v>29492.2559718</v>
      </c>
      <c r="BP40" s="35">
        <f t="shared" si="73"/>
        <v>397373.33999999997</v>
      </c>
      <c r="BQ40" s="35">
        <f t="shared" si="35"/>
        <v>13377.9301082</v>
      </c>
      <c r="BR40" s="35">
        <f t="shared" si="36"/>
        <v>410751.27010819997</v>
      </c>
      <c r="BS40" s="35">
        <f t="shared" si="37"/>
        <v>11217.2380446</v>
      </c>
      <c r="BU40" s="35">
        <f t="shared" si="74"/>
        <v>97164.59999999999</v>
      </c>
      <c r="BV40" s="35">
        <f t="shared" si="38"/>
        <v>3271.133458</v>
      </c>
      <c r="BW40" s="35">
        <f t="shared" si="39"/>
        <v>100435.73345799999</v>
      </c>
      <c r="BX40" s="35">
        <f t="shared" si="40"/>
        <v>2742.807174</v>
      </c>
      <c r="BZ40" s="35">
        <f t="shared" si="75"/>
        <v>42.9</v>
      </c>
      <c r="CA40" s="35">
        <f t="shared" si="41"/>
        <v>1.444267</v>
      </c>
      <c r="CB40" s="35">
        <f t="shared" si="42"/>
        <v>44.344267</v>
      </c>
      <c r="CC40" s="35">
        <f t="shared" si="43"/>
        <v>1.211001</v>
      </c>
      <c r="CE40" s="35">
        <f t="shared" si="76"/>
        <v>361336.56</v>
      </c>
      <c r="CF40" s="35">
        <f t="shared" si="44"/>
        <v>12164.7195688</v>
      </c>
      <c r="CG40" s="35">
        <f t="shared" si="45"/>
        <v>373501.2795688</v>
      </c>
      <c r="CH40" s="35">
        <f t="shared" si="46"/>
        <v>10199.975186399999</v>
      </c>
      <c r="CJ40" s="35">
        <f t="shared" si="77"/>
        <v>186201.6</v>
      </c>
      <c r="CK40" s="35">
        <f t="shared" si="47"/>
        <v>6268.643968</v>
      </c>
      <c r="CL40" s="35">
        <f t="shared" si="48"/>
        <v>192470.243968</v>
      </c>
      <c r="CM40" s="35">
        <f t="shared" si="49"/>
        <v>5256.184704</v>
      </c>
      <c r="CO40" s="35">
        <f t="shared" si="78"/>
        <v>1531456.68</v>
      </c>
      <c r="CP40" s="35">
        <f t="shared" si="50"/>
        <v>51557.8635164</v>
      </c>
      <c r="CQ40" s="35">
        <f t="shared" si="51"/>
        <v>1583014.5435164</v>
      </c>
      <c r="CR40" s="35">
        <f t="shared" si="52"/>
        <v>43230.6659892</v>
      </c>
      <c r="CT40" s="35">
        <f t="shared" si="79"/>
        <v>172.38</v>
      </c>
      <c r="CU40" s="35">
        <f t="shared" si="53"/>
        <v>5.8033274</v>
      </c>
      <c r="CV40" s="35">
        <f t="shared" si="54"/>
        <v>178.1833274</v>
      </c>
      <c r="CW40" s="35">
        <f t="shared" si="55"/>
        <v>4.8660222</v>
      </c>
      <c r="CY40" s="35">
        <f t="shared" si="80"/>
        <v>160.68</v>
      </c>
      <c r="CZ40" s="35">
        <f t="shared" si="56"/>
        <v>5.4094364</v>
      </c>
      <c r="DA40" s="35">
        <f t="shared" si="57"/>
        <v>166.0894364</v>
      </c>
      <c r="DB40" s="35">
        <f t="shared" si="58"/>
        <v>4.5357492</v>
      </c>
      <c r="DD40" s="5"/>
      <c r="DE40" s="35"/>
      <c r="DF40" s="35">
        <f t="shared" si="59"/>
        <v>0</v>
      </c>
      <c r="DG40" s="35">
        <f t="shared" si="60"/>
        <v>0</v>
      </c>
      <c r="DH40" s="5"/>
      <c r="DI40" s="5"/>
      <c r="DJ40" s="5"/>
      <c r="DK40" s="5"/>
      <c r="DL40" s="5"/>
      <c r="DM40" s="5"/>
      <c r="DN40" s="5"/>
      <c r="DO40" s="5"/>
      <c r="DP40" s="5"/>
      <c r="DQ40" s="5"/>
    </row>
    <row r="41" spans="1:121" ht="12.75">
      <c r="A41" s="36">
        <v>13789</v>
      </c>
      <c r="D41" s="3">
        <v>135844</v>
      </c>
      <c r="E41" s="34">
        <f t="shared" si="0"/>
        <v>135844</v>
      </c>
      <c r="F41" s="34">
        <v>220182</v>
      </c>
      <c r="G41" s="35"/>
      <c r="H41" s="35"/>
      <c r="I41" s="35">
        <f t="shared" si="1"/>
        <v>39135.6919076</v>
      </c>
      <c r="J41" s="35">
        <f t="shared" si="2"/>
        <v>39135.6919076</v>
      </c>
      <c r="K41" s="35">
        <f>'Academic Project '!K41</f>
        <v>63432.870907799996</v>
      </c>
      <c r="M41" s="35"/>
      <c r="N41" s="34">
        <f t="shared" si="3"/>
        <v>96708.30809240001</v>
      </c>
      <c r="O41" s="35">
        <f t="shared" si="4"/>
        <v>96708.30809240001</v>
      </c>
      <c r="P41" s="34">
        <f t="shared" si="3"/>
        <v>156749.12909220002</v>
      </c>
      <c r="Q41" s="35"/>
      <c r="R41" s="35"/>
      <c r="S41" s="35">
        <f t="shared" si="5"/>
        <v>8591.45378</v>
      </c>
      <c r="T41" s="35">
        <f t="shared" si="6"/>
        <v>8591.45378</v>
      </c>
      <c r="U41" s="35">
        <f t="shared" si="7"/>
        <v>13925.41059</v>
      </c>
      <c r="W41" s="35"/>
      <c r="X41" s="35">
        <f t="shared" si="8"/>
        <v>24.302491600000003</v>
      </c>
      <c r="Y41" s="35">
        <f t="shared" si="9"/>
        <v>24.302491600000003</v>
      </c>
      <c r="Z41" s="35">
        <f t="shared" si="10"/>
        <v>39.390559800000005</v>
      </c>
      <c r="AB41" s="35"/>
      <c r="AC41" s="35">
        <f t="shared" si="11"/>
        <v>4556.8598112</v>
      </c>
      <c r="AD41" s="35">
        <f t="shared" si="12"/>
        <v>4556.8598112</v>
      </c>
      <c r="AE41" s="35">
        <f t="shared" si="13"/>
        <v>7385.9611536</v>
      </c>
      <c r="AG41" s="35"/>
      <c r="AH41" s="35">
        <f t="shared" si="14"/>
        <v>6527.9970044</v>
      </c>
      <c r="AI41" s="35">
        <f t="shared" si="15"/>
        <v>6527.9970044</v>
      </c>
      <c r="AJ41" s="35">
        <f t="shared" si="16"/>
        <v>10580.8680282</v>
      </c>
      <c r="AK41" s="35"/>
      <c r="AL41" s="35"/>
      <c r="AM41" s="35">
        <f t="shared" si="17"/>
        <v>460.9458608</v>
      </c>
      <c r="AN41" s="35">
        <f t="shared" si="18"/>
        <v>460.9458608</v>
      </c>
      <c r="AO41" s="35">
        <f t="shared" si="19"/>
        <v>747.1215624</v>
      </c>
      <c r="AP41" s="35"/>
      <c r="AQ41" s="35"/>
      <c r="AR41" s="35">
        <f t="shared" si="20"/>
        <v>1655.5444123999998</v>
      </c>
      <c r="AS41" s="35">
        <f t="shared" si="21"/>
        <v>1655.5444123999998</v>
      </c>
      <c r="AT41" s="35">
        <f t="shared" si="22"/>
        <v>2683.3800521999997</v>
      </c>
      <c r="AU41" s="35"/>
      <c r="AV41" s="35"/>
      <c r="AW41" s="35">
        <f t="shared" si="23"/>
        <v>11751.9187776</v>
      </c>
      <c r="AX41" s="35">
        <f t="shared" si="24"/>
        <v>11751.9187776</v>
      </c>
      <c r="AY41" s="35">
        <f t="shared" si="25"/>
        <v>19048.0328928</v>
      </c>
      <c r="AZ41" s="35"/>
      <c r="BA41" s="35"/>
      <c r="BB41" s="35">
        <f t="shared" si="26"/>
        <v>87.9725744</v>
      </c>
      <c r="BC41" s="35">
        <f t="shared" si="27"/>
        <v>87.9725744</v>
      </c>
      <c r="BD41" s="35">
        <f t="shared" si="28"/>
        <v>142.5898632</v>
      </c>
      <c r="BE41" s="35"/>
      <c r="BF41" s="35"/>
      <c r="BG41" s="35">
        <f t="shared" si="29"/>
        <v>28.771759199999998</v>
      </c>
      <c r="BH41" s="35">
        <f t="shared" si="30"/>
        <v>28.771759199999998</v>
      </c>
      <c r="BI41" s="35">
        <f t="shared" si="31"/>
        <v>46.6345476</v>
      </c>
      <c r="BJ41" s="35"/>
      <c r="BK41" s="35"/>
      <c r="BL41" s="35">
        <f t="shared" si="32"/>
        <v>18195.6109956</v>
      </c>
      <c r="BM41" s="35">
        <f t="shared" si="33"/>
        <v>18195.6109956</v>
      </c>
      <c r="BN41" s="35">
        <f t="shared" si="34"/>
        <v>29492.2559718</v>
      </c>
      <c r="BP41" s="35"/>
      <c r="BQ41" s="35">
        <f t="shared" si="35"/>
        <v>6920.6133332</v>
      </c>
      <c r="BR41" s="35">
        <f t="shared" si="36"/>
        <v>6920.6133332</v>
      </c>
      <c r="BS41" s="35">
        <f t="shared" si="37"/>
        <v>11217.2380446</v>
      </c>
      <c r="BU41" s="35"/>
      <c r="BV41" s="35">
        <f t="shared" si="38"/>
        <v>1692.208708</v>
      </c>
      <c r="BW41" s="35">
        <f t="shared" si="39"/>
        <v>1692.208708</v>
      </c>
      <c r="BX41" s="35">
        <f t="shared" si="40"/>
        <v>2742.807174</v>
      </c>
      <c r="BZ41" s="35"/>
      <c r="CA41" s="35">
        <f t="shared" si="41"/>
        <v>0.747142</v>
      </c>
      <c r="CB41" s="35">
        <f t="shared" si="42"/>
        <v>0.747142</v>
      </c>
      <c r="CC41" s="35">
        <f t="shared" si="43"/>
        <v>1.211001</v>
      </c>
      <c r="CE41" s="35"/>
      <c r="CF41" s="35">
        <f t="shared" si="44"/>
        <v>6293.0004688</v>
      </c>
      <c r="CG41" s="35">
        <f t="shared" si="45"/>
        <v>6293.0004688</v>
      </c>
      <c r="CH41" s="35">
        <f t="shared" si="46"/>
        <v>10199.975186399999</v>
      </c>
      <c r="CJ41" s="35"/>
      <c r="CK41" s="35">
        <f t="shared" si="47"/>
        <v>3242.867968</v>
      </c>
      <c r="CL41" s="35">
        <f t="shared" si="48"/>
        <v>3242.867968</v>
      </c>
      <c r="CM41" s="35">
        <f t="shared" si="49"/>
        <v>5256.184704</v>
      </c>
      <c r="CO41" s="35"/>
      <c r="CP41" s="35">
        <f t="shared" si="50"/>
        <v>26671.6924664</v>
      </c>
      <c r="CQ41" s="35">
        <f t="shared" si="51"/>
        <v>26671.6924664</v>
      </c>
      <c r="CR41" s="35">
        <f t="shared" si="52"/>
        <v>43230.6659892</v>
      </c>
      <c r="CT41" s="35"/>
      <c r="CU41" s="35">
        <f t="shared" si="53"/>
        <v>3.0021524</v>
      </c>
      <c r="CV41" s="35">
        <f t="shared" si="54"/>
        <v>3.0021524</v>
      </c>
      <c r="CW41" s="35">
        <f t="shared" si="55"/>
        <v>4.8660222</v>
      </c>
      <c r="CY41" s="35"/>
      <c r="CZ41" s="35">
        <f t="shared" si="56"/>
        <v>2.7983864</v>
      </c>
      <c r="DA41" s="35">
        <f t="shared" si="57"/>
        <v>2.7983864</v>
      </c>
      <c r="DB41" s="35">
        <f t="shared" si="58"/>
        <v>4.5357492</v>
      </c>
      <c r="DD41" s="5"/>
      <c r="DE41" s="35"/>
      <c r="DF41" s="35">
        <f t="shared" si="59"/>
        <v>0</v>
      </c>
      <c r="DG41" s="35">
        <f t="shared" si="60"/>
        <v>0</v>
      </c>
      <c r="DH41" s="5"/>
      <c r="DI41" s="5"/>
      <c r="DJ41" s="5"/>
      <c r="DK41" s="5"/>
      <c r="DL41" s="5"/>
      <c r="DM41" s="5"/>
      <c r="DN41" s="5"/>
      <c r="DO41" s="5"/>
      <c r="DP41" s="5"/>
      <c r="DQ41" s="5"/>
    </row>
    <row r="42" spans="1:121" ht="12.75">
      <c r="A42" s="36">
        <v>13971</v>
      </c>
      <c r="C42" s="3">
        <v>8050000</v>
      </c>
      <c r="D42" s="3">
        <v>135844</v>
      </c>
      <c r="E42" s="34">
        <f t="shared" si="0"/>
        <v>8185844</v>
      </c>
      <c r="F42" s="34">
        <v>220165</v>
      </c>
      <c r="G42" s="35"/>
      <c r="H42" s="35">
        <f t="shared" si="61"/>
        <v>2319147.8449999997</v>
      </c>
      <c r="I42" s="35">
        <f t="shared" si="1"/>
        <v>39135.6919076</v>
      </c>
      <c r="J42" s="35">
        <f t="shared" si="2"/>
        <v>2358283.5369076</v>
      </c>
      <c r="K42" s="35">
        <f>'Academic Project '!K42</f>
        <v>63427.97332849999</v>
      </c>
      <c r="M42" s="35">
        <f t="shared" si="62"/>
        <v>5730852.155</v>
      </c>
      <c r="N42" s="34">
        <f t="shared" si="3"/>
        <v>96708.30809240001</v>
      </c>
      <c r="O42" s="35">
        <f t="shared" si="4"/>
        <v>5827560.463092401</v>
      </c>
      <c r="P42" s="34">
        <f t="shared" si="3"/>
        <v>156737.02667149997</v>
      </c>
      <c r="Q42" s="35"/>
      <c r="R42" s="35">
        <f t="shared" si="63"/>
        <v>509122.24999999994</v>
      </c>
      <c r="S42" s="35">
        <f t="shared" si="5"/>
        <v>8591.45378</v>
      </c>
      <c r="T42" s="35">
        <f t="shared" si="6"/>
        <v>517713.7037799999</v>
      </c>
      <c r="U42" s="35">
        <f t="shared" si="7"/>
        <v>13924.335425</v>
      </c>
      <c r="W42" s="35">
        <f t="shared" si="64"/>
        <v>1440.145</v>
      </c>
      <c r="X42" s="35">
        <f t="shared" si="8"/>
        <v>24.302491600000003</v>
      </c>
      <c r="Y42" s="35">
        <f t="shared" si="9"/>
        <v>1464.4474916</v>
      </c>
      <c r="Z42" s="35">
        <f t="shared" si="10"/>
        <v>39.387518500000006</v>
      </c>
      <c r="AB42" s="35">
        <f t="shared" si="65"/>
        <v>270035.64</v>
      </c>
      <c r="AC42" s="35">
        <f t="shared" si="11"/>
        <v>4556.8598112</v>
      </c>
      <c r="AD42" s="35">
        <f t="shared" si="12"/>
        <v>274592.4998112</v>
      </c>
      <c r="AE42" s="35">
        <f t="shared" si="13"/>
        <v>7385.390892</v>
      </c>
      <c r="AG42" s="35">
        <f t="shared" si="66"/>
        <v>386843.55500000005</v>
      </c>
      <c r="AH42" s="35">
        <f t="shared" si="14"/>
        <v>6527.9970044</v>
      </c>
      <c r="AI42" s="35">
        <f t="shared" si="15"/>
        <v>393371.55200440006</v>
      </c>
      <c r="AJ42" s="35">
        <f t="shared" si="16"/>
        <v>10580.051091500001</v>
      </c>
      <c r="AK42" s="35"/>
      <c r="AL42" s="35">
        <f t="shared" si="67"/>
        <v>27315.26</v>
      </c>
      <c r="AM42" s="35">
        <f t="shared" si="17"/>
        <v>460.9458608</v>
      </c>
      <c r="AN42" s="35">
        <f t="shared" si="18"/>
        <v>27776.205860799997</v>
      </c>
      <c r="AO42" s="35">
        <f t="shared" si="19"/>
        <v>747.0638779999999</v>
      </c>
      <c r="AP42" s="35"/>
      <c r="AQ42" s="35">
        <f t="shared" si="68"/>
        <v>98106.155</v>
      </c>
      <c r="AR42" s="35">
        <f t="shared" si="20"/>
        <v>1655.5444123999998</v>
      </c>
      <c r="AS42" s="35">
        <f t="shared" si="21"/>
        <v>99761.6994124</v>
      </c>
      <c r="AT42" s="35">
        <f t="shared" si="22"/>
        <v>2683.1728715</v>
      </c>
      <c r="AU42" s="35"/>
      <c r="AV42" s="35">
        <f t="shared" si="69"/>
        <v>696408.72</v>
      </c>
      <c r="AW42" s="35">
        <f t="shared" si="23"/>
        <v>11751.9187776</v>
      </c>
      <c r="AX42" s="35">
        <f t="shared" si="24"/>
        <v>708160.6387776</v>
      </c>
      <c r="AY42" s="35">
        <f t="shared" si="25"/>
        <v>19046.562216</v>
      </c>
      <c r="AZ42" s="35"/>
      <c r="BA42" s="35">
        <f t="shared" si="70"/>
        <v>5213.18</v>
      </c>
      <c r="BB42" s="35">
        <f t="shared" si="26"/>
        <v>87.9725744</v>
      </c>
      <c r="BC42" s="35">
        <f t="shared" si="27"/>
        <v>5301.1525744</v>
      </c>
      <c r="BD42" s="35">
        <f t="shared" si="28"/>
        <v>142.578854</v>
      </c>
      <c r="BE42" s="35"/>
      <c r="BF42" s="35">
        <f t="shared" si="71"/>
        <v>1704.99</v>
      </c>
      <c r="BG42" s="35">
        <f t="shared" si="29"/>
        <v>28.771759199999998</v>
      </c>
      <c r="BH42" s="35">
        <f t="shared" si="30"/>
        <v>1733.7617592</v>
      </c>
      <c r="BI42" s="35">
        <f t="shared" si="31"/>
        <v>46.630947</v>
      </c>
      <c r="BJ42" s="35"/>
      <c r="BK42" s="35">
        <f t="shared" si="72"/>
        <v>1078256.445</v>
      </c>
      <c r="BL42" s="35">
        <f t="shared" si="32"/>
        <v>18195.6109956</v>
      </c>
      <c r="BM42" s="35">
        <f t="shared" si="33"/>
        <v>1096452.0559956</v>
      </c>
      <c r="BN42" s="35">
        <f t="shared" si="34"/>
        <v>29489.9789085</v>
      </c>
      <c r="BP42" s="35">
        <f t="shared" si="73"/>
        <v>410109.665</v>
      </c>
      <c r="BQ42" s="35">
        <f t="shared" si="35"/>
        <v>6920.6133332</v>
      </c>
      <c r="BR42" s="35">
        <f t="shared" si="36"/>
        <v>417030.27833319997</v>
      </c>
      <c r="BS42" s="35">
        <f t="shared" si="37"/>
        <v>11216.3719745</v>
      </c>
      <c r="BU42" s="35">
        <f t="shared" si="74"/>
        <v>100278.84999999999</v>
      </c>
      <c r="BV42" s="35">
        <f t="shared" si="38"/>
        <v>1692.208708</v>
      </c>
      <c r="BW42" s="35">
        <f t="shared" si="39"/>
        <v>101971.058708</v>
      </c>
      <c r="BX42" s="35">
        <f t="shared" si="40"/>
        <v>2742.595405</v>
      </c>
      <c r="BZ42" s="35">
        <f t="shared" si="75"/>
        <v>44.275</v>
      </c>
      <c r="CA42" s="35">
        <f t="shared" si="41"/>
        <v>0.747142</v>
      </c>
      <c r="CB42" s="35">
        <f t="shared" si="42"/>
        <v>45.022141999999995</v>
      </c>
      <c r="CC42" s="35">
        <f t="shared" si="43"/>
        <v>1.2109075</v>
      </c>
      <c r="CE42" s="35">
        <f t="shared" si="76"/>
        <v>372917.86</v>
      </c>
      <c r="CF42" s="35">
        <f t="shared" si="44"/>
        <v>6293.0004688</v>
      </c>
      <c r="CG42" s="35">
        <f t="shared" si="45"/>
        <v>379210.8604688</v>
      </c>
      <c r="CH42" s="35">
        <f t="shared" si="46"/>
        <v>10199.187657999999</v>
      </c>
      <c r="CJ42" s="35">
        <f t="shared" si="77"/>
        <v>192169.6</v>
      </c>
      <c r="CK42" s="35">
        <f t="shared" si="47"/>
        <v>3242.867968</v>
      </c>
      <c r="CL42" s="35">
        <f t="shared" si="48"/>
        <v>195412.467968</v>
      </c>
      <c r="CM42" s="35">
        <f t="shared" si="49"/>
        <v>5255.77888</v>
      </c>
      <c r="CO42" s="35">
        <f t="shared" si="78"/>
        <v>1580541.83</v>
      </c>
      <c r="CP42" s="35">
        <f t="shared" si="50"/>
        <v>26671.6924664</v>
      </c>
      <c r="CQ42" s="35">
        <f t="shared" si="51"/>
        <v>1607213.5224664002</v>
      </c>
      <c r="CR42" s="35">
        <f t="shared" si="52"/>
        <v>43227.328199</v>
      </c>
      <c r="CT42" s="35">
        <f t="shared" si="79"/>
        <v>177.905</v>
      </c>
      <c r="CU42" s="35">
        <f t="shared" si="53"/>
        <v>3.0021524</v>
      </c>
      <c r="CV42" s="35">
        <f t="shared" si="54"/>
        <v>180.9071524</v>
      </c>
      <c r="CW42" s="35">
        <f t="shared" si="55"/>
        <v>4.8656464999999995</v>
      </c>
      <c r="CY42" s="35">
        <f t="shared" si="80"/>
        <v>165.82999999999998</v>
      </c>
      <c r="CZ42" s="35">
        <f t="shared" si="56"/>
        <v>2.7983864</v>
      </c>
      <c r="DA42" s="35">
        <f t="shared" si="57"/>
        <v>168.62838639999998</v>
      </c>
      <c r="DB42" s="35">
        <f t="shared" si="58"/>
        <v>4.535399</v>
      </c>
      <c r="DD42" s="5"/>
      <c r="DE42" s="35"/>
      <c r="DF42" s="35">
        <f t="shared" si="59"/>
        <v>0</v>
      </c>
      <c r="DG42" s="35">
        <f t="shared" si="60"/>
        <v>0</v>
      </c>
      <c r="DH42" s="5"/>
      <c r="DI42" s="5"/>
      <c r="DJ42" s="5"/>
      <c r="DK42" s="5"/>
      <c r="DL42" s="5"/>
      <c r="DM42" s="5"/>
      <c r="DN42" s="5"/>
      <c r="DO42" s="5"/>
      <c r="DP42" s="5"/>
      <c r="DQ42" s="5"/>
    </row>
    <row r="43" spans="2:121" ht="12.75">
      <c r="B43" s="33"/>
      <c r="C43" s="34"/>
      <c r="D43" s="34"/>
      <c r="E43" s="34"/>
      <c r="F43" s="34"/>
      <c r="H43" s="35"/>
      <c r="I43" s="35"/>
      <c r="J43" s="35"/>
      <c r="K43" s="35"/>
      <c r="M43" s="35"/>
      <c r="N43" s="34"/>
      <c r="O43" s="5"/>
      <c r="P43" s="34"/>
      <c r="Q43" s="5"/>
      <c r="R43" s="5"/>
      <c r="S43" s="5"/>
      <c r="T43" s="5"/>
      <c r="U43" s="5"/>
      <c r="W43" s="35"/>
      <c r="X43" s="35"/>
      <c r="Y43" s="5"/>
      <c r="Z43" s="5"/>
      <c r="AC43" s="35"/>
      <c r="AD43" s="35"/>
      <c r="CT43" s="35"/>
      <c r="CU43" s="35"/>
      <c r="CV43" s="5"/>
      <c r="CW43" s="5"/>
      <c r="CY43" s="35"/>
      <c r="CZ43" s="35"/>
      <c r="DA43" s="5"/>
      <c r="DB43" s="5"/>
      <c r="DD43" s="5"/>
      <c r="DE43" s="35"/>
      <c r="DF43" s="3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</row>
    <row r="44" spans="1:121" ht="13.5" thickBot="1">
      <c r="A44" s="38" t="s">
        <v>5</v>
      </c>
      <c r="C44" s="39">
        <f>SUM(C9:C43)</f>
        <v>104035000</v>
      </c>
      <c r="D44" s="39">
        <f>SUM(D9:D43)</f>
        <v>37465484</v>
      </c>
      <c r="E44" s="39">
        <f>SUM(E9:E43)</f>
        <v>141500484</v>
      </c>
      <c r="F44" s="39">
        <f>SUM(F9:F43)</f>
        <v>7486171</v>
      </c>
      <c r="H44" s="39">
        <f>SUM(H9:H43)</f>
        <v>29971744.851499997</v>
      </c>
      <c r="I44" s="39">
        <f>SUM(I9:I43)</f>
        <v>10793539.935463596</v>
      </c>
      <c r="J44" s="39">
        <f>SUM(J9:J43)</f>
        <v>40765284.786963604</v>
      </c>
      <c r="K44" s="39">
        <f>SUM(K9:K43)</f>
        <v>2156712.7132859007</v>
      </c>
      <c r="M44" s="39">
        <f>SUM(M9:M43)</f>
        <v>74063255.1485</v>
      </c>
      <c r="N44" s="39">
        <f>SUM(N9:N43)</f>
        <v>26671944.064536408</v>
      </c>
      <c r="O44" s="39">
        <f>SUM(O9:O43)</f>
        <v>100735199.21303639</v>
      </c>
      <c r="P44" s="39">
        <f>SUM(P9:P43)</f>
        <v>5329458.2867141</v>
      </c>
      <c r="Q44" s="34"/>
      <c r="R44" s="39">
        <f>SUM(R9:R43)</f>
        <v>6579693.574999999</v>
      </c>
      <c r="S44" s="39">
        <f>SUM(S9:S43)</f>
        <v>2369504.5355800004</v>
      </c>
      <c r="T44" s="39">
        <f>SUM(T9:T43)</f>
        <v>8949198.110579997</v>
      </c>
      <c r="U44" s="39">
        <f>SUM(U9:U43)</f>
        <v>473462.8848949997</v>
      </c>
      <c r="W44" s="39">
        <f>SUM(W9:W43)</f>
        <v>18611.861500000003</v>
      </c>
      <c r="X44" s="39">
        <f>SUM(X9:X43)</f>
        <v>6702.575087600004</v>
      </c>
      <c r="Y44" s="39">
        <f>SUM(Y9:Y43)</f>
        <v>25314.436587599997</v>
      </c>
      <c r="Z44" s="39">
        <f>SUM(Z9:Z43)</f>
        <v>1339.2759919000007</v>
      </c>
      <c r="AB44" s="39">
        <f>SUM(AB9:AB43)</f>
        <v>3489833.2680000006</v>
      </c>
      <c r="AC44" s="39">
        <f>SUM(AC9:AC43)</f>
        <v>1256772.1676831995</v>
      </c>
      <c r="AD44" s="39">
        <f>SUM(AD9:AD43)</f>
        <v>4746605.4356832</v>
      </c>
      <c r="AE44" s="39">
        <f>SUM(AE9:AE43)</f>
        <v>251122.1089607998</v>
      </c>
      <c r="AG44" s="39">
        <f>SUM(AG9:AG43)</f>
        <v>4999412.3285</v>
      </c>
      <c r="AH44" s="39">
        <f>SUM(AH9:AH43)</f>
        <v>1800407.5801684002</v>
      </c>
      <c r="AI44" s="39">
        <f>SUM(AI9:AI43)</f>
        <v>6799819.908668402</v>
      </c>
      <c r="AJ44" s="39">
        <f>SUM(AJ9:AJ43)</f>
        <v>359748.6960221</v>
      </c>
      <c r="AK44" s="34"/>
      <c r="AL44" s="39">
        <f>SUM(AL9:AL43)</f>
        <v>353011.562</v>
      </c>
      <c r="AM44" s="39">
        <f>SUM(AM9:AM43)</f>
        <v>127127.8803088</v>
      </c>
      <c r="AN44" s="39">
        <f>SUM(AN9:AN43)</f>
        <v>480139.44230879983</v>
      </c>
      <c r="AO44" s="39">
        <f>SUM(AO9:AO43)</f>
        <v>25402.075437199994</v>
      </c>
      <c r="AP44" s="34"/>
      <c r="AQ44" s="39">
        <f>SUM(AQ9:AQ43)</f>
        <v>1267884.9484999997</v>
      </c>
      <c r="AR44" s="39">
        <f>SUM(AR9:AR43)</f>
        <v>456595.60005639994</v>
      </c>
      <c r="AS44" s="39">
        <f>SUM(AS9:AS43)</f>
        <v>1724480.5485564</v>
      </c>
      <c r="AT44" s="39">
        <f>SUM(AT9:AT43)</f>
        <v>91234.71459409998</v>
      </c>
      <c r="AU44" s="34"/>
      <c r="AV44" s="39">
        <f>SUM(AV9:AV43)</f>
        <v>9000109.464</v>
      </c>
      <c r="AW44" s="39">
        <f>SUM(AW9:AW43)</f>
        <v>3241154.0070336005</v>
      </c>
      <c r="AX44" s="39">
        <f>SUM(AX9:AX43)</f>
        <v>12241263.471033605</v>
      </c>
      <c r="AY44" s="39">
        <f>SUM(AY9:AY43)</f>
        <v>647631.6476784003</v>
      </c>
      <c r="AZ44" s="34"/>
      <c r="BA44" s="39">
        <f>SUM(BA9:BA43)</f>
        <v>67373.066</v>
      </c>
      <c r="BB44" s="39">
        <f>SUM(BB9:BB43)</f>
        <v>24262.647438400003</v>
      </c>
      <c r="BC44" s="39">
        <f>SUM(BC9:BC43)</f>
        <v>91635.71343840001</v>
      </c>
      <c r="BD44" s="39">
        <f>SUM(BD9:BD43)</f>
        <v>4848.044339599998</v>
      </c>
      <c r="BE44" s="34"/>
      <c r="BF44" s="39">
        <f>SUM(BF9:BF43)</f>
        <v>22034.613000000005</v>
      </c>
      <c r="BG44" s="39">
        <f>SUM(BG9:BG43)</f>
        <v>7935.1895112</v>
      </c>
      <c r="BH44" s="39">
        <f>SUM(BH9:BH43)</f>
        <v>29969.8025112</v>
      </c>
      <c r="BI44" s="39">
        <f>SUM(BI9:BI43)</f>
        <v>1585.5710177999993</v>
      </c>
      <c r="BJ44" s="34"/>
      <c r="BK44" s="39">
        <f>SUM(BK9:BK43)</f>
        <v>13934957.671500003</v>
      </c>
      <c r="BL44" s="39">
        <f>SUM(BL9:BL43)</f>
        <v>5018310.507831597</v>
      </c>
      <c r="BM44" s="39">
        <f>SUM(BM9:BM43)</f>
        <v>18953268.1793316</v>
      </c>
      <c r="BN44" s="39">
        <f>SUM(BN9:BN43)</f>
        <v>1002734.4259778995</v>
      </c>
      <c r="BP44" s="39">
        <f>SUM(BP9:BP43)</f>
        <v>5300094.2855</v>
      </c>
      <c r="BQ44" s="39">
        <f>SUM(BQ9:BQ43)</f>
        <v>1908690.322025201</v>
      </c>
      <c r="BR44" s="39">
        <f>SUM(BR9:BR43)</f>
        <v>7208784.607525201</v>
      </c>
      <c r="BS44" s="39">
        <f>SUM(BS9:BS43)</f>
        <v>381385.22744630004</v>
      </c>
      <c r="BU44" s="39">
        <f>SUM(BU9:BU43)</f>
        <v>1295963.9949999999</v>
      </c>
      <c r="BV44" s="39">
        <f>SUM(BV9:BV43)</f>
        <v>466707.53418800014</v>
      </c>
      <c r="BW44" s="39">
        <f>SUM(BW9:BW43)</f>
        <v>1762671.529188</v>
      </c>
      <c r="BX44" s="39">
        <f>SUM(BX9:BX43)</f>
        <v>93255.23214700003</v>
      </c>
      <c r="BZ44" s="39">
        <f>SUM(BZ9:BZ43)</f>
        <v>572.1925</v>
      </c>
      <c r="CA44" s="39">
        <f>SUM(CA9:CA43)</f>
        <v>206.0601619999999</v>
      </c>
      <c r="CB44" s="39">
        <f>SUM(CB9:CB43)</f>
        <v>778.252662</v>
      </c>
      <c r="CC44" s="39">
        <f>SUM(CC9:CC43)</f>
        <v>41.17394050000001</v>
      </c>
      <c r="CE44" s="39">
        <f>SUM(CE9:CE43)</f>
        <v>4819442.181999999</v>
      </c>
      <c r="CF44" s="39">
        <f>SUM(CF9:CF43)</f>
        <v>1735596.0393968006</v>
      </c>
      <c r="CG44" s="39">
        <f>SUM(CG9:CG43)</f>
        <v>6555038.2213968</v>
      </c>
      <c r="CH44" s="39">
        <f>SUM(CH9:CH43)</f>
        <v>346798.36880919995</v>
      </c>
      <c r="CJ44" s="39">
        <f>SUM(CJ9:CJ43)</f>
        <v>2483523.5200000005</v>
      </c>
      <c r="CK44" s="39">
        <f>SUM(CK9:CK43)</f>
        <v>894376.034048</v>
      </c>
      <c r="CL44" s="39">
        <f>SUM(CL9:CL43)</f>
        <v>3377899.554048001</v>
      </c>
      <c r="CM44" s="39">
        <f>SUM(CM9:CM43)</f>
        <v>178709.8741120001</v>
      </c>
      <c r="CO44" s="39">
        <f>SUM(CO9:CO43)</f>
        <v>20426294.320999995</v>
      </c>
      <c r="CP44" s="39">
        <f>SUM(CP9:CP43)</f>
        <v>7355995.607850397</v>
      </c>
      <c r="CQ44" s="39">
        <f>SUM(CQ9:CQ43)</f>
        <v>27782289.928850397</v>
      </c>
      <c r="CR44" s="39">
        <f>SUM(CR9:CR43)</f>
        <v>1469839.3058426012</v>
      </c>
      <c r="CT44" s="39">
        <f>SUM(CT9:CT43)</f>
        <v>2299.1735</v>
      </c>
      <c r="CU44" s="39">
        <f>SUM(CU9:CU43)</f>
        <v>827.9871963999999</v>
      </c>
      <c r="CV44" s="39">
        <f>SUM(CV9:CV43)</f>
        <v>3127.1606964000002</v>
      </c>
      <c r="CW44" s="39">
        <f>SUM(CW9:CW43)</f>
        <v>165.44437910000008</v>
      </c>
      <c r="CY44" s="39">
        <f>SUM(CY9:CY43)</f>
        <v>2143.121</v>
      </c>
      <c r="CZ44" s="39">
        <f>SUM(CZ9:CZ43)</f>
        <v>771.7889704000002</v>
      </c>
      <c r="DA44" s="39">
        <f>SUM(DA9:DA43)</f>
        <v>2914.9099703999996</v>
      </c>
      <c r="DB44" s="39">
        <f>SUM(DB9:DB43)</f>
        <v>154.21512259999997</v>
      </c>
      <c r="DD44" s="39">
        <f>SUM(DD9:DD43)</f>
        <v>0</v>
      </c>
      <c r="DE44" s="39">
        <f>SUM(DE9:DE43)</f>
        <v>0</v>
      </c>
      <c r="DF44" s="39">
        <f>SUM(DF9:DF43)</f>
        <v>0</v>
      </c>
      <c r="DG44" s="39">
        <f>SUM(DG9:DG43)</f>
        <v>0</v>
      </c>
      <c r="DH44" s="5"/>
      <c r="DI44" s="5"/>
      <c r="DJ44" s="5"/>
      <c r="DK44" s="5"/>
      <c r="DL44" s="5"/>
      <c r="DM44" s="5"/>
      <c r="DN44" s="5"/>
      <c r="DO44" s="5"/>
      <c r="DP44" s="5"/>
      <c r="DQ44" s="5"/>
    </row>
    <row r="45" spans="23:121" ht="13.5" thickTop="1">
      <c r="W45" s="5"/>
      <c r="X45" s="5"/>
      <c r="Y45" s="5"/>
      <c r="Z45" s="5"/>
      <c r="CT45" s="5"/>
      <c r="CU45" s="5"/>
      <c r="CV45" s="5"/>
      <c r="CW45" s="5"/>
      <c r="CY45" s="5"/>
      <c r="CZ45" s="5"/>
      <c r="DA45" s="5"/>
      <c r="DB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</row>
    <row r="46" spans="3:121" ht="12.75">
      <c r="C46" s="3">
        <f>H44+M44</f>
        <v>104035000</v>
      </c>
      <c r="D46" s="3">
        <f>I44+N44</f>
        <v>37465484</v>
      </c>
      <c r="E46" s="3">
        <f>J44+O44</f>
        <v>141500484</v>
      </c>
      <c r="F46" s="3">
        <f>K44+P44</f>
        <v>7486171.000000001</v>
      </c>
      <c r="N46" s="5"/>
      <c r="W46" s="5"/>
      <c r="X46" s="5"/>
      <c r="Y46" s="5"/>
      <c r="Z46" s="5"/>
      <c r="CT46" s="5"/>
      <c r="CU46" s="5"/>
      <c r="CV46" s="5"/>
      <c r="CW46" s="5"/>
      <c r="CY46" s="5"/>
      <c r="CZ46" s="5"/>
      <c r="DA46" s="5"/>
      <c r="DB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</row>
    <row r="47" spans="23:121" ht="12.75">
      <c r="W47" s="5"/>
      <c r="X47" s="5"/>
      <c r="Y47" s="5"/>
      <c r="Z47" s="5"/>
      <c r="CT47" s="5"/>
      <c r="CU47" s="5"/>
      <c r="CV47" s="5"/>
      <c r="CW47" s="5"/>
      <c r="CY47" s="5"/>
      <c r="CZ47" s="5"/>
      <c r="DA47" s="5"/>
      <c r="DB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</row>
    <row r="48" spans="23:121" ht="12.75">
      <c r="W48" s="5"/>
      <c r="X48" s="5"/>
      <c r="Y48" s="5"/>
      <c r="Z48" s="5"/>
      <c r="CT48" s="5"/>
      <c r="CU48" s="5"/>
      <c r="CV48" s="5"/>
      <c r="CW48" s="5"/>
      <c r="CY48" s="5"/>
      <c r="CZ48" s="5"/>
      <c r="DA48" s="5"/>
      <c r="DB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</row>
    <row r="49" spans="23:121" ht="12.75">
      <c r="W49" s="5"/>
      <c r="X49" s="5"/>
      <c r="Y49" s="5"/>
      <c r="Z49" s="5"/>
      <c r="CT49" s="5"/>
      <c r="CU49" s="5"/>
      <c r="CV49" s="5"/>
      <c r="CW49" s="5"/>
      <c r="CY49" s="5"/>
      <c r="CZ49" s="5"/>
      <c r="DA49" s="5"/>
      <c r="DB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</row>
    <row r="50" spans="23:121" ht="12.75">
      <c r="W50" s="5"/>
      <c r="X50" s="5"/>
      <c r="Y50" s="5"/>
      <c r="Z50" s="5"/>
      <c r="CT50" s="5"/>
      <c r="CU50" s="5"/>
      <c r="CV50" s="5"/>
      <c r="CW50" s="5"/>
      <c r="CY50" s="5"/>
      <c r="CZ50" s="5"/>
      <c r="DA50" s="5"/>
      <c r="DB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</row>
    <row r="51" spans="23:121" ht="12.75">
      <c r="W51" s="5"/>
      <c r="X51" s="5"/>
      <c r="Y51" s="5"/>
      <c r="Z51" s="5"/>
      <c r="CT51" s="5"/>
      <c r="CU51" s="5"/>
      <c r="CV51" s="5"/>
      <c r="CW51" s="5"/>
      <c r="CY51" s="5"/>
      <c r="CZ51" s="5"/>
      <c r="DA51" s="5"/>
      <c r="DB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</row>
    <row r="52" spans="1:121" ht="12.75">
      <c r="A52"/>
      <c r="W52" s="5"/>
      <c r="X52" s="5"/>
      <c r="Y52" s="5"/>
      <c r="Z52" s="5"/>
      <c r="CT52" s="5"/>
      <c r="CU52" s="5"/>
      <c r="CV52" s="5"/>
      <c r="CW52" s="5"/>
      <c r="CY52" s="5"/>
      <c r="CZ52" s="5"/>
      <c r="DA52" s="5"/>
      <c r="DB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</row>
    <row r="53" spans="1:121" ht="12.75">
      <c r="A53"/>
      <c r="W53" s="5"/>
      <c r="X53" s="5"/>
      <c r="Y53" s="5"/>
      <c r="Z53" s="5"/>
      <c r="CT53" s="5"/>
      <c r="CU53" s="5"/>
      <c r="CV53" s="5"/>
      <c r="CW53" s="5"/>
      <c r="CY53" s="5"/>
      <c r="CZ53" s="5"/>
      <c r="DA53" s="5"/>
      <c r="DB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</row>
    <row r="54" spans="1:121" ht="12.75">
      <c r="A54"/>
      <c r="W54" s="5"/>
      <c r="X54" s="5"/>
      <c r="Y54" s="5"/>
      <c r="Z54" s="5"/>
      <c r="CT54" s="5"/>
      <c r="CU54" s="5"/>
      <c r="CV54" s="5"/>
      <c r="CW54" s="5"/>
      <c r="CY54" s="5"/>
      <c r="CZ54" s="5"/>
      <c r="DA54" s="5"/>
      <c r="DB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</row>
    <row r="55" spans="1:121" ht="12.75">
      <c r="A55"/>
      <c r="W55" s="5"/>
      <c r="X55" s="5"/>
      <c r="Y55" s="5"/>
      <c r="Z55" s="5"/>
      <c r="CT55" s="5"/>
      <c r="CU55" s="5"/>
      <c r="CV55" s="5"/>
      <c r="CW55" s="5"/>
      <c r="CY55" s="5"/>
      <c r="CZ55" s="5"/>
      <c r="DA55" s="5"/>
      <c r="DB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</row>
    <row r="56" spans="1:121" ht="12.75">
      <c r="A56"/>
      <c r="W56" s="5"/>
      <c r="X56" s="5"/>
      <c r="Y56" s="5"/>
      <c r="Z56" s="5"/>
      <c r="CT56" s="5"/>
      <c r="CU56" s="5"/>
      <c r="CV56" s="5"/>
      <c r="CW56" s="5"/>
      <c r="CY56" s="5"/>
      <c r="CZ56" s="5"/>
      <c r="DA56" s="5"/>
      <c r="DB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</row>
    <row r="57" spans="1:121" ht="12.75">
      <c r="A57"/>
      <c r="H57"/>
      <c r="I57"/>
      <c r="J57"/>
      <c r="K57"/>
      <c r="W57" s="5"/>
      <c r="X57" s="5"/>
      <c r="Y57" s="5"/>
      <c r="Z57" s="5"/>
      <c r="CT57" s="5"/>
      <c r="CU57" s="5"/>
      <c r="CV57" s="5"/>
      <c r="CW57" s="5"/>
      <c r="CY57" s="5"/>
      <c r="CZ57" s="5"/>
      <c r="DA57" s="5"/>
      <c r="DB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</row>
    <row r="58" spans="1:121" ht="12.75">
      <c r="A58"/>
      <c r="C58"/>
      <c r="D58"/>
      <c r="E58"/>
      <c r="F58"/>
      <c r="G58"/>
      <c r="H58"/>
      <c r="I58"/>
      <c r="J58"/>
      <c r="K58"/>
      <c r="L58"/>
      <c r="V58"/>
      <c r="W58" s="5"/>
      <c r="X58" s="5"/>
      <c r="Y58" s="5"/>
      <c r="Z58" s="5"/>
      <c r="CT58" s="5"/>
      <c r="CU58" s="5"/>
      <c r="CV58" s="5"/>
      <c r="CW58" s="5"/>
      <c r="CY58" s="5"/>
      <c r="CZ58" s="5"/>
      <c r="DA58" s="5"/>
      <c r="DB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</row>
    <row r="59" spans="1:121" ht="12.75">
      <c r="A59"/>
      <c r="C59"/>
      <c r="D59"/>
      <c r="E59"/>
      <c r="F59"/>
      <c r="G59"/>
      <c r="H59"/>
      <c r="I59"/>
      <c r="J59"/>
      <c r="K59"/>
      <c r="L59"/>
      <c r="V59"/>
      <c r="W59" s="5"/>
      <c r="X59" s="5"/>
      <c r="Y59" s="5"/>
      <c r="Z59" s="5"/>
      <c r="CT59" s="5"/>
      <c r="CU59" s="5"/>
      <c r="CV59" s="5"/>
      <c r="CW59" s="5"/>
      <c r="CY59" s="5"/>
      <c r="CZ59" s="5"/>
      <c r="DA59" s="5"/>
      <c r="DB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</row>
    <row r="60" spans="1:121" ht="12.75">
      <c r="A60"/>
      <c r="C60"/>
      <c r="D60"/>
      <c r="E60"/>
      <c r="F60"/>
      <c r="G60"/>
      <c r="H60"/>
      <c r="I60"/>
      <c r="J60"/>
      <c r="K60"/>
      <c r="L60"/>
      <c r="V60"/>
      <c r="W60" s="5"/>
      <c r="X60" s="5"/>
      <c r="Y60" s="5"/>
      <c r="Z60" s="5"/>
      <c r="CT60" s="5"/>
      <c r="CU60" s="5"/>
      <c r="CV60" s="5"/>
      <c r="CW60" s="5"/>
      <c r="CY60" s="5"/>
      <c r="CZ60" s="5"/>
      <c r="DA60" s="5"/>
      <c r="DB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</row>
    <row r="61" spans="1:121" ht="12.75">
      <c r="A61"/>
      <c r="C61"/>
      <c r="D61"/>
      <c r="E61"/>
      <c r="F61"/>
      <c r="G61"/>
      <c r="H61"/>
      <c r="I61"/>
      <c r="J61"/>
      <c r="K61"/>
      <c r="L61"/>
      <c r="V61"/>
      <c r="W61" s="5"/>
      <c r="X61" s="5"/>
      <c r="Y61" s="5"/>
      <c r="Z61" s="5"/>
      <c r="CT61" s="5"/>
      <c r="CU61" s="5"/>
      <c r="CV61" s="5"/>
      <c r="CW61" s="5"/>
      <c r="CY61" s="5"/>
      <c r="CZ61" s="5"/>
      <c r="DA61" s="5"/>
      <c r="DB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</row>
    <row r="62" spans="1:121" ht="12.75">
      <c r="A62"/>
      <c r="C62"/>
      <c r="D62"/>
      <c r="E62"/>
      <c r="F62"/>
      <c r="G62"/>
      <c r="H62"/>
      <c r="I62"/>
      <c r="J62"/>
      <c r="K62"/>
      <c r="L62"/>
      <c r="V62"/>
      <c r="W62" s="5"/>
      <c r="X62" s="5"/>
      <c r="Y62" s="5"/>
      <c r="Z62" s="5"/>
      <c r="CT62" s="5"/>
      <c r="CU62" s="5"/>
      <c r="CV62" s="5"/>
      <c r="CW62" s="5"/>
      <c r="CY62" s="5"/>
      <c r="CZ62" s="5"/>
      <c r="DA62" s="5"/>
      <c r="DB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</row>
    <row r="63" spans="1:121" ht="12.75">
      <c r="A63"/>
      <c r="C63"/>
      <c r="D63"/>
      <c r="E63"/>
      <c r="F63"/>
      <c r="G63"/>
      <c r="H63"/>
      <c r="I63"/>
      <c r="J63"/>
      <c r="K63"/>
      <c r="L63"/>
      <c r="V63"/>
      <c r="W63" s="5"/>
      <c r="X63" s="5"/>
      <c r="Y63" s="5"/>
      <c r="Z63" s="5"/>
      <c r="CT63" s="5"/>
      <c r="CU63" s="5"/>
      <c r="CV63" s="5"/>
      <c r="CW63" s="5"/>
      <c r="CY63" s="5"/>
      <c r="CZ63" s="5"/>
      <c r="DA63" s="5"/>
      <c r="DB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</row>
    <row r="64" spans="1:121" ht="12.75">
      <c r="A64"/>
      <c r="C64"/>
      <c r="D64"/>
      <c r="E64"/>
      <c r="F64"/>
      <c r="G64"/>
      <c r="H64"/>
      <c r="I64"/>
      <c r="J64"/>
      <c r="K64"/>
      <c r="L64"/>
      <c r="V64"/>
      <c r="W64" s="5"/>
      <c r="X64" s="5"/>
      <c r="Y64" s="5"/>
      <c r="Z64" s="5"/>
      <c r="CT64" s="5"/>
      <c r="CU64" s="5"/>
      <c r="CV64" s="5"/>
      <c r="CW64" s="5"/>
      <c r="CY64" s="5"/>
      <c r="CZ64" s="5"/>
      <c r="DA64" s="5"/>
      <c r="DB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</row>
    <row r="65" spans="1:121" ht="12.75">
      <c r="A65"/>
      <c r="C65"/>
      <c r="D65"/>
      <c r="E65"/>
      <c r="F65"/>
      <c r="G65"/>
      <c r="H65"/>
      <c r="I65"/>
      <c r="J65"/>
      <c r="K65"/>
      <c r="L65"/>
      <c r="V65"/>
      <c r="W65" s="5"/>
      <c r="X65" s="5"/>
      <c r="Y65" s="5"/>
      <c r="Z65" s="5"/>
      <c r="CT65" s="5"/>
      <c r="CU65" s="5"/>
      <c r="CV65" s="5"/>
      <c r="CW65" s="5"/>
      <c r="CY65" s="5"/>
      <c r="CZ65" s="5"/>
      <c r="DA65" s="5"/>
      <c r="DB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</row>
    <row r="66" spans="1:121" ht="12.75">
      <c r="A66"/>
      <c r="C66"/>
      <c r="D66"/>
      <c r="E66"/>
      <c r="F66"/>
      <c r="G66"/>
      <c r="H66"/>
      <c r="I66"/>
      <c r="J66"/>
      <c r="K66"/>
      <c r="L66"/>
      <c r="V66"/>
      <c r="W66" s="5"/>
      <c r="X66" s="5"/>
      <c r="Y66" s="5"/>
      <c r="Z66" s="5"/>
      <c r="CT66" s="5"/>
      <c r="CU66" s="5"/>
      <c r="CV66" s="5"/>
      <c r="CW66" s="5"/>
      <c r="CY66" s="5"/>
      <c r="CZ66" s="5"/>
      <c r="DA66" s="5"/>
      <c r="DB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</row>
    <row r="67" spans="1:121" ht="12.75">
      <c r="A67"/>
      <c r="C67"/>
      <c r="D67"/>
      <c r="E67"/>
      <c r="F67"/>
      <c r="G67"/>
      <c r="H67"/>
      <c r="I67"/>
      <c r="J67"/>
      <c r="K67"/>
      <c r="L67"/>
      <c r="V67"/>
      <c r="W67" s="5"/>
      <c r="X67" s="5"/>
      <c r="Y67" s="5"/>
      <c r="Z67" s="5"/>
      <c r="CT67" s="5"/>
      <c r="CU67" s="5"/>
      <c r="CV67" s="5"/>
      <c r="CW67" s="5"/>
      <c r="CY67" s="5"/>
      <c r="CZ67" s="5"/>
      <c r="DA67" s="5"/>
      <c r="DB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</row>
    <row r="68" spans="1:121" ht="12.75">
      <c r="A68"/>
      <c r="C68"/>
      <c r="D68"/>
      <c r="E68"/>
      <c r="F68"/>
      <c r="G68"/>
      <c r="H68"/>
      <c r="I68"/>
      <c r="J68"/>
      <c r="K68"/>
      <c r="L68"/>
      <c r="V68"/>
      <c r="W68" s="5"/>
      <c r="X68" s="5"/>
      <c r="Y68" s="5"/>
      <c r="Z68" s="5"/>
      <c r="CT68" s="5"/>
      <c r="CU68" s="5"/>
      <c r="CV68" s="5"/>
      <c r="CW68" s="5"/>
      <c r="CY68" s="5"/>
      <c r="CZ68" s="5"/>
      <c r="DA68" s="5"/>
      <c r="DB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</row>
    <row r="69" spans="1:121" ht="12.75">
      <c r="A69"/>
      <c r="C69"/>
      <c r="D69"/>
      <c r="E69"/>
      <c r="F69"/>
      <c r="G69"/>
      <c r="H69"/>
      <c r="I69"/>
      <c r="J69"/>
      <c r="K69"/>
      <c r="L69"/>
      <c r="V69"/>
      <c r="W69" s="5"/>
      <c r="X69" s="5"/>
      <c r="Y69" s="5"/>
      <c r="Z69" s="5"/>
      <c r="CT69" s="5"/>
      <c r="CU69" s="5"/>
      <c r="CV69" s="5"/>
      <c r="CW69" s="5"/>
      <c r="CY69" s="5"/>
      <c r="CZ69" s="5"/>
      <c r="DA69" s="5"/>
      <c r="DB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</row>
    <row r="70" spans="1:121" ht="12.75">
      <c r="A70"/>
      <c r="C70"/>
      <c r="D70"/>
      <c r="E70"/>
      <c r="F70"/>
      <c r="G70"/>
      <c r="H70"/>
      <c r="I70"/>
      <c r="J70"/>
      <c r="K70"/>
      <c r="L70"/>
      <c r="V70"/>
      <c r="W70" s="5"/>
      <c r="X70" s="5"/>
      <c r="Y70" s="5"/>
      <c r="Z70" s="5"/>
      <c r="CT70" s="5"/>
      <c r="CU70" s="5"/>
      <c r="CV70" s="5"/>
      <c r="CW70" s="5"/>
      <c r="CY70" s="5"/>
      <c r="CZ70" s="5"/>
      <c r="DA70" s="5"/>
      <c r="DB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</row>
    <row r="71" spans="1:121" ht="12.75">
      <c r="A71"/>
      <c r="C71"/>
      <c r="D71"/>
      <c r="E71"/>
      <c r="F71"/>
      <c r="G71"/>
      <c r="H71"/>
      <c r="I71"/>
      <c r="J71"/>
      <c r="K71"/>
      <c r="L71"/>
      <c r="V71"/>
      <c r="W71" s="5"/>
      <c r="X71" s="5"/>
      <c r="Y71" s="5"/>
      <c r="Z71" s="5"/>
      <c r="CT71" s="5"/>
      <c r="CU71" s="5"/>
      <c r="CV71" s="5"/>
      <c r="CW71" s="5"/>
      <c r="CY71" s="5"/>
      <c r="CZ71" s="5"/>
      <c r="DA71" s="5"/>
      <c r="DB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</row>
    <row r="72" spans="1:121" ht="12.75">
      <c r="A72"/>
      <c r="C72"/>
      <c r="D72"/>
      <c r="E72"/>
      <c r="F72"/>
      <c r="G72"/>
      <c r="H72"/>
      <c r="I72"/>
      <c r="J72"/>
      <c r="K72"/>
      <c r="L72"/>
      <c r="V72"/>
      <c r="W72" s="5"/>
      <c r="X72" s="5"/>
      <c r="Y72" s="5"/>
      <c r="Z72" s="5"/>
      <c r="CT72" s="5"/>
      <c r="CU72" s="5"/>
      <c r="CV72" s="5"/>
      <c r="CW72" s="5"/>
      <c r="CY72" s="5"/>
      <c r="CZ72" s="5"/>
      <c r="DA72" s="5"/>
      <c r="DB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</row>
    <row r="73" spans="1:121" ht="12.75">
      <c r="A73"/>
      <c r="C73"/>
      <c r="D73"/>
      <c r="E73"/>
      <c r="F73"/>
      <c r="G73"/>
      <c r="H73"/>
      <c r="I73"/>
      <c r="J73"/>
      <c r="K73"/>
      <c r="L73"/>
      <c r="V73"/>
      <c r="W73" s="5"/>
      <c r="X73" s="5"/>
      <c r="Y73" s="5"/>
      <c r="Z73" s="5"/>
      <c r="CT73" s="5"/>
      <c r="CU73" s="5"/>
      <c r="CV73" s="5"/>
      <c r="CW73" s="5"/>
      <c r="CY73" s="5"/>
      <c r="CZ73" s="5"/>
      <c r="DA73" s="5"/>
      <c r="DB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</row>
    <row r="74" spans="1:121" ht="12.75">
      <c r="A74"/>
      <c r="C74"/>
      <c r="D74"/>
      <c r="E74"/>
      <c r="F74"/>
      <c r="G74"/>
      <c r="H74"/>
      <c r="I74"/>
      <c r="J74"/>
      <c r="K74"/>
      <c r="L74"/>
      <c r="V74"/>
      <c r="W74" s="5"/>
      <c r="X74" s="5"/>
      <c r="Y74" s="5"/>
      <c r="Z74" s="5"/>
      <c r="CT74" s="5"/>
      <c r="CU74" s="5"/>
      <c r="CV74" s="5"/>
      <c r="CW74" s="5"/>
      <c r="CY74" s="5"/>
      <c r="CZ74" s="5"/>
      <c r="DA74" s="5"/>
      <c r="DB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</row>
    <row r="75" spans="1:121" ht="12.75">
      <c r="A75"/>
      <c r="C75"/>
      <c r="D75"/>
      <c r="E75"/>
      <c r="F75"/>
      <c r="G75"/>
      <c r="H75"/>
      <c r="I75"/>
      <c r="J75"/>
      <c r="K75"/>
      <c r="L75"/>
      <c r="V75"/>
      <c r="W75" s="5"/>
      <c r="X75" s="5"/>
      <c r="Y75" s="5"/>
      <c r="Z75" s="5"/>
      <c r="CT75" s="5"/>
      <c r="CU75" s="5"/>
      <c r="CV75" s="5"/>
      <c r="CW75" s="5"/>
      <c r="CY75" s="5"/>
      <c r="CZ75" s="5"/>
      <c r="DA75" s="5"/>
      <c r="DB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</row>
    <row r="76" spans="1:121" ht="12.75">
      <c r="A76"/>
      <c r="C76"/>
      <c r="D76"/>
      <c r="E76"/>
      <c r="F76"/>
      <c r="G76"/>
      <c r="H76"/>
      <c r="I76"/>
      <c r="J76"/>
      <c r="K76"/>
      <c r="L76"/>
      <c r="V76"/>
      <c r="W76" s="5"/>
      <c r="X76" s="5"/>
      <c r="Y76" s="5"/>
      <c r="Z76" s="5"/>
      <c r="CT76" s="5"/>
      <c r="CU76" s="5"/>
      <c r="CV76" s="5"/>
      <c r="CW76" s="5"/>
      <c r="CY76" s="5"/>
      <c r="CZ76" s="5"/>
      <c r="DA76" s="5"/>
      <c r="DB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</row>
    <row r="77" spans="1:121" ht="12.75">
      <c r="A77"/>
      <c r="C77"/>
      <c r="D77"/>
      <c r="E77"/>
      <c r="F77"/>
      <c r="G77"/>
      <c r="H77"/>
      <c r="I77"/>
      <c r="J77"/>
      <c r="K77"/>
      <c r="L77"/>
      <c r="V77"/>
      <c r="W77" s="5"/>
      <c r="X77" s="5"/>
      <c r="Y77" s="5"/>
      <c r="Z77" s="5"/>
      <c r="CT77" s="5"/>
      <c r="CU77" s="5"/>
      <c r="CV77" s="5"/>
      <c r="CW77" s="5"/>
      <c r="CY77" s="5"/>
      <c r="CZ77" s="5"/>
      <c r="DA77" s="5"/>
      <c r="DB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</row>
    <row r="78" spans="1:121" ht="12.75">
      <c r="A78"/>
      <c r="C78"/>
      <c r="D78"/>
      <c r="E78"/>
      <c r="F78"/>
      <c r="G78"/>
      <c r="H78"/>
      <c r="I78"/>
      <c r="J78"/>
      <c r="K78"/>
      <c r="L78"/>
      <c r="V78"/>
      <c r="W78" s="5"/>
      <c r="X78" s="5"/>
      <c r="Y78" s="5"/>
      <c r="Z78" s="5"/>
      <c r="CT78" s="5"/>
      <c r="CU78" s="5"/>
      <c r="CV78" s="5"/>
      <c r="CW78" s="5"/>
      <c r="CY78" s="5"/>
      <c r="CZ78" s="5"/>
      <c r="DA78" s="5"/>
      <c r="DB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</row>
    <row r="79" spans="3:121" ht="12.75">
      <c r="C79"/>
      <c r="D79"/>
      <c r="E79"/>
      <c r="F79"/>
      <c r="G79"/>
      <c r="H79"/>
      <c r="I79"/>
      <c r="J79"/>
      <c r="K79"/>
      <c r="L79"/>
      <c r="V79"/>
      <c r="W79" s="5"/>
      <c r="X79" s="5"/>
      <c r="Y79" s="5"/>
      <c r="Z79" s="5"/>
      <c r="CT79" s="5"/>
      <c r="CU79" s="5"/>
      <c r="CV79" s="5"/>
      <c r="CW79" s="5"/>
      <c r="CY79" s="5"/>
      <c r="CZ79" s="5"/>
      <c r="DA79" s="5"/>
      <c r="DB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</row>
    <row r="80" spans="3:121" ht="12.75">
      <c r="C80"/>
      <c r="D80"/>
      <c r="E80"/>
      <c r="F80"/>
      <c r="G80"/>
      <c r="H80"/>
      <c r="I80"/>
      <c r="J80"/>
      <c r="K80"/>
      <c r="L80"/>
      <c r="V80"/>
      <c r="W80" s="5"/>
      <c r="X80" s="5"/>
      <c r="Y80" s="5"/>
      <c r="Z80" s="5"/>
      <c r="CT80" s="5"/>
      <c r="CU80" s="5"/>
      <c r="CV80" s="5"/>
      <c r="CW80" s="5"/>
      <c r="CY80" s="5"/>
      <c r="CZ80" s="5"/>
      <c r="DA80" s="5"/>
      <c r="DB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</row>
    <row r="81" spans="3:121" ht="12.75">
      <c r="C81"/>
      <c r="D81"/>
      <c r="E81"/>
      <c r="F81"/>
      <c r="G81"/>
      <c r="H81"/>
      <c r="I81"/>
      <c r="J81"/>
      <c r="K81"/>
      <c r="L81"/>
      <c r="V81"/>
      <c r="W81" s="5"/>
      <c r="X81" s="5"/>
      <c r="Y81" s="5"/>
      <c r="Z81" s="5"/>
      <c r="CT81" s="5"/>
      <c r="CU81" s="5"/>
      <c r="CV81" s="5"/>
      <c r="CW81" s="5"/>
      <c r="CY81" s="5"/>
      <c r="CZ81" s="5"/>
      <c r="DA81" s="5"/>
      <c r="DB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</row>
    <row r="82" spans="3:121" ht="12.75">
      <c r="C82"/>
      <c r="D82"/>
      <c r="E82"/>
      <c r="F82"/>
      <c r="G82"/>
      <c r="H82"/>
      <c r="I82"/>
      <c r="J82"/>
      <c r="K82"/>
      <c r="L82"/>
      <c r="V82"/>
      <c r="W82" s="5"/>
      <c r="X82" s="5"/>
      <c r="Y82" s="5"/>
      <c r="Z82" s="5"/>
      <c r="CT82" s="5"/>
      <c r="CU82" s="5"/>
      <c r="CV82" s="5"/>
      <c r="CW82" s="5"/>
      <c r="CY82" s="5"/>
      <c r="CZ82" s="5"/>
      <c r="DA82" s="5"/>
      <c r="DB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</row>
    <row r="83" spans="3:121" ht="12.75">
      <c r="C83"/>
      <c r="D83"/>
      <c r="E83"/>
      <c r="F83"/>
      <c r="G83"/>
      <c r="H83"/>
      <c r="I83"/>
      <c r="J83"/>
      <c r="K83"/>
      <c r="L83"/>
      <c r="V83"/>
      <c r="W83" s="5"/>
      <c r="X83" s="5"/>
      <c r="Y83" s="5"/>
      <c r="Z83" s="5"/>
      <c r="CT83" s="5"/>
      <c r="CU83" s="5"/>
      <c r="CV83" s="5"/>
      <c r="CW83" s="5"/>
      <c r="CY83" s="5"/>
      <c r="CZ83" s="5"/>
      <c r="DA83" s="5"/>
      <c r="DB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</row>
    <row r="84" spans="3:121" ht="12.75">
      <c r="C84"/>
      <c r="D84"/>
      <c r="E84"/>
      <c r="F84"/>
      <c r="G84"/>
      <c r="L84"/>
      <c r="V84"/>
      <c r="W84" s="5"/>
      <c r="X84" s="5"/>
      <c r="Y84" s="5"/>
      <c r="Z84" s="5"/>
      <c r="CT84" s="5"/>
      <c r="CU84" s="5"/>
      <c r="CV84" s="5"/>
      <c r="CW84" s="5"/>
      <c r="CY84" s="5"/>
      <c r="CZ84" s="5"/>
      <c r="DA84" s="5"/>
      <c r="DB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</row>
    <row r="85" spans="23:121" ht="12.75">
      <c r="W85" s="5"/>
      <c r="X85" s="5"/>
      <c r="Y85" s="5"/>
      <c r="Z85" s="5"/>
      <c r="CT85" s="5"/>
      <c r="CU85" s="5"/>
      <c r="CV85" s="5"/>
      <c r="CW85" s="5"/>
      <c r="CY85" s="5"/>
      <c r="CZ85" s="5"/>
      <c r="DA85" s="5"/>
      <c r="DB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</row>
    <row r="86" spans="23:121" ht="12.75">
      <c r="W86" s="5"/>
      <c r="X86" s="5"/>
      <c r="Y86" s="5"/>
      <c r="Z86" s="5"/>
      <c r="CT86" s="5"/>
      <c r="CU86" s="5"/>
      <c r="CV86" s="5"/>
      <c r="CW86" s="5"/>
      <c r="CY86" s="5"/>
      <c r="CZ86" s="5"/>
      <c r="DA86" s="5"/>
      <c r="DB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</row>
    <row r="87" spans="23:121" ht="12.75">
      <c r="W87" s="5"/>
      <c r="X87" s="5"/>
      <c r="Y87" s="5"/>
      <c r="Z87" s="5"/>
      <c r="CT87" s="5"/>
      <c r="CU87" s="5"/>
      <c r="CV87" s="5"/>
      <c r="CW87" s="5"/>
      <c r="CY87" s="5"/>
      <c r="CZ87" s="5"/>
      <c r="DA87" s="5"/>
      <c r="DB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</row>
    <row r="88" spans="23:121" ht="12.75">
      <c r="W88" s="5"/>
      <c r="X88" s="5"/>
      <c r="Y88" s="5"/>
      <c r="Z88" s="5"/>
      <c r="CT88" s="5"/>
      <c r="CU88" s="5"/>
      <c r="CV88" s="5"/>
      <c r="CW88" s="5"/>
      <c r="CY88" s="5"/>
      <c r="CZ88" s="5"/>
      <c r="DA88" s="5"/>
      <c r="DB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</row>
    <row r="89" spans="23:121" ht="12.75">
      <c r="W89" s="5"/>
      <c r="X89" s="5"/>
      <c r="Y89" s="5"/>
      <c r="Z89" s="5"/>
      <c r="CT89" s="5"/>
      <c r="CU89" s="5"/>
      <c r="CV89" s="5"/>
      <c r="CW89" s="5"/>
      <c r="CY89" s="5"/>
      <c r="CZ89" s="5"/>
      <c r="DA89" s="5"/>
      <c r="DB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</row>
    <row r="90" spans="23:121" ht="12.75">
      <c r="W90" s="5"/>
      <c r="X90" s="5"/>
      <c r="Y90" s="5"/>
      <c r="Z90" s="5"/>
      <c r="CT90" s="5"/>
      <c r="CU90" s="5"/>
      <c r="CV90" s="5"/>
      <c r="CW90" s="5"/>
      <c r="CY90" s="5"/>
      <c r="CZ90" s="5"/>
      <c r="DA90" s="5"/>
      <c r="DB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</row>
    <row r="91" spans="23:121" ht="12.75">
      <c r="W91" s="5"/>
      <c r="X91" s="5"/>
      <c r="Y91" s="5"/>
      <c r="Z91" s="5"/>
      <c r="CT91" s="5"/>
      <c r="CU91" s="5"/>
      <c r="CV91" s="5"/>
      <c r="CW91" s="5"/>
      <c r="CY91" s="5"/>
      <c r="CZ91" s="5"/>
      <c r="DA91" s="5"/>
      <c r="DB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</row>
    <row r="92" spans="23:121" ht="12.75">
      <c r="W92" s="5"/>
      <c r="X92" s="5"/>
      <c r="Y92" s="5"/>
      <c r="Z92" s="5"/>
      <c r="CT92" s="5"/>
      <c r="CU92" s="5"/>
      <c r="CV92" s="5"/>
      <c r="CW92" s="5"/>
      <c r="CY92" s="5"/>
      <c r="CZ92" s="5"/>
      <c r="DA92" s="5"/>
      <c r="DB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</row>
    <row r="93" spans="23:121" ht="12.75">
      <c r="W93" s="5"/>
      <c r="X93" s="5"/>
      <c r="Y93" s="5"/>
      <c r="Z93" s="5"/>
      <c r="CT93" s="5"/>
      <c r="CU93" s="5"/>
      <c r="CV93" s="5"/>
      <c r="CW93" s="5"/>
      <c r="CY93" s="5"/>
      <c r="CZ93" s="5"/>
      <c r="DA93" s="5"/>
      <c r="DB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</row>
    <row r="94" spans="23:121" ht="12.75">
      <c r="W94" s="5"/>
      <c r="X94" s="5"/>
      <c r="Y94" s="5"/>
      <c r="Z94" s="5"/>
      <c r="CT94" s="5"/>
      <c r="CU94" s="5"/>
      <c r="CV94" s="5"/>
      <c r="CW94" s="5"/>
      <c r="CY94" s="5"/>
      <c r="CZ94" s="5"/>
      <c r="DA94" s="5"/>
      <c r="DB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</row>
    <row r="95" spans="23:121" ht="12.75">
      <c r="W95" s="5"/>
      <c r="X95" s="5"/>
      <c r="Y95" s="5"/>
      <c r="Z95" s="5"/>
      <c r="CT95" s="5"/>
      <c r="CU95" s="5"/>
      <c r="CV95" s="5"/>
      <c r="CW95" s="5"/>
      <c r="CY95" s="5"/>
      <c r="CZ95" s="5"/>
      <c r="DA95" s="5"/>
      <c r="DB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</row>
    <row r="96" spans="23:121" ht="12.75">
      <c r="W96" s="5"/>
      <c r="X96" s="5"/>
      <c r="Y96" s="5"/>
      <c r="Z96" s="5"/>
      <c r="CT96" s="5"/>
      <c r="CU96" s="5"/>
      <c r="CV96" s="5"/>
      <c r="CW96" s="5"/>
      <c r="CY96" s="5"/>
      <c r="CZ96" s="5"/>
      <c r="DA96" s="5"/>
      <c r="DB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</row>
    <row r="97" spans="23:121" ht="12.75">
      <c r="W97" s="5"/>
      <c r="X97" s="5"/>
      <c r="Y97" s="5"/>
      <c r="Z97" s="5"/>
      <c r="CT97" s="5"/>
      <c r="CU97" s="5"/>
      <c r="CV97" s="5"/>
      <c r="CW97" s="5"/>
      <c r="CY97" s="5"/>
      <c r="CZ97" s="5"/>
      <c r="DA97" s="5"/>
      <c r="DB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</row>
    <row r="98" spans="23:121" ht="12.75">
      <c r="W98" s="5"/>
      <c r="X98" s="5"/>
      <c r="Y98" s="5"/>
      <c r="Z98" s="5"/>
      <c r="CT98" s="5"/>
      <c r="CU98" s="5"/>
      <c r="CV98" s="5"/>
      <c r="CW98" s="5"/>
      <c r="CY98" s="5"/>
      <c r="CZ98" s="5"/>
      <c r="DA98" s="5"/>
      <c r="DB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</row>
    <row r="99" spans="23:121" ht="12.75">
      <c r="W99" s="5"/>
      <c r="X99" s="5"/>
      <c r="Y99" s="5"/>
      <c r="Z99" s="5"/>
      <c r="CT99" s="5"/>
      <c r="CU99" s="5"/>
      <c r="CV99" s="5"/>
      <c r="CW99" s="5"/>
      <c r="CY99" s="5"/>
      <c r="CZ99" s="5"/>
      <c r="DA99" s="5"/>
      <c r="DB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</row>
    <row r="100" spans="23:121" ht="12.75">
      <c r="W100" s="5"/>
      <c r="X100" s="5"/>
      <c r="Y100" s="5"/>
      <c r="Z100" s="5"/>
      <c r="CT100" s="5"/>
      <c r="CU100" s="5"/>
      <c r="CV100" s="5"/>
      <c r="CW100" s="5"/>
      <c r="CY100" s="5"/>
      <c r="CZ100" s="5"/>
      <c r="DA100" s="5"/>
      <c r="DB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</row>
    <row r="101" spans="23:121" ht="12.75">
      <c r="W101" s="5"/>
      <c r="X101" s="5"/>
      <c r="Y101" s="5"/>
      <c r="Z101" s="5"/>
      <c r="CT101" s="5"/>
      <c r="CU101" s="5"/>
      <c r="CV101" s="5"/>
      <c r="CW101" s="5"/>
      <c r="CY101" s="5"/>
      <c r="CZ101" s="5"/>
      <c r="DA101" s="5"/>
      <c r="DB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</row>
    <row r="102" spans="23:121" ht="12.75">
      <c r="W102" s="5"/>
      <c r="X102" s="5"/>
      <c r="Y102" s="5"/>
      <c r="Z102" s="5"/>
      <c r="CT102" s="5"/>
      <c r="CU102" s="5"/>
      <c r="CV102" s="5"/>
      <c r="CW102" s="5"/>
      <c r="CY102" s="5"/>
      <c r="CZ102" s="5"/>
      <c r="DA102" s="5"/>
      <c r="DB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</row>
    <row r="103" spans="23:121" ht="12.75">
      <c r="W103" s="5"/>
      <c r="X103" s="5"/>
      <c r="Y103" s="5"/>
      <c r="Z103" s="5"/>
      <c r="CT103" s="5"/>
      <c r="CU103" s="5"/>
      <c r="CV103" s="5"/>
      <c r="CW103" s="5"/>
      <c r="CY103" s="5"/>
      <c r="CZ103" s="5"/>
      <c r="DA103" s="5"/>
      <c r="DB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</row>
    <row r="104" spans="23:121" ht="12.75">
      <c r="W104" s="5"/>
      <c r="X104" s="5"/>
      <c r="Y104" s="5"/>
      <c r="Z104" s="5"/>
      <c r="CT104" s="5"/>
      <c r="CU104" s="5"/>
      <c r="CV104" s="5"/>
      <c r="CW104" s="5"/>
      <c r="CY104" s="5"/>
      <c r="CZ104" s="5"/>
      <c r="DA104" s="5"/>
      <c r="DB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</row>
    <row r="105" spans="23:121" ht="12.75">
      <c r="W105" s="5"/>
      <c r="X105" s="5"/>
      <c r="Y105" s="5"/>
      <c r="Z105" s="5"/>
      <c r="CT105" s="5"/>
      <c r="CU105" s="5"/>
      <c r="CV105" s="5"/>
      <c r="CW105" s="5"/>
      <c r="CY105" s="5"/>
      <c r="CZ105" s="5"/>
      <c r="DA105" s="5"/>
      <c r="DB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</row>
    <row r="106" spans="23:121" ht="12.75">
      <c r="W106" s="5"/>
      <c r="X106" s="5"/>
      <c r="Y106" s="5"/>
      <c r="Z106" s="5"/>
      <c r="CT106" s="5"/>
      <c r="CU106" s="5"/>
      <c r="CV106" s="5"/>
      <c r="CW106" s="5"/>
      <c r="CY106" s="5"/>
      <c r="CZ106" s="5"/>
      <c r="DA106" s="5"/>
      <c r="DB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</row>
    <row r="107" spans="23:121" ht="12.75">
      <c r="W107" s="5"/>
      <c r="X107" s="5"/>
      <c r="Y107" s="5"/>
      <c r="Z107" s="5"/>
      <c r="CT107" s="5"/>
      <c r="CU107" s="5"/>
      <c r="CV107" s="5"/>
      <c r="CW107" s="5"/>
      <c r="CY107" s="5"/>
      <c r="CZ107" s="5"/>
      <c r="DA107" s="5"/>
      <c r="DB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</row>
    <row r="108" spans="23:121" ht="12.75">
      <c r="W108" s="5"/>
      <c r="X108" s="5"/>
      <c r="Y108" s="5"/>
      <c r="Z108" s="5"/>
      <c r="CT108" s="5"/>
      <c r="CU108" s="5"/>
      <c r="CV108" s="5"/>
      <c r="CW108" s="5"/>
      <c r="CY108" s="5"/>
      <c r="CZ108" s="5"/>
      <c r="DA108" s="5"/>
      <c r="DB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</row>
    <row r="109" spans="23:121" ht="12.75">
      <c r="W109" s="5"/>
      <c r="X109" s="5"/>
      <c r="Y109" s="5"/>
      <c r="Z109" s="5"/>
      <c r="CT109" s="5"/>
      <c r="CU109" s="5"/>
      <c r="CV109" s="5"/>
      <c r="CW109" s="5"/>
      <c r="CY109" s="5"/>
      <c r="CZ109" s="5"/>
      <c r="DA109" s="5"/>
      <c r="DB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</row>
    <row r="110" spans="23:121" ht="12.75">
      <c r="W110" s="5"/>
      <c r="X110" s="5"/>
      <c r="Y110" s="5"/>
      <c r="Z110" s="5"/>
      <c r="CT110" s="5"/>
      <c r="CU110" s="5"/>
      <c r="CV110" s="5"/>
      <c r="CW110" s="5"/>
      <c r="CY110" s="5"/>
      <c r="CZ110" s="5"/>
      <c r="DA110" s="5"/>
      <c r="DB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</row>
    <row r="111" spans="23:121" ht="12.75">
      <c r="W111" s="5"/>
      <c r="X111" s="5"/>
      <c r="Y111" s="5"/>
      <c r="Z111" s="5"/>
      <c r="CT111" s="5"/>
      <c r="CU111" s="5"/>
      <c r="CV111" s="5"/>
      <c r="CW111" s="5"/>
      <c r="CY111" s="5"/>
      <c r="CZ111" s="5"/>
      <c r="DA111" s="5"/>
      <c r="DB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</row>
    <row r="112" spans="23:121" ht="12.75">
      <c r="W112" s="5"/>
      <c r="X112" s="5"/>
      <c r="Y112" s="5"/>
      <c r="Z112" s="5"/>
      <c r="CT112" s="5"/>
      <c r="CU112" s="5"/>
      <c r="CV112" s="5"/>
      <c r="CW112" s="5"/>
      <c r="CY112" s="5"/>
      <c r="CZ112" s="5"/>
      <c r="DA112" s="5"/>
      <c r="DB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</row>
    <row r="113" spans="23:121" ht="12.75">
      <c r="W113" s="5"/>
      <c r="X113" s="5"/>
      <c r="Y113" s="5"/>
      <c r="Z113" s="5"/>
      <c r="CT113" s="5"/>
      <c r="CU113" s="5"/>
      <c r="CV113" s="5"/>
      <c r="CW113" s="5"/>
      <c r="CY113" s="5"/>
      <c r="CZ113" s="5"/>
      <c r="DA113" s="5"/>
      <c r="DB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</row>
    <row r="114" spans="23:121" ht="12.75">
      <c r="W114" s="5"/>
      <c r="X114" s="5"/>
      <c r="Y114" s="5"/>
      <c r="Z114" s="5"/>
      <c r="CT114" s="5"/>
      <c r="CU114" s="5"/>
      <c r="CV114" s="5"/>
      <c r="CW114" s="5"/>
      <c r="CY114" s="5"/>
      <c r="CZ114" s="5"/>
      <c r="DA114" s="5"/>
      <c r="DB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</row>
    <row r="115" spans="23:121" ht="12.75">
      <c r="W115" s="5"/>
      <c r="X115" s="5"/>
      <c r="Y115" s="5"/>
      <c r="Z115" s="5"/>
      <c r="CT115" s="5"/>
      <c r="CU115" s="5"/>
      <c r="CV115" s="5"/>
      <c r="CW115" s="5"/>
      <c r="CY115" s="5"/>
      <c r="CZ115" s="5"/>
      <c r="DA115" s="5"/>
      <c r="DB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</row>
    <row r="116" spans="23:121" ht="12.75">
      <c r="W116" s="5"/>
      <c r="X116" s="5"/>
      <c r="Y116" s="5"/>
      <c r="Z116" s="5"/>
      <c r="CT116" s="5"/>
      <c r="CU116" s="5"/>
      <c r="CV116" s="5"/>
      <c r="CW116" s="5"/>
      <c r="CY116" s="5"/>
      <c r="CZ116" s="5"/>
      <c r="DA116" s="5"/>
      <c r="DB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</row>
    <row r="117" spans="23:121" ht="12.75">
      <c r="W117" s="5"/>
      <c r="X117" s="5"/>
      <c r="Y117" s="5"/>
      <c r="Z117" s="5"/>
      <c r="CT117" s="5"/>
      <c r="CU117" s="5"/>
      <c r="CV117" s="5"/>
      <c r="CW117" s="5"/>
      <c r="CY117" s="5"/>
      <c r="CZ117" s="5"/>
      <c r="DA117" s="5"/>
      <c r="DB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</row>
    <row r="118" spans="23:121" ht="12.75">
      <c r="W118" s="5"/>
      <c r="X118" s="5"/>
      <c r="Y118" s="5"/>
      <c r="Z118" s="5"/>
      <c r="CT118" s="5"/>
      <c r="CU118" s="5"/>
      <c r="CV118" s="5"/>
      <c r="CW118" s="5"/>
      <c r="CY118" s="5"/>
      <c r="CZ118" s="5"/>
      <c r="DA118" s="5"/>
      <c r="DB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</row>
    <row r="119" spans="23:121" ht="12.75">
      <c r="W119" s="5"/>
      <c r="X119" s="5"/>
      <c r="Y119" s="5"/>
      <c r="Z119" s="5"/>
      <c r="CT119" s="5"/>
      <c r="CU119" s="5"/>
      <c r="CV119" s="5"/>
      <c r="CW119" s="5"/>
      <c r="CY119" s="5"/>
      <c r="CZ119" s="5"/>
      <c r="DA119" s="5"/>
      <c r="DB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</row>
    <row r="120" spans="23:121" ht="12.75">
      <c r="W120" s="5"/>
      <c r="X120" s="5"/>
      <c r="Y120" s="5"/>
      <c r="Z120" s="5"/>
      <c r="CT120" s="5"/>
      <c r="CU120" s="5"/>
      <c r="CV120" s="5"/>
      <c r="CW120" s="5"/>
      <c r="CY120" s="5"/>
      <c r="CZ120" s="5"/>
      <c r="DA120" s="5"/>
      <c r="DB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</row>
    <row r="121" spans="23:121" ht="12.75">
      <c r="W121" s="5"/>
      <c r="X121" s="5"/>
      <c r="Y121" s="5"/>
      <c r="Z121" s="5"/>
      <c r="CT121" s="5"/>
      <c r="CU121" s="5"/>
      <c r="CV121" s="5"/>
      <c r="CW121" s="5"/>
      <c r="CY121" s="5"/>
      <c r="CZ121" s="5"/>
      <c r="DA121" s="5"/>
      <c r="DB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</row>
    <row r="122" spans="23:121" ht="12.75">
      <c r="W122" s="5"/>
      <c r="X122" s="5"/>
      <c r="Y122" s="5"/>
      <c r="Z122" s="5"/>
      <c r="CT122" s="5"/>
      <c r="CU122" s="5"/>
      <c r="CV122" s="5"/>
      <c r="CW122" s="5"/>
      <c r="CY122" s="5"/>
      <c r="CZ122" s="5"/>
      <c r="DA122" s="5"/>
      <c r="DB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</row>
    <row r="123" spans="23:121" ht="12.75">
      <c r="W123" s="5"/>
      <c r="X123" s="5"/>
      <c r="Y123" s="5"/>
      <c r="Z123" s="5"/>
      <c r="CT123" s="5"/>
      <c r="CU123" s="5"/>
      <c r="CV123" s="5"/>
      <c r="CW123" s="5"/>
      <c r="CY123" s="5"/>
      <c r="CZ123" s="5"/>
      <c r="DA123" s="5"/>
      <c r="DB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</row>
    <row r="124" spans="23:121" ht="12.75">
      <c r="W124" s="5"/>
      <c r="X124" s="5"/>
      <c r="Y124" s="5"/>
      <c r="Z124" s="5"/>
      <c r="CT124" s="5"/>
      <c r="CU124" s="5"/>
      <c r="CV124" s="5"/>
      <c r="CW124" s="5"/>
      <c r="CY124" s="5"/>
      <c r="CZ124" s="5"/>
      <c r="DA124" s="5"/>
      <c r="DB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</row>
    <row r="125" spans="23:121" ht="12.75">
      <c r="W125" s="5"/>
      <c r="X125" s="5"/>
      <c r="Y125" s="5"/>
      <c r="Z125" s="5"/>
      <c r="CT125" s="5"/>
      <c r="CU125" s="5"/>
      <c r="CV125" s="5"/>
      <c r="CW125" s="5"/>
      <c r="CY125" s="5"/>
      <c r="CZ125" s="5"/>
      <c r="DA125" s="5"/>
      <c r="DB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</row>
    <row r="126" spans="23:121" ht="12.75">
      <c r="W126" s="5"/>
      <c r="X126" s="5"/>
      <c r="Y126" s="5"/>
      <c r="Z126" s="5"/>
      <c r="CT126" s="5"/>
      <c r="CU126" s="5"/>
      <c r="CV126" s="5"/>
      <c r="CW126" s="5"/>
      <c r="CY126" s="5"/>
      <c r="CZ126" s="5"/>
      <c r="DA126" s="5"/>
      <c r="DB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</row>
    <row r="127" spans="23:121" ht="12.75">
      <c r="W127" s="5"/>
      <c r="X127" s="5"/>
      <c r="Y127" s="5"/>
      <c r="Z127" s="5"/>
      <c r="CT127" s="5"/>
      <c r="CU127" s="5"/>
      <c r="CV127" s="5"/>
      <c r="CW127" s="5"/>
      <c r="CY127" s="5"/>
      <c r="CZ127" s="5"/>
      <c r="DA127" s="5"/>
      <c r="DB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</row>
    <row r="128" spans="23:121" ht="12.75">
      <c r="W128" s="5"/>
      <c r="X128" s="5"/>
      <c r="Y128" s="5"/>
      <c r="Z128" s="5"/>
      <c r="CT128" s="5"/>
      <c r="CU128" s="5"/>
      <c r="CV128" s="5"/>
      <c r="CW128" s="5"/>
      <c r="CY128" s="5"/>
      <c r="CZ128" s="5"/>
      <c r="DA128" s="5"/>
      <c r="DB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</row>
    <row r="129" spans="23:121" ht="12.75">
      <c r="W129" s="5"/>
      <c r="X129" s="5"/>
      <c r="Y129" s="5"/>
      <c r="Z129" s="5"/>
      <c r="CT129" s="5"/>
      <c r="CU129" s="5"/>
      <c r="CV129" s="5"/>
      <c r="CW129" s="5"/>
      <c r="CY129" s="5"/>
      <c r="CZ129" s="5"/>
      <c r="DA129" s="5"/>
      <c r="DB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</row>
    <row r="130" spans="23:121" ht="12.75">
      <c r="W130" s="5"/>
      <c r="X130" s="5"/>
      <c r="Y130" s="5"/>
      <c r="Z130" s="5"/>
      <c r="CT130" s="5"/>
      <c r="CU130" s="5"/>
      <c r="CV130" s="5"/>
      <c r="CW130" s="5"/>
      <c r="CY130" s="5"/>
      <c r="CZ130" s="5"/>
      <c r="DA130" s="5"/>
      <c r="DB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</row>
    <row r="131" spans="23:121" ht="12.75">
      <c r="W131" s="5"/>
      <c r="X131" s="5"/>
      <c r="Y131" s="5"/>
      <c r="Z131" s="5"/>
      <c r="CT131" s="5"/>
      <c r="CU131" s="5"/>
      <c r="CV131" s="5"/>
      <c r="CW131" s="5"/>
      <c r="CY131" s="5"/>
      <c r="CZ131" s="5"/>
      <c r="DA131" s="5"/>
      <c r="DB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</row>
    <row r="132" spans="23:121" ht="12.75">
      <c r="W132" s="5"/>
      <c r="X132" s="5"/>
      <c r="Y132" s="5"/>
      <c r="Z132" s="5"/>
      <c r="CT132" s="5"/>
      <c r="CU132" s="5"/>
      <c r="CV132" s="5"/>
      <c r="CW132" s="5"/>
      <c r="CY132" s="5"/>
      <c r="CZ132" s="5"/>
      <c r="DA132" s="5"/>
      <c r="DB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</row>
    <row r="133" spans="23:121" ht="12.75">
      <c r="W133" s="5"/>
      <c r="X133" s="5"/>
      <c r="Y133" s="5"/>
      <c r="Z133" s="5"/>
      <c r="CT133" s="5"/>
      <c r="CU133" s="5"/>
      <c r="CV133" s="5"/>
      <c r="CW133" s="5"/>
      <c r="CY133" s="5"/>
      <c r="CZ133" s="5"/>
      <c r="DA133" s="5"/>
      <c r="DB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</row>
    <row r="134" spans="23:121" ht="12.75">
      <c r="W134" s="5"/>
      <c r="X134" s="5"/>
      <c r="Y134" s="5"/>
      <c r="Z134" s="5"/>
      <c r="CT134" s="5"/>
      <c r="CU134" s="5"/>
      <c r="CV134" s="5"/>
      <c r="CW134" s="5"/>
      <c r="CY134" s="5"/>
      <c r="CZ134" s="5"/>
      <c r="DA134" s="5"/>
      <c r="DB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</row>
    <row r="135" spans="23:121" ht="12.75">
      <c r="W135" s="5"/>
      <c r="X135" s="5"/>
      <c r="Y135" s="5"/>
      <c r="Z135" s="5"/>
      <c r="CT135" s="5"/>
      <c r="CU135" s="5"/>
      <c r="CV135" s="5"/>
      <c r="CW135" s="5"/>
      <c r="CY135" s="5"/>
      <c r="CZ135" s="5"/>
      <c r="DA135" s="5"/>
      <c r="DB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</row>
    <row r="136" spans="23:121" ht="12.75">
      <c r="W136" s="5"/>
      <c r="X136" s="5"/>
      <c r="Y136" s="5"/>
      <c r="Z136" s="5"/>
      <c r="CT136" s="5"/>
      <c r="CU136" s="5"/>
      <c r="CV136" s="5"/>
      <c r="CW136" s="5"/>
      <c r="CY136" s="5"/>
      <c r="CZ136" s="5"/>
      <c r="DA136" s="5"/>
      <c r="DB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</row>
    <row r="137" spans="23:121" ht="12.75">
      <c r="W137" s="5"/>
      <c r="X137" s="5"/>
      <c r="Y137" s="5"/>
      <c r="Z137" s="5"/>
      <c r="CT137" s="5"/>
      <c r="CU137" s="5"/>
      <c r="CV137" s="5"/>
      <c r="CW137" s="5"/>
      <c r="CY137" s="5"/>
      <c r="CZ137" s="5"/>
      <c r="DA137" s="5"/>
      <c r="DB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</row>
    <row r="138" spans="23:121" ht="12.75">
      <c r="W138" s="5"/>
      <c r="X138" s="5"/>
      <c r="Y138" s="5"/>
      <c r="Z138" s="5"/>
      <c r="CT138" s="5"/>
      <c r="CU138" s="5"/>
      <c r="CV138" s="5"/>
      <c r="CW138" s="5"/>
      <c r="CY138" s="5"/>
      <c r="CZ138" s="5"/>
      <c r="DA138" s="5"/>
      <c r="DB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</row>
    <row r="139" spans="23:121" ht="12.75">
      <c r="W139" s="5"/>
      <c r="X139" s="5"/>
      <c r="Y139" s="5"/>
      <c r="Z139" s="5"/>
      <c r="CT139" s="5"/>
      <c r="CU139" s="5"/>
      <c r="CV139" s="5"/>
      <c r="CW139" s="5"/>
      <c r="CY139" s="5"/>
      <c r="CZ139" s="5"/>
      <c r="DA139" s="5"/>
      <c r="DB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</row>
    <row r="140" spans="23:121" ht="12.75">
      <c r="W140" s="5"/>
      <c r="X140" s="5"/>
      <c r="Y140" s="5"/>
      <c r="Z140" s="5"/>
      <c r="CT140" s="5"/>
      <c r="CU140" s="5"/>
      <c r="CV140" s="5"/>
      <c r="CW140" s="5"/>
      <c r="CY140" s="5"/>
      <c r="CZ140" s="5"/>
      <c r="DA140" s="5"/>
      <c r="DB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</row>
    <row r="141" spans="23:121" ht="12.75">
      <c r="W141" s="5"/>
      <c r="X141" s="5"/>
      <c r="Y141" s="5"/>
      <c r="Z141" s="5"/>
      <c r="CT141" s="5"/>
      <c r="CU141" s="5"/>
      <c r="CV141" s="5"/>
      <c r="CW141" s="5"/>
      <c r="CY141" s="5"/>
      <c r="CZ141" s="5"/>
      <c r="DA141" s="5"/>
      <c r="DB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</row>
    <row r="142" spans="23:121" ht="12.75">
      <c r="W142" s="5"/>
      <c r="X142" s="5"/>
      <c r="Y142" s="5"/>
      <c r="Z142" s="5"/>
      <c r="CT142" s="5"/>
      <c r="CU142" s="5"/>
      <c r="CV142" s="5"/>
      <c r="CW142" s="5"/>
      <c r="CY142" s="5"/>
      <c r="CZ142" s="5"/>
      <c r="DA142" s="5"/>
      <c r="DB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</row>
    <row r="143" spans="23:121" ht="12.75">
      <c r="W143" s="5"/>
      <c r="X143" s="5"/>
      <c r="Y143" s="5"/>
      <c r="Z143" s="5"/>
      <c r="CT143" s="5"/>
      <c r="CU143" s="5"/>
      <c r="CV143" s="5"/>
      <c r="CW143" s="5"/>
      <c r="CY143" s="5"/>
      <c r="CZ143" s="5"/>
      <c r="DA143" s="5"/>
      <c r="DB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</row>
    <row r="144" spans="23:121" ht="12.75">
      <c r="W144" s="5"/>
      <c r="X144" s="5"/>
      <c r="Y144" s="5"/>
      <c r="Z144" s="5"/>
      <c r="CT144" s="5"/>
      <c r="CU144" s="5"/>
      <c r="CV144" s="5"/>
      <c r="CW144" s="5"/>
      <c r="CY144" s="5"/>
      <c r="CZ144" s="5"/>
      <c r="DA144" s="5"/>
      <c r="DB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</row>
    <row r="145" spans="23:121" ht="12.75">
      <c r="W145" s="5"/>
      <c r="X145" s="5"/>
      <c r="Y145" s="5"/>
      <c r="Z145" s="5"/>
      <c r="CT145" s="5"/>
      <c r="CU145" s="5"/>
      <c r="CV145" s="5"/>
      <c r="CW145" s="5"/>
      <c r="CY145" s="5"/>
      <c r="CZ145" s="5"/>
      <c r="DA145" s="5"/>
      <c r="DB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</row>
    <row r="146" spans="23:121" ht="12.75">
      <c r="W146" s="5"/>
      <c r="X146" s="5"/>
      <c r="Y146" s="5"/>
      <c r="Z146" s="5"/>
      <c r="CT146" s="5"/>
      <c r="CU146" s="5"/>
      <c r="CV146" s="5"/>
      <c r="CW146" s="5"/>
      <c r="CY146" s="5"/>
      <c r="CZ146" s="5"/>
      <c r="DA146" s="5"/>
      <c r="DB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</row>
    <row r="147" spans="23:121" ht="12.75">
      <c r="W147" s="5"/>
      <c r="X147" s="5"/>
      <c r="Y147" s="5"/>
      <c r="Z147" s="5"/>
      <c r="CT147" s="5"/>
      <c r="CU147" s="5"/>
      <c r="CV147" s="5"/>
      <c r="CW147" s="5"/>
      <c r="CY147" s="5"/>
      <c r="CZ147" s="5"/>
      <c r="DA147" s="5"/>
      <c r="DB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</row>
    <row r="148" spans="23:121" ht="12.75">
      <c r="W148" s="5"/>
      <c r="X148" s="5"/>
      <c r="Y148" s="5"/>
      <c r="Z148" s="5"/>
      <c r="CT148" s="5"/>
      <c r="CU148" s="5"/>
      <c r="CV148" s="5"/>
      <c r="CW148" s="5"/>
      <c r="CY148" s="5"/>
      <c r="CZ148" s="5"/>
      <c r="DA148" s="5"/>
      <c r="DB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</row>
    <row r="149" spans="23:121" ht="12.75">
      <c r="W149" s="5"/>
      <c r="X149" s="5"/>
      <c r="Y149" s="5"/>
      <c r="Z149" s="5"/>
      <c r="CT149" s="5"/>
      <c r="CU149" s="5"/>
      <c r="CV149" s="5"/>
      <c r="CW149" s="5"/>
      <c r="CY149" s="5"/>
      <c r="CZ149" s="5"/>
      <c r="DA149" s="5"/>
      <c r="DB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</row>
    <row r="150" spans="23:121" ht="12.75">
      <c r="W150" s="5"/>
      <c r="X150" s="5"/>
      <c r="Y150" s="5"/>
      <c r="Z150" s="5"/>
      <c r="CT150" s="5"/>
      <c r="CU150" s="5"/>
      <c r="CV150" s="5"/>
      <c r="CW150" s="5"/>
      <c r="CY150" s="5"/>
      <c r="CZ150" s="5"/>
      <c r="DA150" s="5"/>
      <c r="DB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</row>
    <row r="151" spans="23:121" ht="12.75">
      <c r="W151" s="5"/>
      <c r="X151" s="5"/>
      <c r="Y151" s="5"/>
      <c r="Z151" s="5"/>
      <c r="CT151" s="5"/>
      <c r="CU151" s="5"/>
      <c r="CV151" s="5"/>
      <c r="CW151" s="5"/>
      <c r="CY151" s="5"/>
      <c r="CZ151" s="5"/>
      <c r="DA151" s="5"/>
      <c r="DB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</row>
    <row r="152" spans="23:121" ht="12.75">
      <c r="W152" s="5"/>
      <c r="X152" s="5"/>
      <c r="Y152" s="5"/>
      <c r="Z152" s="5"/>
      <c r="CT152" s="5"/>
      <c r="CU152" s="5"/>
      <c r="CV152" s="5"/>
      <c r="CW152" s="5"/>
      <c r="CY152" s="5"/>
      <c r="CZ152" s="5"/>
      <c r="DA152" s="5"/>
      <c r="DB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</row>
    <row r="153" spans="23:121" ht="12.75">
      <c r="W153" s="5"/>
      <c r="X153" s="5"/>
      <c r="Y153" s="5"/>
      <c r="Z153" s="5"/>
      <c r="CT153" s="5"/>
      <c r="CU153" s="5"/>
      <c r="CV153" s="5"/>
      <c r="CW153" s="5"/>
      <c r="CY153" s="5"/>
      <c r="CZ153" s="5"/>
      <c r="DA153" s="5"/>
      <c r="DB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</row>
    <row r="154" spans="23:121" ht="12.75">
      <c r="W154" s="5"/>
      <c r="X154" s="5"/>
      <c r="Y154" s="5"/>
      <c r="Z154" s="5"/>
      <c r="CT154" s="5"/>
      <c r="CU154" s="5"/>
      <c r="CV154" s="5"/>
      <c r="CW154" s="5"/>
      <c r="CY154" s="5"/>
      <c r="CZ154" s="5"/>
      <c r="DA154" s="5"/>
      <c r="DB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</row>
    <row r="155" spans="23:121" ht="12.75">
      <c r="W155" s="5"/>
      <c r="X155" s="5"/>
      <c r="Y155" s="5"/>
      <c r="Z155" s="5"/>
      <c r="CT155" s="5"/>
      <c r="CU155" s="5"/>
      <c r="CV155" s="5"/>
      <c r="CW155" s="5"/>
      <c r="CY155" s="5"/>
      <c r="CZ155" s="5"/>
      <c r="DA155" s="5"/>
      <c r="DB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</row>
    <row r="156" spans="23:121" ht="12.75">
      <c r="W156" s="5"/>
      <c r="X156" s="5"/>
      <c r="Y156" s="5"/>
      <c r="Z156" s="5"/>
      <c r="CT156" s="5"/>
      <c r="CU156" s="5"/>
      <c r="CV156" s="5"/>
      <c r="CW156" s="5"/>
      <c r="CY156" s="5"/>
      <c r="CZ156" s="5"/>
      <c r="DA156" s="5"/>
      <c r="DB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</row>
    <row r="157" spans="23:121" ht="12.75">
      <c r="W157" s="5"/>
      <c r="X157" s="5"/>
      <c r="Y157" s="5"/>
      <c r="Z157" s="5"/>
      <c r="CT157" s="5"/>
      <c r="CU157" s="5"/>
      <c r="CV157" s="5"/>
      <c r="CW157" s="5"/>
      <c r="CY157" s="5"/>
      <c r="CZ157" s="5"/>
      <c r="DA157" s="5"/>
      <c r="DB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</row>
    <row r="158" spans="23:121" ht="12.75">
      <c r="W158" s="5"/>
      <c r="X158" s="5"/>
      <c r="Y158" s="5"/>
      <c r="Z158" s="5"/>
      <c r="CT158" s="5"/>
      <c r="CU158" s="5"/>
      <c r="CV158" s="5"/>
      <c r="CW158" s="5"/>
      <c r="CY158" s="5"/>
      <c r="CZ158" s="5"/>
      <c r="DA158" s="5"/>
      <c r="DB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</row>
    <row r="159" spans="23:121" ht="12.75">
      <c r="W159" s="5"/>
      <c r="X159" s="5"/>
      <c r="Y159" s="5"/>
      <c r="Z159" s="5"/>
      <c r="CT159" s="5"/>
      <c r="CU159" s="5"/>
      <c r="CV159" s="5"/>
      <c r="CW159" s="5"/>
      <c r="CY159" s="5"/>
      <c r="CZ159" s="5"/>
      <c r="DA159" s="5"/>
      <c r="DB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</row>
    <row r="160" spans="23:121" ht="12.75">
      <c r="W160" s="5"/>
      <c r="X160" s="5"/>
      <c r="Y160" s="5"/>
      <c r="Z160" s="5"/>
      <c r="CT160" s="5"/>
      <c r="CU160" s="5"/>
      <c r="CV160" s="5"/>
      <c r="CW160" s="5"/>
      <c r="CY160" s="5"/>
      <c r="CZ160" s="5"/>
      <c r="DA160" s="5"/>
      <c r="DB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</row>
    <row r="161" spans="23:121" ht="12.75">
      <c r="W161" s="5"/>
      <c r="X161" s="5"/>
      <c r="Y161" s="5"/>
      <c r="Z161" s="5"/>
      <c r="CT161" s="5"/>
      <c r="CU161" s="5"/>
      <c r="CV161" s="5"/>
      <c r="CW161" s="5"/>
      <c r="CY161" s="5"/>
      <c r="CZ161" s="5"/>
      <c r="DA161" s="5"/>
      <c r="DB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</row>
    <row r="162" spans="23:121" ht="12.75">
      <c r="W162" s="5"/>
      <c r="X162" s="5"/>
      <c r="Y162" s="5"/>
      <c r="Z162" s="5"/>
      <c r="CT162" s="5"/>
      <c r="CU162" s="5"/>
      <c r="CV162" s="5"/>
      <c r="CW162" s="5"/>
      <c r="CY162" s="5"/>
      <c r="CZ162" s="5"/>
      <c r="DA162" s="5"/>
      <c r="DB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</row>
    <row r="163" spans="23:121" ht="12.75">
      <c r="W163" s="5"/>
      <c r="X163" s="5"/>
      <c r="Y163" s="5"/>
      <c r="Z163" s="5"/>
      <c r="CT163" s="5"/>
      <c r="CU163" s="5"/>
      <c r="CV163" s="5"/>
      <c r="CW163" s="5"/>
      <c r="CY163" s="5"/>
      <c r="CZ163" s="5"/>
      <c r="DA163" s="5"/>
      <c r="DB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</row>
    <row r="164" spans="23:121" ht="12.75">
      <c r="W164" s="5"/>
      <c r="X164" s="5"/>
      <c r="Y164" s="5"/>
      <c r="Z164" s="5"/>
      <c r="CT164" s="5"/>
      <c r="CU164" s="5"/>
      <c r="CV164" s="5"/>
      <c r="CW164" s="5"/>
      <c r="CY164" s="5"/>
      <c r="CZ164" s="5"/>
      <c r="DA164" s="5"/>
      <c r="DB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</row>
    <row r="165" spans="23:121" ht="12.75">
      <c r="W165" s="5"/>
      <c r="X165" s="5"/>
      <c r="Y165" s="5"/>
      <c r="Z165" s="5"/>
      <c r="CT165" s="5"/>
      <c r="CU165" s="5"/>
      <c r="CV165" s="5"/>
      <c r="CW165" s="5"/>
      <c r="CY165" s="5"/>
      <c r="CZ165" s="5"/>
      <c r="DA165" s="5"/>
      <c r="DB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</row>
    <row r="166" spans="23:121" ht="12.75">
      <c r="W166" s="5"/>
      <c r="X166" s="5"/>
      <c r="Y166" s="5"/>
      <c r="Z166" s="5"/>
      <c r="CT166" s="5"/>
      <c r="CU166" s="5"/>
      <c r="CV166" s="5"/>
      <c r="CW166" s="5"/>
      <c r="CY166" s="5"/>
      <c r="CZ166" s="5"/>
      <c r="DA166" s="5"/>
      <c r="DB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</row>
    <row r="167" spans="23:121" ht="12.75">
      <c r="W167" s="5"/>
      <c r="X167" s="5"/>
      <c r="Y167" s="5"/>
      <c r="Z167" s="5"/>
      <c r="CT167" s="5"/>
      <c r="CU167" s="5"/>
      <c r="CV167" s="5"/>
      <c r="CW167" s="5"/>
      <c r="CY167" s="5"/>
      <c r="CZ167" s="5"/>
      <c r="DA167" s="5"/>
      <c r="DB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</row>
    <row r="168" spans="23:121" ht="12.75">
      <c r="W168" s="5"/>
      <c r="X168" s="5"/>
      <c r="Y168" s="5"/>
      <c r="Z168" s="5"/>
      <c r="CT168" s="5"/>
      <c r="CU168" s="5"/>
      <c r="CV168" s="5"/>
      <c r="CW168" s="5"/>
      <c r="CY168" s="5"/>
      <c r="CZ168" s="5"/>
      <c r="DA168" s="5"/>
      <c r="DB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</row>
    <row r="169" spans="23:121" ht="12.75">
      <c r="W169" s="5"/>
      <c r="X169" s="5"/>
      <c r="Y169" s="5"/>
      <c r="Z169" s="5"/>
      <c r="CT169" s="5"/>
      <c r="CU169" s="5"/>
      <c r="CV169" s="5"/>
      <c r="CW169" s="5"/>
      <c r="CY169" s="5"/>
      <c r="CZ169" s="5"/>
      <c r="DA169" s="5"/>
      <c r="DB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</row>
    <row r="170" spans="23:121" ht="12.75">
      <c r="W170" s="5"/>
      <c r="X170" s="5"/>
      <c r="Y170" s="5"/>
      <c r="Z170" s="5"/>
      <c r="CT170" s="5"/>
      <c r="CU170" s="5"/>
      <c r="CV170" s="5"/>
      <c r="CW170" s="5"/>
      <c r="CY170" s="5"/>
      <c r="CZ170" s="5"/>
      <c r="DA170" s="5"/>
      <c r="DB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</row>
    <row r="171" spans="23:121" ht="12.75">
      <c r="W171" s="5"/>
      <c r="X171" s="5"/>
      <c r="Y171" s="5"/>
      <c r="Z171" s="5"/>
      <c r="CT171" s="5"/>
      <c r="CU171" s="5"/>
      <c r="CV171" s="5"/>
      <c r="CW171" s="5"/>
      <c r="CY171" s="5"/>
      <c r="CZ171" s="5"/>
      <c r="DA171" s="5"/>
      <c r="DB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</row>
    <row r="172" spans="23:121" ht="12.75">
      <c r="W172" s="5"/>
      <c r="X172" s="5"/>
      <c r="Y172" s="5"/>
      <c r="Z172" s="5"/>
      <c r="CT172" s="5"/>
      <c r="CU172" s="5"/>
      <c r="CV172" s="5"/>
      <c r="CW172" s="5"/>
      <c r="CY172" s="5"/>
      <c r="CZ172" s="5"/>
      <c r="DA172" s="5"/>
      <c r="DB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</row>
    <row r="173" spans="23:121" ht="12.75">
      <c r="W173" s="5"/>
      <c r="X173" s="5"/>
      <c r="Y173" s="5"/>
      <c r="Z173" s="5"/>
      <c r="CT173" s="5"/>
      <c r="CU173" s="5"/>
      <c r="CV173" s="5"/>
      <c r="CW173" s="5"/>
      <c r="CY173" s="5"/>
      <c r="CZ173" s="5"/>
      <c r="DA173" s="5"/>
      <c r="DB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</row>
    <row r="174" spans="23:121" ht="12.75">
      <c r="W174" s="5"/>
      <c r="X174" s="5"/>
      <c r="Y174" s="5"/>
      <c r="Z174" s="5"/>
      <c r="CT174" s="5"/>
      <c r="CU174" s="5"/>
      <c r="CV174" s="5"/>
      <c r="CW174" s="5"/>
      <c r="CY174" s="5"/>
      <c r="CZ174" s="5"/>
      <c r="DA174" s="5"/>
      <c r="DB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</row>
    <row r="175" spans="23:121" ht="12.75">
      <c r="W175" s="5"/>
      <c r="X175" s="5"/>
      <c r="Y175" s="5"/>
      <c r="Z175" s="5"/>
      <c r="CT175" s="5"/>
      <c r="CU175" s="5"/>
      <c r="CV175" s="5"/>
      <c r="CW175" s="5"/>
      <c r="CY175" s="5"/>
      <c r="CZ175" s="5"/>
      <c r="DA175" s="5"/>
      <c r="DB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</row>
    <row r="176" spans="23:121" ht="12.75">
      <c r="W176" s="5"/>
      <c r="X176" s="5"/>
      <c r="Y176" s="5"/>
      <c r="Z176" s="5"/>
      <c r="CT176" s="5"/>
      <c r="CU176" s="5"/>
      <c r="CV176" s="5"/>
      <c r="CW176" s="5"/>
      <c r="CY176" s="5"/>
      <c r="CZ176" s="5"/>
      <c r="DA176" s="5"/>
      <c r="DB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</row>
    <row r="177" spans="23:121" ht="12.75">
      <c r="W177" s="5"/>
      <c r="X177" s="5"/>
      <c r="Y177" s="5"/>
      <c r="Z177" s="5"/>
      <c r="CT177" s="5"/>
      <c r="CU177" s="5"/>
      <c r="CV177" s="5"/>
      <c r="CW177" s="5"/>
      <c r="CY177" s="5"/>
      <c r="CZ177" s="5"/>
      <c r="DA177" s="5"/>
      <c r="DB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</row>
    <row r="178" spans="23:121" ht="12.75">
      <c r="W178" s="5"/>
      <c r="X178" s="5"/>
      <c r="Y178" s="5"/>
      <c r="Z178" s="5"/>
      <c r="CT178" s="5"/>
      <c r="CU178" s="5"/>
      <c r="CV178" s="5"/>
      <c r="CW178" s="5"/>
      <c r="CY178" s="5"/>
      <c r="CZ178" s="5"/>
      <c r="DA178" s="5"/>
      <c r="DB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</row>
    <row r="179" spans="23:121" ht="12.75">
      <c r="W179" s="5"/>
      <c r="X179" s="5"/>
      <c r="Y179" s="5"/>
      <c r="Z179" s="5"/>
      <c r="CT179" s="5"/>
      <c r="CU179" s="5"/>
      <c r="CV179" s="5"/>
      <c r="CW179" s="5"/>
      <c r="CY179" s="5"/>
      <c r="CZ179" s="5"/>
      <c r="DA179" s="5"/>
      <c r="DB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</row>
    <row r="180" spans="23:121" ht="12.75">
      <c r="W180" s="5"/>
      <c r="X180" s="5"/>
      <c r="Y180" s="5"/>
      <c r="Z180" s="5"/>
      <c r="CT180" s="5"/>
      <c r="CU180" s="5"/>
      <c r="CV180" s="5"/>
      <c r="CW180" s="5"/>
      <c r="CY180" s="5"/>
      <c r="CZ180" s="5"/>
      <c r="DA180" s="5"/>
      <c r="DB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</row>
    <row r="181" spans="23:121" ht="12.75">
      <c r="W181" s="5"/>
      <c r="X181" s="5"/>
      <c r="Y181" s="5"/>
      <c r="Z181" s="5"/>
      <c r="CT181" s="5"/>
      <c r="CU181" s="5"/>
      <c r="CV181" s="5"/>
      <c r="CW181" s="5"/>
      <c r="CY181" s="5"/>
      <c r="CZ181" s="5"/>
      <c r="DA181" s="5"/>
      <c r="DB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</row>
    <row r="182" spans="23:121" ht="12.75">
      <c r="W182" s="5"/>
      <c r="X182" s="5"/>
      <c r="Y182" s="5"/>
      <c r="Z182" s="5"/>
      <c r="CT182" s="5"/>
      <c r="CU182" s="5"/>
      <c r="CV182" s="5"/>
      <c r="CW182" s="5"/>
      <c r="CY182" s="5"/>
      <c r="CZ182" s="5"/>
      <c r="DA182" s="5"/>
      <c r="DB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</row>
    <row r="183" spans="23:121" ht="12.75">
      <c r="W183" s="5"/>
      <c r="X183" s="5"/>
      <c r="Y183" s="5"/>
      <c r="Z183" s="5"/>
      <c r="CT183" s="5"/>
      <c r="CU183" s="5"/>
      <c r="CV183" s="5"/>
      <c r="CW183" s="5"/>
      <c r="CY183" s="5"/>
      <c r="CZ183" s="5"/>
      <c r="DA183" s="5"/>
      <c r="DB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</row>
    <row r="184" spans="23:121" ht="12.75">
      <c r="W184" s="5"/>
      <c r="X184" s="5"/>
      <c r="Y184" s="5"/>
      <c r="Z184" s="5"/>
      <c r="CT184" s="5"/>
      <c r="CU184" s="5"/>
      <c r="CV184" s="5"/>
      <c r="CW184" s="5"/>
      <c r="CY184" s="5"/>
      <c r="CZ184" s="5"/>
      <c r="DA184" s="5"/>
      <c r="DB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</row>
    <row r="185" spans="23:121" ht="12.75">
      <c r="W185" s="5"/>
      <c r="X185" s="5"/>
      <c r="Y185" s="5"/>
      <c r="Z185" s="5"/>
      <c r="CT185" s="5"/>
      <c r="CU185" s="5"/>
      <c r="CV185" s="5"/>
      <c r="CW185" s="5"/>
      <c r="CY185" s="5"/>
      <c r="CZ185" s="5"/>
      <c r="DA185" s="5"/>
      <c r="DB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</row>
    <row r="186" spans="23:121" ht="12.75">
      <c r="W186" s="5"/>
      <c r="X186" s="5"/>
      <c r="Y186" s="5"/>
      <c r="Z186" s="5"/>
      <c r="CT186" s="5"/>
      <c r="CU186" s="5"/>
      <c r="CV186" s="5"/>
      <c r="CW186" s="5"/>
      <c r="CY186" s="5"/>
      <c r="CZ186" s="5"/>
      <c r="DA186" s="5"/>
      <c r="DB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</row>
    <row r="187" spans="23:121" ht="12.75">
      <c r="W187" s="5"/>
      <c r="X187" s="5"/>
      <c r="Y187" s="5"/>
      <c r="Z187" s="5"/>
      <c r="CT187" s="5"/>
      <c r="CU187" s="5"/>
      <c r="CV187" s="5"/>
      <c r="CW187" s="5"/>
      <c r="CY187" s="5"/>
      <c r="CZ187" s="5"/>
      <c r="DA187" s="5"/>
      <c r="DB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</row>
    <row r="188" spans="23:121" ht="12.75">
      <c r="W188" s="5"/>
      <c r="X188" s="5"/>
      <c r="Y188" s="5"/>
      <c r="Z188" s="5"/>
      <c r="CT188" s="5"/>
      <c r="CU188" s="5"/>
      <c r="CV188" s="5"/>
      <c r="CW188" s="5"/>
      <c r="CY188" s="5"/>
      <c r="CZ188" s="5"/>
      <c r="DA188" s="5"/>
      <c r="DB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</row>
    <row r="189" spans="23:121" ht="12.75">
      <c r="W189" s="5"/>
      <c r="X189" s="5"/>
      <c r="Y189" s="5"/>
      <c r="Z189" s="5"/>
      <c r="CT189" s="5"/>
      <c r="CU189" s="5"/>
      <c r="CV189" s="5"/>
      <c r="CW189" s="5"/>
      <c r="CY189" s="5"/>
      <c r="CZ189" s="5"/>
      <c r="DA189" s="5"/>
      <c r="DB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</row>
    <row r="190" spans="23:121" ht="12.75">
      <c r="W190" s="5"/>
      <c r="X190" s="5"/>
      <c r="Y190" s="5"/>
      <c r="Z190" s="5"/>
      <c r="CT190" s="5"/>
      <c r="CU190" s="5"/>
      <c r="CV190" s="5"/>
      <c r="CW190" s="5"/>
      <c r="CY190" s="5"/>
      <c r="CZ190" s="5"/>
      <c r="DA190" s="5"/>
      <c r="DB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</row>
    <row r="191" spans="23:121" ht="12.75">
      <c r="W191" s="5"/>
      <c r="X191" s="5"/>
      <c r="Y191" s="5"/>
      <c r="Z191" s="5"/>
      <c r="CT191" s="5"/>
      <c r="CU191" s="5"/>
      <c r="CV191" s="5"/>
      <c r="CW191" s="5"/>
      <c r="CY191" s="5"/>
      <c r="CZ191" s="5"/>
      <c r="DA191" s="5"/>
      <c r="DB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</row>
    <row r="192" spans="23:121" ht="12.75">
      <c r="W192" s="5"/>
      <c r="X192" s="5"/>
      <c r="Y192" s="5"/>
      <c r="Z192" s="5"/>
      <c r="CT192" s="5"/>
      <c r="CU192" s="5"/>
      <c r="CV192" s="5"/>
      <c r="CW192" s="5"/>
      <c r="CY192" s="5"/>
      <c r="CZ192" s="5"/>
      <c r="DA192" s="5"/>
      <c r="DB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</row>
    <row r="193" spans="23:121" ht="12.75">
      <c r="W193" s="5"/>
      <c r="X193" s="5"/>
      <c r="Y193" s="5"/>
      <c r="Z193" s="5"/>
      <c r="CT193" s="5"/>
      <c r="CU193" s="5"/>
      <c r="CV193" s="5"/>
      <c r="CW193" s="5"/>
      <c r="CY193" s="5"/>
      <c r="CZ193" s="5"/>
      <c r="DA193" s="5"/>
      <c r="DB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</row>
    <row r="194" spans="23:121" ht="12.75">
      <c r="W194" s="5"/>
      <c r="X194" s="5"/>
      <c r="Y194" s="5"/>
      <c r="Z194" s="5"/>
      <c r="CT194" s="5"/>
      <c r="CU194" s="5"/>
      <c r="CV194" s="5"/>
      <c r="CW194" s="5"/>
      <c r="CY194" s="5"/>
      <c r="CZ194" s="5"/>
      <c r="DA194" s="5"/>
      <c r="DB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</row>
    <row r="195" spans="23:121" ht="12.75">
      <c r="W195" s="5"/>
      <c r="X195" s="5"/>
      <c r="Y195" s="5"/>
      <c r="Z195" s="5"/>
      <c r="CT195" s="5"/>
      <c r="CU195" s="5"/>
      <c r="CV195" s="5"/>
      <c r="CW195" s="5"/>
      <c r="CY195" s="5"/>
      <c r="CZ195" s="5"/>
      <c r="DA195" s="5"/>
      <c r="DB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</row>
    <row r="196" spans="23:121" ht="12.75">
      <c r="W196" s="5"/>
      <c r="X196" s="5"/>
      <c r="Y196" s="5"/>
      <c r="Z196" s="5"/>
      <c r="CT196" s="5"/>
      <c r="CU196" s="5"/>
      <c r="CV196" s="5"/>
      <c r="CW196" s="5"/>
      <c r="CY196" s="5"/>
      <c r="CZ196" s="5"/>
      <c r="DA196" s="5"/>
      <c r="DB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</row>
    <row r="197" spans="23:121" ht="12.75">
      <c r="W197" s="5"/>
      <c r="X197" s="5"/>
      <c r="Y197" s="5"/>
      <c r="Z197" s="5"/>
      <c r="CT197" s="5"/>
      <c r="CU197" s="5"/>
      <c r="CV197" s="5"/>
      <c r="CW197" s="5"/>
      <c r="CY197" s="5"/>
      <c r="CZ197" s="5"/>
      <c r="DA197" s="5"/>
      <c r="DB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</row>
    <row r="198" spans="23:121" ht="12.75">
      <c r="W198" s="5"/>
      <c r="X198" s="5"/>
      <c r="Y198" s="5"/>
      <c r="Z198" s="5"/>
      <c r="CT198" s="5"/>
      <c r="CU198" s="5"/>
      <c r="CV198" s="5"/>
      <c r="CW198" s="5"/>
      <c r="CY198" s="5"/>
      <c r="CZ198" s="5"/>
      <c r="DA198" s="5"/>
      <c r="DB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</row>
    <row r="199" spans="23:121" ht="12.75">
      <c r="W199" s="5"/>
      <c r="X199" s="5"/>
      <c r="Y199" s="5"/>
      <c r="Z199" s="5"/>
      <c r="CT199" s="5"/>
      <c r="CU199" s="5"/>
      <c r="CV199" s="5"/>
      <c r="CW199" s="5"/>
      <c r="CY199" s="5"/>
      <c r="CZ199" s="5"/>
      <c r="DA199" s="5"/>
      <c r="DB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</row>
    <row r="200" spans="23:121" ht="12.75">
      <c r="W200" s="5"/>
      <c r="X200" s="5"/>
      <c r="Y200" s="5"/>
      <c r="Z200" s="5"/>
      <c r="CT200" s="5"/>
      <c r="CU200" s="5"/>
      <c r="CV200" s="5"/>
      <c r="CW200" s="5"/>
      <c r="CY200" s="5"/>
      <c r="CZ200" s="5"/>
      <c r="DA200" s="5"/>
      <c r="DB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</row>
    <row r="201" spans="23:121" ht="12.75">
      <c r="W201" s="5"/>
      <c r="X201" s="5"/>
      <c r="Y201" s="5"/>
      <c r="Z201" s="5"/>
      <c r="CT201" s="5"/>
      <c r="CU201" s="5"/>
      <c r="CV201" s="5"/>
      <c r="CW201" s="5"/>
      <c r="CY201" s="5"/>
      <c r="CZ201" s="5"/>
      <c r="DA201" s="5"/>
      <c r="DB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</row>
    <row r="202" spans="23:121" ht="12.75">
      <c r="W202" s="5"/>
      <c r="X202" s="5"/>
      <c r="Y202" s="5"/>
      <c r="Z202" s="5"/>
      <c r="CT202" s="5"/>
      <c r="CU202" s="5"/>
      <c r="CV202" s="5"/>
      <c r="CW202" s="5"/>
      <c r="CY202" s="5"/>
      <c r="CZ202" s="5"/>
      <c r="DA202" s="5"/>
      <c r="DB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</row>
    <row r="203" spans="23:121" ht="12.75">
      <c r="W203" s="5"/>
      <c r="X203" s="5"/>
      <c r="Y203" s="5"/>
      <c r="Z203" s="5"/>
      <c r="CT203" s="5"/>
      <c r="CU203" s="5"/>
      <c r="CV203" s="5"/>
      <c r="CW203" s="5"/>
      <c r="CY203" s="5"/>
      <c r="CZ203" s="5"/>
      <c r="DA203" s="5"/>
      <c r="DB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</row>
    <row r="204" spans="23:121" ht="12.75">
      <c r="W204" s="5"/>
      <c r="X204" s="5"/>
      <c r="Y204" s="5"/>
      <c r="Z204" s="5"/>
      <c r="CT204" s="5"/>
      <c r="CU204" s="5"/>
      <c r="CV204" s="5"/>
      <c r="CW204" s="5"/>
      <c r="CY204" s="5"/>
      <c r="CZ204" s="5"/>
      <c r="DA204" s="5"/>
      <c r="DB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</row>
    <row r="205" spans="23:121" ht="12.75">
      <c r="W205" s="5"/>
      <c r="X205" s="5"/>
      <c r="Y205" s="5"/>
      <c r="Z205" s="5"/>
      <c r="CT205" s="5"/>
      <c r="CU205" s="5"/>
      <c r="CV205" s="5"/>
      <c r="CW205" s="5"/>
      <c r="CY205" s="5"/>
      <c r="CZ205" s="5"/>
      <c r="DA205" s="5"/>
      <c r="DB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</row>
    <row r="206" spans="23:121" ht="12.75">
      <c r="W206" s="5"/>
      <c r="X206" s="5"/>
      <c r="Y206" s="5"/>
      <c r="Z206" s="5"/>
      <c r="CT206" s="5"/>
      <c r="CU206" s="5"/>
      <c r="CV206" s="5"/>
      <c r="CW206" s="5"/>
      <c r="CY206" s="5"/>
      <c r="CZ206" s="5"/>
      <c r="DA206" s="5"/>
      <c r="DB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</row>
    <row r="207" spans="23:121" ht="12.75">
      <c r="W207" s="5"/>
      <c r="X207" s="5"/>
      <c r="Y207" s="5"/>
      <c r="Z207" s="5"/>
      <c r="CT207" s="5"/>
      <c r="CU207" s="5"/>
      <c r="CV207" s="5"/>
      <c r="CW207" s="5"/>
      <c r="CY207" s="5"/>
      <c r="CZ207" s="5"/>
      <c r="DA207" s="5"/>
      <c r="DB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</row>
    <row r="208" spans="23:121" ht="12.75">
      <c r="W208" s="5"/>
      <c r="X208" s="5"/>
      <c r="Y208" s="5"/>
      <c r="Z208" s="5"/>
      <c r="CT208" s="5"/>
      <c r="CU208" s="5"/>
      <c r="CV208" s="5"/>
      <c r="CW208" s="5"/>
      <c r="CY208" s="5"/>
      <c r="CZ208" s="5"/>
      <c r="DA208" s="5"/>
      <c r="DB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</row>
    <row r="209" spans="23:121" ht="12.75">
      <c r="W209" s="5"/>
      <c r="X209" s="5"/>
      <c r="Y209" s="5"/>
      <c r="Z209" s="5"/>
      <c r="CT209" s="5"/>
      <c r="CU209" s="5"/>
      <c r="CV209" s="5"/>
      <c r="CW209" s="5"/>
      <c r="CY209" s="5"/>
      <c r="CZ209" s="5"/>
      <c r="DA209" s="5"/>
      <c r="DB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</row>
    <row r="210" spans="23:121" ht="12.75">
      <c r="W210" s="5"/>
      <c r="X210" s="5"/>
      <c r="Y210" s="5"/>
      <c r="Z210" s="5"/>
      <c r="CT210" s="5"/>
      <c r="CU210" s="5"/>
      <c r="CV210" s="5"/>
      <c r="CW210" s="5"/>
      <c r="CY210" s="5"/>
      <c r="CZ210" s="5"/>
      <c r="DA210" s="5"/>
      <c r="DB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</row>
    <row r="211" spans="23:121" ht="12.75">
      <c r="W211" s="5"/>
      <c r="X211" s="5"/>
      <c r="Y211" s="5"/>
      <c r="Z211" s="5"/>
      <c r="CT211" s="5"/>
      <c r="CU211" s="5"/>
      <c r="CV211" s="5"/>
      <c r="CW211" s="5"/>
      <c r="CY211" s="5"/>
      <c r="CZ211" s="5"/>
      <c r="DA211" s="5"/>
      <c r="DB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</row>
    <row r="212" spans="23:121" ht="12.75">
      <c r="W212" s="5"/>
      <c r="X212" s="5"/>
      <c r="Y212" s="5"/>
      <c r="Z212" s="5"/>
      <c r="CT212" s="5"/>
      <c r="CU212" s="5"/>
      <c r="CV212" s="5"/>
      <c r="CW212" s="5"/>
      <c r="CY212" s="5"/>
      <c r="CZ212" s="5"/>
      <c r="DA212" s="5"/>
      <c r="DB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</row>
    <row r="213" spans="23:121" ht="12.75">
      <c r="W213" s="5"/>
      <c r="X213" s="5"/>
      <c r="Y213" s="5"/>
      <c r="Z213" s="5"/>
      <c r="CT213" s="5"/>
      <c r="CU213" s="5"/>
      <c r="CV213" s="5"/>
      <c r="CW213" s="5"/>
      <c r="CY213" s="5"/>
      <c r="CZ213" s="5"/>
      <c r="DA213" s="5"/>
      <c r="DB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</row>
    <row r="214" spans="23:121" ht="12.75">
      <c r="W214" s="5"/>
      <c r="X214" s="5"/>
      <c r="Y214" s="5"/>
      <c r="Z214" s="5"/>
      <c r="CT214" s="5"/>
      <c r="CU214" s="5"/>
      <c r="CV214" s="5"/>
      <c r="CW214" s="5"/>
      <c r="CY214" s="5"/>
      <c r="CZ214" s="5"/>
      <c r="DA214" s="5"/>
      <c r="DB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</row>
    <row r="215" spans="23:121" ht="12.75">
      <c r="W215" s="5"/>
      <c r="X215" s="5"/>
      <c r="Y215" s="5"/>
      <c r="Z215" s="5"/>
      <c r="CT215" s="5"/>
      <c r="CU215" s="5"/>
      <c r="CV215" s="5"/>
      <c r="CW215" s="5"/>
      <c r="CY215" s="5"/>
      <c r="CZ215" s="5"/>
      <c r="DA215" s="5"/>
      <c r="DB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</row>
    <row r="216" spans="23:121" ht="12.75">
      <c r="W216" s="5"/>
      <c r="X216" s="5"/>
      <c r="Y216" s="5"/>
      <c r="Z216" s="5"/>
      <c r="CT216" s="5"/>
      <c r="CU216" s="5"/>
      <c r="CV216" s="5"/>
      <c r="CW216" s="5"/>
      <c r="CY216" s="5"/>
      <c r="CZ216" s="5"/>
      <c r="DA216" s="5"/>
      <c r="DB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</row>
    <row r="217" spans="23:121" ht="12.75">
      <c r="W217" s="5"/>
      <c r="X217" s="5"/>
      <c r="Y217" s="5"/>
      <c r="Z217" s="5"/>
      <c r="CT217" s="5"/>
      <c r="CU217" s="5"/>
      <c r="CV217" s="5"/>
      <c r="CW217" s="5"/>
      <c r="CY217" s="5"/>
      <c r="CZ217" s="5"/>
      <c r="DA217" s="5"/>
      <c r="DB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</row>
    <row r="218" spans="23:121" ht="12.75">
      <c r="W218" s="5"/>
      <c r="X218" s="5"/>
      <c r="Y218" s="5"/>
      <c r="Z218" s="5"/>
      <c r="CT218" s="5"/>
      <c r="CU218" s="5"/>
      <c r="CV218" s="5"/>
      <c r="CW218" s="5"/>
      <c r="CY218" s="5"/>
      <c r="CZ218" s="5"/>
      <c r="DA218" s="5"/>
      <c r="DB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</row>
    <row r="219" spans="23:121" ht="12.75">
      <c r="W219" s="5"/>
      <c r="X219" s="5"/>
      <c r="Y219" s="5"/>
      <c r="Z219" s="5"/>
      <c r="CT219" s="5"/>
      <c r="CU219" s="5"/>
      <c r="CV219" s="5"/>
      <c r="CW219" s="5"/>
      <c r="CY219" s="5"/>
      <c r="CZ219" s="5"/>
      <c r="DA219" s="5"/>
      <c r="DB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</row>
    <row r="220" spans="23:121" ht="12.75">
      <c r="W220" s="5"/>
      <c r="X220" s="5"/>
      <c r="Y220" s="5"/>
      <c r="Z220" s="5"/>
      <c r="CT220" s="5"/>
      <c r="CU220" s="5"/>
      <c r="CV220" s="5"/>
      <c r="CW220" s="5"/>
      <c r="CY220" s="5"/>
      <c r="CZ220" s="5"/>
      <c r="DA220" s="5"/>
      <c r="DB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</row>
    <row r="221" spans="23:121" ht="12.75">
      <c r="W221" s="5"/>
      <c r="X221" s="5"/>
      <c r="Y221" s="5"/>
      <c r="Z221" s="5"/>
      <c r="CT221" s="5"/>
      <c r="CU221" s="5"/>
      <c r="CV221" s="5"/>
      <c r="CW221" s="5"/>
      <c r="CY221" s="5"/>
      <c r="CZ221" s="5"/>
      <c r="DA221" s="5"/>
      <c r="DB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</row>
    <row r="222" spans="23:121" ht="12.75">
      <c r="W222" s="5"/>
      <c r="X222" s="5"/>
      <c r="Y222" s="5"/>
      <c r="Z222" s="5"/>
      <c r="CT222" s="5"/>
      <c r="CU222" s="5"/>
      <c r="CV222" s="5"/>
      <c r="CW222" s="5"/>
      <c r="CY222" s="5"/>
      <c r="CZ222" s="5"/>
      <c r="DA222" s="5"/>
      <c r="DB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</row>
    <row r="223" spans="23:121" ht="12.75">
      <c r="W223" s="5"/>
      <c r="X223" s="5"/>
      <c r="Y223" s="5"/>
      <c r="Z223" s="5"/>
      <c r="CT223" s="5"/>
      <c r="CU223" s="5"/>
      <c r="CV223" s="5"/>
      <c r="CW223" s="5"/>
      <c r="CY223" s="5"/>
      <c r="CZ223" s="5"/>
      <c r="DA223" s="5"/>
      <c r="DB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</row>
    <row r="224" spans="23:121" ht="12.75">
      <c r="W224" s="5"/>
      <c r="X224" s="5"/>
      <c r="Y224" s="5"/>
      <c r="Z224" s="5"/>
      <c r="CT224" s="5"/>
      <c r="CU224" s="5"/>
      <c r="CV224" s="5"/>
      <c r="CW224" s="5"/>
      <c r="CY224" s="5"/>
      <c r="CZ224" s="5"/>
      <c r="DA224" s="5"/>
      <c r="DB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</row>
    <row r="225" spans="23:121" ht="12.75">
      <c r="W225" s="5"/>
      <c r="X225" s="5"/>
      <c r="Y225" s="5"/>
      <c r="Z225" s="5"/>
      <c r="CT225" s="5"/>
      <c r="CU225" s="5"/>
      <c r="CV225" s="5"/>
      <c r="CW225" s="5"/>
      <c r="CY225" s="5"/>
      <c r="CZ225" s="5"/>
      <c r="DA225" s="5"/>
      <c r="DB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</row>
    <row r="226" spans="23:121" ht="12.75">
      <c r="W226" s="5"/>
      <c r="X226" s="5"/>
      <c r="Y226" s="5"/>
      <c r="Z226" s="5"/>
      <c r="CT226" s="5"/>
      <c r="CU226" s="5"/>
      <c r="CV226" s="5"/>
      <c r="CW226" s="5"/>
      <c r="CY226" s="5"/>
      <c r="CZ226" s="5"/>
      <c r="DA226" s="5"/>
      <c r="DB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</row>
    <row r="227" spans="23:121" ht="12.75">
      <c r="W227" s="5"/>
      <c r="X227" s="5"/>
      <c r="Y227" s="5"/>
      <c r="Z227" s="5"/>
      <c r="CT227" s="5"/>
      <c r="CU227" s="5"/>
      <c r="CV227" s="5"/>
      <c r="CW227" s="5"/>
      <c r="CY227" s="5"/>
      <c r="CZ227" s="5"/>
      <c r="DA227" s="5"/>
      <c r="DB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</row>
    <row r="228" spans="23:121" ht="12.75">
      <c r="W228" s="5"/>
      <c r="X228" s="5"/>
      <c r="Y228" s="5"/>
      <c r="Z228" s="5"/>
      <c r="CT228" s="5"/>
      <c r="CU228" s="5"/>
      <c r="CV228" s="5"/>
      <c r="CW228" s="5"/>
      <c r="CY228" s="5"/>
      <c r="CZ228" s="5"/>
      <c r="DA228" s="5"/>
      <c r="DB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</row>
    <row r="229" spans="23:121" ht="12.75">
      <c r="W229" s="5"/>
      <c r="X229" s="5"/>
      <c r="Y229" s="5"/>
      <c r="Z229" s="5"/>
      <c r="CT229" s="5"/>
      <c r="CU229" s="5"/>
      <c r="CV229" s="5"/>
      <c r="CW229" s="5"/>
      <c r="CY229" s="5"/>
      <c r="CZ229" s="5"/>
      <c r="DA229" s="5"/>
      <c r="DB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</row>
    <row r="230" spans="23:121" ht="12.75">
      <c r="W230" s="5"/>
      <c r="X230" s="5"/>
      <c r="Y230" s="5"/>
      <c r="Z230" s="5"/>
      <c r="CT230" s="5"/>
      <c r="CU230" s="5"/>
      <c r="CV230" s="5"/>
      <c r="CW230" s="5"/>
      <c r="CY230" s="5"/>
      <c r="CZ230" s="5"/>
      <c r="DA230" s="5"/>
      <c r="DB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</row>
    <row r="231" spans="23:121" ht="12.75">
      <c r="W231" s="5"/>
      <c r="X231" s="5"/>
      <c r="Y231" s="5"/>
      <c r="Z231" s="5"/>
      <c r="CT231" s="5"/>
      <c r="CU231" s="5"/>
      <c r="CV231" s="5"/>
      <c r="CW231" s="5"/>
      <c r="CY231" s="5"/>
      <c r="CZ231" s="5"/>
      <c r="DA231" s="5"/>
      <c r="DB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</row>
    <row r="232" spans="23:121" ht="12.75">
      <c r="W232" s="5"/>
      <c r="X232" s="5"/>
      <c r="Y232" s="5"/>
      <c r="Z232" s="5"/>
      <c r="CT232" s="5"/>
      <c r="CU232" s="5"/>
      <c r="CV232" s="5"/>
      <c r="CW232" s="5"/>
      <c r="CY232" s="5"/>
      <c r="CZ232" s="5"/>
      <c r="DA232" s="5"/>
      <c r="DB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</row>
    <row r="233" spans="23:121" ht="12.75">
      <c r="W233" s="5"/>
      <c r="X233" s="5"/>
      <c r="Y233" s="5"/>
      <c r="Z233" s="5"/>
      <c r="CT233" s="5"/>
      <c r="CU233" s="5"/>
      <c r="CV233" s="5"/>
      <c r="CW233" s="5"/>
      <c r="CY233" s="5"/>
      <c r="CZ233" s="5"/>
      <c r="DA233" s="5"/>
      <c r="DB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</row>
    <row r="234" spans="23:121" ht="12.75">
      <c r="W234" s="5"/>
      <c r="X234" s="5"/>
      <c r="Y234" s="5"/>
      <c r="Z234" s="5"/>
      <c r="CT234" s="5"/>
      <c r="CU234" s="5"/>
      <c r="CV234" s="5"/>
      <c r="CW234" s="5"/>
      <c r="CY234" s="5"/>
      <c r="CZ234" s="5"/>
      <c r="DA234" s="5"/>
      <c r="DB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</row>
    <row r="235" spans="23:121" ht="12.75">
      <c r="W235" s="5"/>
      <c r="X235" s="5"/>
      <c r="Y235" s="5"/>
      <c r="Z235" s="5"/>
      <c r="CT235" s="5"/>
      <c r="CU235" s="5"/>
      <c r="CV235" s="5"/>
      <c r="CW235" s="5"/>
      <c r="CY235" s="5"/>
      <c r="CZ235" s="5"/>
      <c r="DA235" s="5"/>
      <c r="DB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</row>
    <row r="236" spans="23:121" ht="12.75">
      <c r="W236" s="5"/>
      <c r="X236" s="5"/>
      <c r="Y236" s="5"/>
      <c r="Z236" s="5"/>
      <c r="CT236" s="5"/>
      <c r="CU236" s="5"/>
      <c r="CV236" s="5"/>
      <c r="CW236" s="5"/>
      <c r="CY236" s="5"/>
      <c r="CZ236" s="5"/>
      <c r="DA236" s="5"/>
      <c r="DB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</row>
    <row r="237" spans="23:121" ht="12.75">
      <c r="W237" s="5"/>
      <c r="X237" s="5"/>
      <c r="Y237" s="5"/>
      <c r="Z237" s="5"/>
      <c r="CT237" s="5"/>
      <c r="CU237" s="5"/>
      <c r="CV237" s="5"/>
      <c r="CW237" s="5"/>
      <c r="CY237" s="5"/>
      <c r="CZ237" s="5"/>
      <c r="DA237" s="5"/>
      <c r="DB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</row>
    <row r="238" spans="23:121" ht="12.75">
      <c r="W238" s="5"/>
      <c r="X238" s="5"/>
      <c r="Y238" s="5"/>
      <c r="Z238" s="5"/>
      <c r="CT238" s="5"/>
      <c r="CU238" s="5"/>
      <c r="CV238" s="5"/>
      <c r="CW238" s="5"/>
      <c r="CY238" s="5"/>
      <c r="CZ238" s="5"/>
      <c r="DA238" s="5"/>
      <c r="DB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</row>
    <row r="239" spans="23:121" ht="12.75">
      <c r="W239" s="5"/>
      <c r="X239" s="5"/>
      <c r="Y239" s="5"/>
      <c r="Z239" s="5"/>
      <c r="CT239" s="5"/>
      <c r="CU239" s="5"/>
      <c r="CV239" s="5"/>
      <c r="CW239" s="5"/>
      <c r="CY239" s="5"/>
      <c r="CZ239" s="5"/>
      <c r="DA239" s="5"/>
      <c r="DB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</row>
    <row r="240" spans="23:121" ht="12.75">
      <c r="W240" s="5"/>
      <c r="X240" s="5"/>
      <c r="Y240" s="5"/>
      <c r="Z240" s="5"/>
      <c r="CT240" s="5"/>
      <c r="CU240" s="5"/>
      <c r="CV240" s="5"/>
      <c r="CW240" s="5"/>
      <c r="CY240" s="5"/>
      <c r="CZ240" s="5"/>
      <c r="DA240" s="5"/>
      <c r="DB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</row>
    <row r="241" spans="23:121" ht="12.75">
      <c r="W241" s="5"/>
      <c r="X241" s="5"/>
      <c r="Y241" s="5"/>
      <c r="Z241" s="5"/>
      <c r="CT241" s="5"/>
      <c r="CU241" s="5"/>
      <c r="CV241" s="5"/>
      <c r="CW241" s="5"/>
      <c r="CY241" s="5"/>
      <c r="CZ241" s="5"/>
      <c r="DA241" s="5"/>
      <c r="DB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</row>
    <row r="242" spans="23:121" ht="12.75">
      <c r="W242" s="5"/>
      <c r="X242" s="5"/>
      <c r="Y242" s="5"/>
      <c r="Z242" s="5"/>
      <c r="CT242" s="5"/>
      <c r="CU242" s="5"/>
      <c r="CV242" s="5"/>
      <c r="CW242" s="5"/>
      <c r="CY242" s="5"/>
      <c r="CZ242" s="5"/>
      <c r="DA242" s="5"/>
      <c r="DB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</row>
    <row r="243" spans="23:121" ht="12.75">
      <c r="W243" s="5"/>
      <c r="X243" s="5"/>
      <c r="Y243" s="5"/>
      <c r="Z243" s="5"/>
      <c r="CT243" s="5"/>
      <c r="CU243" s="5"/>
      <c r="CV243" s="5"/>
      <c r="CW243" s="5"/>
      <c r="CY243" s="5"/>
      <c r="CZ243" s="5"/>
      <c r="DA243" s="5"/>
      <c r="DB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</row>
    <row r="244" spans="23:121" ht="12.75">
      <c r="W244" s="5"/>
      <c r="X244" s="5"/>
      <c r="Y244" s="5"/>
      <c r="Z244" s="5"/>
      <c r="CT244" s="5"/>
      <c r="CU244" s="5"/>
      <c r="CV244" s="5"/>
      <c r="CW244" s="5"/>
      <c r="CY244" s="5"/>
      <c r="CZ244" s="5"/>
      <c r="DA244" s="5"/>
      <c r="DB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</row>
    <row r="245" spans="23:121" ht="12.75">
      <c r="W245" s="5"/>
      <c r="X245" s="5"/>
      <c r="Y245" s="5"/>
      <c r="Z245" s="5"/>
      <c r="CT245" s="5"/>
      <c r="CU245" s="5"/>
      <c r="CV245" s="5"/>
      <c r="CW245" s="5"/>
      <c r="CY245" s="5"/>
      <c r="CZ245" s="5"/>
      <c r="DA245" s="5"/>
      <c r="DB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</row>
    <row r="246" spans="23:121" ht="12.75">
      <c r="W246" s="5"/>
      <c r="X246" s="5"/>
      <c r="Y246" s="5"/>
      <c r="Z246" s="5"/>
      <c r="CT246" s="5"/>
      <c r="CU246" s="5"/>
      <c r="CV246" s="5"/>
      <c r="CW246" s="5"/>
      <c r="CY246" s="5"/>
      <c r="CZ246" s="5"/>
      <c r="DA246" s="5"/>
      <c r="DB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</row>
    <row r="247" spans="23:121" ht="12.75">
      <c r="W247" s="5"/>
      <c r="X247" s="5"/>
      <c r="Y247" s="5"/>
      <c r="Z247" s="5"/>
      <c r="CT247" s="5"/>
      <c r="CU247" s="5"/>
      <c r="CV247" s="5"/>
      <c r="CW247" s="5"/>
      <c r="CY247" s="5"/>
      <c r="CZ247" s="5"/>
      <c r="DA247" s="5"/>
      <c r="DB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</row>
    <row r="248" spans="23:121" ht="12.75">
      <c r="W248" s="5"/>
      <c r="X248" s="5"/>
      <c r="Y248" s="5"/>
      <c r="Z248" s="5"/>
      <c r="CT248" s="5"/>
      <c r="CU248" s="5"/>
      <c r="CV248" s="5"/>
      <c r="CW248" s="5"/>
      <c r="CY248" s="5"/>
      <c r="CZ248" s="5"/>
      <c r="DA248" s="5"/>
      <c r="DB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</row>
    <row r="249" spans="23:121" ht="12.75">
      <c r="W249" s="5"/>
      <c r="X249" s="5"/>
      <c r="Y249" s="5"/>
      <c r="Z249" s="5"/>
      <c r="CT249" s="5"/>
      <c r="CU249" s="5"/>
      <c r="CV249" s="5"/>
      <c r="CW249" s="5"/>
      <c r="CY249" s="5"/>
      <c r="CZ249" s="5"/>
      <c r="DA249" s="5"/>
      <c r="DB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</row>
    <row r="250" spans="23:121" ht="12.75">
      <c r="W250" s="5"/>
      <c r="X250" s="5"/>
      <c r="Y250" s="5"/>
      <c r="Z250" s="5"/>
      <c r="CT250" s="5"/>
      <c r="CU250" s="5"/>
      <c r="CV250" s="5"/>
      <c r="CW250" s="5"/>
      <c r="CY250" s="5"/>
      <c r="CZ250" s="5"/>
      <c r="DA250" s="5"/>
      <c r="DB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</row>
    <row r="251" spans="23:121" ht="12.75">
      <c r="W251" s="5"/>
      <c r="X251" s="5"/>
      <c r="Y251" s="5"/>
      <c r="Z251" s="5"/>
      <c r="CT251" s="5"/>
      <c r="CU251" s="5"/>
      <c r="CV251" s="5"/>
      <c r="CW251" s="5"/>
      <c r="CY251" s="5"/>
      <c r="CZ251" s="5"/>
      <c r="DA251" s="5"/>
      <c r="DB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</row>
    <row r="252" spans="23:121" ht="12.75">
      <c r="W252" s="5"/>
      <c r="X252" s="5"/>
      <c r="Y252" s="5"/>
      <c r="Z252" s="5"/>
      <c r="CT252" s="5"/>
      <c r="CU252" s="5"/>
      <c r="CV252" s="5"/>
      <c r="CW252" s="5"/>
      <c r="CY252" s="5"/>
      <c r="CZ252" s="5"/>
      <c r="DA252" s="5"/>
      <c r="DB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</row>
    <row r="253" spans="23:121" ht="12.75">
      <c r="W253" s="5"/>
      <c r="X253" s="5"/>
      <c r="Y253" s="5"/>
      <c r="Z253" s="5"/>
      <c r="CT253" s="5"/>
      <c r="CU253" s="5"/>
      <c r="CV253" s="5"/>
      <c r="CW253" s="5"/>
      <c r="CY253" s="5"/>
      <c r="CZ253" s="5"/>
      <c r="DA253" s="5"/>
      <c r="DB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</row>
    <row r="254" spans="23:121" ht="12.75">
      <c r="W254" s="5"/>
      <c r="X254" s="5"/>
      <c r="Y254" s="5"/>
      <c r="Z254" s="5"/>
      <c r="CT254" s="5"/>
      <c r="CU254" s="5"/>
      <c r="CV254" s="5"/>
      <c r="CW254" s="5"/>
      <c r="CY254" s="5"/>
      <c r="CZ254" s="5"/>
      <c r="DA254" s="5"/>
      <c r="DB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</row>
    <row r="255" spans="23:121" ht="12.75">
      <c r="W255" s="5"/>
      <c r="X255" s="5"/>
      <c r="Y255" s="5"/>
      <c r="Z255" s="5"/>
      <c r="CT255" s="5"/>
      <c r="CU255" s="5"/>
      <c r="CV255" s="5"/>
      <c r="CW255" s="5"/>
      <c r="CY255" s="5"/>
      <c r="CZ255" s="5"/>
      <c r="DA255" s="5"/>
      <c r="DB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</row>
    <row r="256" spans="23:121" ht="12.75">
      <c r="W256" s="5"/>
      <c r="X256" s="5"/>
      <c r="Y256" s="5"/>
      <c r="Z256" s="5"/>
      <c r="CT256" s="5"/>
      <c r="CU256" s="5"/>
      <c r="CV256" s="5"/>
      <c r="CW256" s="5"/>
      <c r="CY256" s="5"/>
      <c r="CZ256" s="5"/>
      <c r="DA256" s="5"/>
      <c r="DB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</row>
    <row r="257" spans="23:121" ht="12.75">
      <c r="W257" s="5"/>
      <c r="X257" s="5"/>
      <c r="Y257" s="5"/>
      <c r="Z257" s="5"/>
      <c r="CT257" s="5"/>
      <c r="CU257" s="5"/>
      <c r="CV257" s="5"/>
      <c r="CW257" s="5"/>
      <c r="CY257" s="5"/>
      <c r="CZ257" s="5"/>
      <c r="DA257" s="5"/>
      <c r="DB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</row>
    <row r="258" spans="23:121" ht="12.75">
      <c r="W258" s="5"/>
      <c r="X258" s="5"/>
      <c r="Y258" s="5"/>
      <c r="Z258" s="5"/>
      <c r="CT258" s="5"/>
      <c r="CU258" s="5"/>
      <c r="CV258" s="5"/>
      <c r="CW258" s="5"/>
      <c r="CY258" s="5"/>
      <c r="CZ258" s="5"/>
      <c r="DA258" s="5"/>
      <c r="DB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</row>
    <row r="259" spans="23:121" ht="12.75">
      <c r="W259" s="5"/>
      <c r="X259" s="5"/>
      <c r="Y259" s="5"/>
      <c r="Z259" s="5"/>
      <c r="CT259" s="5"/>
      <c r="CU259" s="5"/>
      <c r="CV259" s="5"/>
      <c r="CW259" s="5"/>
      <c r="CY259" s="5"/>
      <c r="CZ259" s="5"/>
      <c r="DA259" s="5"/>
      <c r="DB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</row>
    <row r="260" spans="23:121" ht="12.75">
      <c r="W260" s="5"/>
      <c r="X260" s="5"/>
      <c r="Y260" s="5"/>
      <c r="Z260" s="5"/>
      <c r="CT260" s="5"/>
      <c r="CU260" s="5"/>
      <c r="CV260" s="5"/>
      <c r="CW260" s="5"/>
      <c r="CY260" s="5"/>
      <c r="CZ260" s="5"/>
      <c r="DA260" s="5"/>
      <c r="DB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</row>
    <row r="261" spans="23:121" ht="12.75">
      <c r="W261" s="5"/>
      <c r="X261" s="5"/>
      <c r="Y261" s="5"/>
      <c r="Z261" s="5"/>
      <c r="CT261" s="5"/>
      <c r="CU261" s="5"/>
      <c r="CV261" s="5"/>
      <c r="CW261" s="5"/>
      <c r="CY261" s="5"/>
      <c r="CZ261" s="5"/>
      <c r="DA261" s="5"/>
      <c r="DB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</row>
    <row r="262" spans="23:121" ht="12.75">
      <c r="W262" s="5"/>
      <c r="X262" s="5"/>
      <c r="Y262" s="5"/>
      <c r="Z262" s="5"/>
      <c r="CT262" s="5"/>
      <c r="CU262" s="5"/>
      <c r="CV262" s="5"/>
      <c r="CW262" s="5"/>
      <c r="CY262" s="5"/>
      <c r="CZ262" s="5"/>
      <c r="DA262" s="5"/>
      <c r="DB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</row>
    <row r="263" spans="23:121" ht="12.75">
      <c r="W263" s="5"/>
      <c r="X263" s="5"/>
      <c r="Y263" s="5"/>
      <c r="Z263" s="5"/>
      <c r="CT263" s="5"/>
      <c r="CU263" s="5"/>
      <c r="CV263" s="5"/>
      <c r="CW263" s="5"/>
      <c r="CY263" s="5"/>
      <c r="CZ263" s="5"/>
      <c r="DA263" s="5"/>
      <c r="DB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</row>
    <row r="264" spans="23:121" ht="12.75">
      <c r="W264" s="5"/>
      <c r="X264" s="5"/>
      <c r="Y264" s="5"/>
      <c r="Z264" s="5"/>
      <c r="CT264" s="5"/>
      <c r="CU264" s="5"/>
      <c r="CV264" s="5"/>
      <c r="CW264" s="5"/>
      <c r="CY264" s="5"/>
      <c r="CZ264" s="5"/>
      <c r="DA264" s="5"/>
      <c r="DB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</row>
    <row r="265" spans="23:121" ht="12.75">
      <c r="W265" s="5"/>
      <c r="X265" s="5"/>
      <c r="Y265" s="5"/>
      <c r="Z265" s="5"/>
      <c r="CT265" s="5"/>
      <c r="CU265" s="5"/>
      <c r="CV265" s="5"/>
      <c r="CW265" s="5"/>
      <c r="CY265" s="5"/>
      <c r="CZ265" s="5"/>
      <c r="DA265" s="5"/>
      <c r="DB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</row>
    <row r="266" spans="23:121" ht="12.75">
      <c r="W266" s="5"/>
      <c r="X266" s="5"/>
      <c r="Y266" s="5"/>
      <c r="Z266" s="5"/>
      <c r="CT266" s="5"/>
      <c r="CU266" s="5"/>
      <c r="CV266" s="5"/>
      <c r="CW266" s="5"/>
      <c r="CY266" s="5"/>
      <c r="CZ266" s="5"/>
      <c r="DA266" s="5"/>
      <c r="DB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</row>
    <row r="267" spans="23:121" ht="12.75">
      <c r="W267" s="5"/>
      <c r="X267" s="5"/>
      <c r="Y267" s="5"/>
      <c r="Z267" s="5"/>
      <c r="CT267" s="5"/>
      <c r="CU267" s="5"/>
      <c r="CV267" s="5"/>
      <c r="CW267" s="5"/>
      <c r="CY267" s="5"/>
      <c r="CZ267" s="5"/>
      <c r="DA267" s="5"/>
      <c r="DB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</row>
    <row r="268" spans="23:121" ht="12.75">
      <c r="W268" s="5"/>
      <c r="X268" s="5"/>
      <c r="Y268" s="5"/>
      <c r="Z268" s="5"/>
      <c r="CT268" s="5"/>
      <c r="CU268" s="5"/>
      <c r="CV268" s="5"/>
      <c r="CW268" s="5"/>
      <c r="CY268" s="5"/>
      <c r="CZ268" s="5"/>
      <c r="DA268" s="5"/>
      <c r="DB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</row>
    <row r="269" spans="23:121" ht="12.75">
      <c r="W269" s="5"/>
      <c r="X269" s="5"/>
      <c r="Y269" s="5"/>
      <c r="Z269" s="5"/>
      <c r="CT269" s="5"/>
      <c r="CU269" s="5"/>
      <c r="CV269" s="5"/>
      <c r="CW269" s="5"/>
      <c r="CY269" s="5"/>
      <c r="CZ269" s="5"/>
      <c r="DA269" s="5"/>
      <c r="DB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</row>
    <row r="270" spans="23:121" ht="12.75">
      <c r="W270" s="5"/>
      <c r="X270" s="5"/>
      <c r="Y270" s="5"/>
      <c r="Z270" s="5"/>
      <c r="CT270" s="5"/>
      <c r="CU270" s="5"/>
      <c r="CV270" s="5"/>
      <c r="CW270" s="5"/>
      <c r="CY270" s="5"/>
      <c r="CZ270" s="5"/>
      <c r="DA270" s="5"/>
      <c r="DB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</row>
    <row r="271" spans="23:121" ht="12.75">
      <c r="W271" s="5"/>
      <c r="X271" s="5"/>
      <c r="Y271" s="5"/>
      <c r="Z271" s="5"/>
      <c r="CT271" s="5"/>
      <c r="CU271" s="5"/>
      <c r="CV271" s="5"/>
      <c r="CW271" s="5"/>
      <c r="CY271" s="5"/>
      <c r="CZ271" s="5"/>
      <c r="DA271" s="5"/>
      <c r="DB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</row>
    <row r="272" spans="23:121" ht="12.75">
      <c r="W272" s="5"/>
      <c r="X272" s="5"/>
      <c r="Y272" s="5"/>
      <c r="Z272" s="5"/>
      <c r="CT272" s="5"/>
      <c r="CU272" s="5"/>
      <c r="CV272" s="5"/>
      <c r="CW272" s="5"/>
      <c r="CY272" s="5"/>
      <c r="CZ272" s="5"/>
      <c r="DA272" s="5"/>
      <c r="DB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</row>
    <row r="273" spans="23:121" ht="12.75">
      <c r="W273" s="5"/>
      <c r="X273" s="5"/>
      <c r="Y273" s="5"/>
      <c r="Z273" s="5"/>
      <c r="CT273" s="5"/>
      <c r="CU273" s="5"/>
      <c r="CV273" s="5"/>
      <c r="CW273" s="5"/>
      <c r="CY273" s="5"/>
      <c r="CZ273" s="5"/>
      <c r="DA273" s="5"/>
      <c r="DB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</row>
    <row r="274" spans="23:121" ht="12.75">
      <c r="W274" s="5"/>
      <c r="X274" s="5"/>
      <c r="Y274" s="5"/>
      <c r="Z274" s="5"/>
      <c r="CT274" s="5"/>
      <c r="CU274" s="5"/>
      <c r="CV274" s="5"/>
      <c r="CW274" s="5"/>
      <c r="CY274" s="5"/>
      <c r="CZ274" s="5"/>
      <c r="DA274" s="5"/>
      <c r="DB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</row>
    <row r="275" spans="23:121" ht="12.75">
      <c r="W275" s="5"/>
      <c r="X275" s="5"/>
      <c r="Y275" s="5"/>
      <c r="Z275" s="5"/>
      <c r="CT275" s="5"/>
      <c r="CU275" s="5"/>
      <c r="CV275" s="5"/>
      <c r="CW275" s="5"/>
      <c r="CY275" s="5"/>
      <c r="CZ275" s="5"/>
      <c r="DA275" s="5"/>
      <c r="DB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</row>
    <row r="276" spans="23:121" ht="12.75">
      <c r="W276" s="5"/>
      <c r="X276" s="5"/>
      <c r="Y276" s="5"/>
      <c r="Z276" s="5"/>
      <c r="CT276" s="5"/>
      <c r="CU276" s="5"/>
      <c r="CV276" s="5"/>
      <c r="CW276" s="5"/>
      <c r="CY276" s="5"/>
      <c r="CZ276" s="5"/>
      <c r="DA276" s="5"/>
      <c r="DB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</row>
    <row r="277" spans="23:121" ht="12.75">
      <c r="W277" s="5"/>
      <c r="X277" s="5"/>
      <c r="Y277" s="5"/>
      <c r="Z277" s="5"/>
      <c r="CT277" s="5"/>
      <c r="CU277" s="5"/>
      <c r="CV277" s="5"/>
      <c r="CW277" s="5"/>
      <c r="CY277" s="5"/>
      <c r="CZ277" s="5"/>
      <c r="DA277" s="5"/>
      <c r="DB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</row>
    <row r="278" spans="23:121" ht="12.75">
      <c r="W278" s="5"/>
      <c r="X278" s="5"/>
      <c r="Y278" s="5"/>
      <c r="Z278" s="5"/>
      <c r="CT278" s="5"/>
      <c r="CU278" s="5"/>
      <c r="CV278" s="5"/>
      <c r="CW278" s="5"/>
      <c r="CY278" s="5"/>
      <c r="CZ278" s="5"/>
      <c r="DA278" s="5"/>
      <c r="DB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</row>
    <row r="279" spans="23:121" ht="12.75">
      <c r="W279" s="5"/>
      <c r="X279" s="5"/>
      <c r="Y279" s="5"/>
      <c r="Z279" s="5"/>
      <c r="CT279" s="5"/>
      <c r="CU279" s="5"/>
      <c r="CV279" s="5"/>
      <c r="CW279" s="5"/>
      <c r="CY279" s="5"/>
      <c r="CZ279" s="5"/>
      <c r="DA279" s="5"/>
      <c r="DB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</row>
    <row r="280" spans="23:121" ht="12.75">
      <c r="W280" s="5"/>
      <c r="X280" s="5"/>
      <c r="Y280" s="5"/>
      <c r="Z280" s="5"/>
      <c r="CT280" s="5"/>
      <c r="CU280" s="5"/>
      <c r="CV280" s="5"/>
      <c r="CW280" s="5"/>
      <c r="CY280" s="5"/>
      <c r="CZ280" s="5"/>
      <c r="DA280" s="5"/>
      <c r="DB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</row>
    <row r="281" spans="23:121" ht="12.75">
      <c r="W281" s="5"/>
      <c r="X281" s="5"/>
      <c r="Y281" s="5"/>
      <c r="Z281" s="5"/>
      <c r="CT281" s="5"/>
      <c r="CU281" s="5"/>
      <c r="CV281" s="5"/>
      <c r="CW281" s="5"/>
      <c r="CY281" s="5"/>
      <c r="CZ281" s="5"/>
      <c r="DA281" s="5"/>
      <c r="DB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</row>
    <row r="282" spans="23:121" ht="12.75">
      <c r="W282" s="5"/>
      <c r="X282" s="5"/>
      <c r="Y282" s="5"/>
      <c r="Z282" s="5"/>
      <c r="CT282" s="5"/>
      <c r="CU282" s="5"/>
      <c r="CV282" s="5"/>
      <c r="CW282" s="5"/>
      <c r="CY282" s="5"/>
      <c r="CZ282" s="5"/>
      <c r="DA282" s="5"/>
      <c r="DB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</row>
    <row r="283" spans="23:121" ht="12.75">
      <c r="W283" s="5"/>
      <c r="X283" s="5"/>
      <c r="Y283" s="5"/>
      <c r="Z283" s="5"/>
      <c r="CT283" s="5"/>
      <c r="CU283" s="5"/>
      <c r="CV283" s="5"/>
      <c r="CW283" s="5"/>
      <c r="CY283" s="5"/>
      <c r="CZ283" s="5"/>
      <c r="DA283" s="5"/>
      <c r="DB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</row>
    <row r="284" spans="23:121" ht="12.75">
      <c r="W284" s="5"/>
      <c r="X284" s="5"/>
      <c r="Y284" s="5"/>
      <c r="Z284" s="5"/>
      <c r="CT284" s="5"/>
      <c r="CU284" s="5"/>
      <c r="CV284" s="5"/>
      <c r="CW284" s="5"/>
      <c r="CY284" s="5"/>
      <c r="CZ284" s="5"/>
      <c r="DA284" s="5"/>
      <c r="DB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</row>
    <row r="285" spans="23:121" ht="12.75">
      <c r="W285" s="5"/>
      <c r="X285" s="5"/>
      <c r="Y285" s="5"/>
      <c r="Z285" s="5"/>
      <c r="CT285" s="5"/>
      <c r="CU285" s="5"/>
      <c r="CV285" s="5"/>
      <c r="CW285" s="5"/>
      <c r="CY285" s="5"/>
      <c r="CZ285" s="5"/>
      <c r="DA285" s="5"/>
      <c r="DB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</row>
    <row r="286" spans="23:121" ht="12.75">
      <c r="W286" s="5"/>
      <c r="X286" s="5"/>
      <c r="Y286" s="5"/>
      <c r="Z286" s="5"/>
      <c r="CT286" s="5"/>
      <c r="CU286" s="5"/>
      <c r="CV286" s="5"/>
      <c r="CW286" s="5"/>
      <c r="CY286" s="5"/>
      <c r="CZ286" s="5"/>
      <c r="DA286" s="5"/>
      <c r="DB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</row>
    <row r="287" spans="23:121" ht="12.75">
      <c r="W287" s="5"/>
      <c r="X287" s="5"/>
      <c r="Y287" s="5"/>
      <c r="Z287" s="5"/>
      <c r="CT287" s="5"/>
      <c r="CU287" s="5"/>
      <c r="CV287" s="5"/>
      <c r="CW287" s="5"/>
      <c r="CY287" s="5"/>
      <c r="CZ287" s="5"/>
      <c r="DA287" s="5"/>
      <c r="DB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</row>
    <row r="288" spans="23:121" ht="12.75">
      <c r="W288" s="5"/>
      <c r="X288" s="5"/>
      <c r="Y288" s="5"/>
      <c r="Z288" s="5"/>
      <c r="CT288" s="5"/>
      <c r="CU288" s="5"/>
      <c r="CV288" s="5"/>
      <c r="CW288" s="5"/>
      <c r="CY288" s="5"/>
      <c r="CZ288" s="5"/>
      <c r="DA288" s="5"/>
      <c r="DB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</row>
    <row r="289" spans="23:121" ht="12.75">
      <c r="W289" s="5"/>
      <c r="X289" s="5"/>
      <c r="Y289" s="5"/>
      <c r="Z289" s="5"/>
      <c r="CT289" s="5"/>
      <c r="CU289" s="5"/>
      <c r="CV289" s="5"/>
      <c r="CW289" s="5"/>
      <c r="CY289" s="5"/>
      <c r="CZ289" s="5"/>
      <c r="DA289" s="5"/>
      <c r="DB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</row>
    <row r="290" spans="23:121" ht="12.75">
      <c r="W290" s="5"/>
      <c r="X290" s="5"/>
      <c r="Y290" s="5"/>
      <c r="Z290" s="5"/>
      <c r="CT290" s="5"/>
      <c r="CU290" s="5"/>
      <c r="CV290" s="5"/>
      <c r="CW290" s="5"/>
      <c r="CY290" s="5"/>
      <c r="CZ290" s="5"/>
      <c r="DA290" s="5"/>
      <c r="DB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</row>
    <row r="291" spans="23:121" ht="12.75">
      <c r="W291" s="5"/>
      <c r="X291" s="5"/>
      <c r="Y291" s="5"/>
      <c r="Z291" s="5"/>
      <c r="CT291" s="5"/>
      <c r="CU291" s="5"/>
      <c r="CV291" s="5"/>
      <c r="CW291" s="5"/>
      <c r="CY291" s="5"/>
      <c r="CZ291" s="5"/>
      <c r="DA291" s="5"/>
      <c r="DB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</row>
    <row r="292" spans="23:121" ht="12.75">
      <c r="W292" s="5"/>
      <c r="X292" s="5"/>
      <c r="Y292" s="5"/>
      <c r="Z292" s="5"/>
      <c r="CT292" s="5"/>
      <c r="CU292" s="5"/>
      <c r="CV292" s="5"/>
      <c r="CW292" s="5"/>
      <c r="CY292" s="5"/>
      <c r="CZ292" s="5"/>
      <c r="DA292" s="5"/>
      <c r="DB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</row>
    <row r="293" spans="23:121" ht="12.75">
      <c r="W293" s="5"/>
      <c r="X293" s="5"/>
      <c r="Y293" s="5"/>
      <c r="Z293" s="5"/>
      <c r="CT293" s="5"/>
      <c r="CU293" s="5"/>
      <c r="CV293" s="5"/>
      <c r="CW293" s="5"/>
      <c r="CY293" s="5"/>
      <c r="CZ293" s="5"/>
      <c r="DA293" s="5"/>
      <c r="DB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</row>
    <row r="294" spans="23:121" ht="12.75">
      <c r="W294" s="5"/>
      <c r="X294" s="5"/>
      <c r="Y294" s="5"/>
      <c r="Z294" s="5"/>
      <c r="CT294" s="5"/>
      <c r="CU294" s="5"/>
      <c r="CV294" s="5"/>
      <c r="CW294" s="5"/>
      <c r="CY294" s="5"/>
      <c r="CZ294" s="5"/>
      <c r="DA294" s="5"/>
      <c r="DB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</row>
    <row r="295" spans="23:121" ht="12.75">
      <c r="W295" s="5"/>
      <c r="X295" s="5"/>
      <c r="Y295" s="5"/>
      <c r="Z295" s="5"/>
      <c r="CT295" s="5"/>
      <c r="CU295" s="5"/>
      <c r="CV295" s="5"/>
      <c r="CW295" s="5"/>
      <c r="CY295" s="5"/>
      <c r="CZ295" s="5"/>
      <c r="DA295" s="5"/>
      <c r="DB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</row>
    <row r="296" spans="23:121" ht="12.75">
      <c r="W296" s="5"/>
      <c r="X296" s="5"/>
      <c r="Y296" s="5"/>
      <c r="Z296" s="5"/>
      <c r="CT296" s="5"/>
      <c r="CU296" s="5"/>
      <c r="CV296" s="5"/>
      <c r="CW296" s="5"/>
      <c r="CY296" s="5"/>
      <c r="CZ296" s="5"/>
      <c r="DA296" s="5"/>
      <c r="DB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</row>
    <row r="297" spans="23:121" ht="12.75">
      <c r="W297" s="5"/>
      <c r="X297" s="5"/>
      <c r="Y297" s="5"/>
      <c r="Z297" s="5"/>
      <c r="CT297" s="5"/>
      <c r="CU297" s="5"/>
      <c r="CV297" s="5"/>
      <c r="CW297" s="5"/>
      <c r="CY297" s="5"/>
      <c r="CZ297" s="5"/>
      <c r="DA297" s="5"/>
      <c r="DB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</row>
    <row r="298" spans="23:121" ht="12.75">
      <c r="W298" s="5"/>
      <c r="X298" s="5"/>
      <c r="Y298" s="5"/>
      <c r="Z298" s="5"/>
      <c r="CT298" s="5"/>
      <c r="CU298" s="5"/>
      <c r="CV298" s="5"/>
      <c r="CW298" s="5"/>
      <c r="CY298" s="5"/>
      <c r="CZ298" s="5"/>
      <c r="DA298" s="5"/>
      <c r="DB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</row>
    <row r="299" spans="23:121" ht="12.75">
      <c r="W299" s="5"/>
      <c r="X299" s="5"/>
      <c r="Y299" s="5"/>
      <c r="Z299" s="5"/>
      <c r="CT299" s="5"/>
      <c r="CU299" s="5"/>
      <c r="CV299" s="5"/>
      <c r="CW299" s="5"/>
      <c r="CY299" s="5"/>
      <c r="CZ299" s="5"/>
      <c r="DA299" s="5"/>
      <c r="DB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</row>
    <row r="300" spans="23:121" ht="12.75">
      <c r="W300" s="5"/>
      <c r="X300" s="5"/>
      <c r="Y300" s="5"/>
      <c r="Z300" s="5"/>
      <c r="CT300" s="5"/>
      <c r="CU300" s="5"/>
      <c r="CV300" s="5"/>
      <c r="CW300" s="5"/>
      <c r="CY300" s="5"/>
      <c r="CZ300" s="5"/>
      <c r="DA300" s="5"/>
      <c r="DB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</row>
    <row r="301" spans="23:121" ht="12.75">
      <c r="W301" s="5"/>
      <c r="X301" s="5"/>
      <c r="Y301" s="5"/>
      <c r="Z301" s="5"/>
      <c r="CT301" s="5"/>
      <c r="CU301" s="5"/>
      <c r="CV301" s="5"/>
      <c r="CW301" s="5"/>
      <c r="CY301" s="5"/>
      <c r="CZ301" s="5"/>
      <c r="DA301" s="5"/>
      <c r="DB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</row>
    <row r="302" spans="23:121" ht="12.75">
      <c r="W302" s="5"/>
      <c r="X302" s="5"/>
      <c r="Y302" s="5"/>
      <c r="Z302" s="5"/>
      <c r="CT302" s="5"/>
      <c r="CU302" s="5"/>
      <c r="CV302" s="5"/>
      <c r="CW302" s="5"/>
      <c r="CY302" s="5"/>
      <c r="CZ302" s="5"/>
      <c r="DA302" s="5"/>
      <c r="DB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</row>
    <row r="303" spans="23:121" ht="12.75">
      <c r="W303" s="5"/>
      <c r="X303" s="5"/>
      <c r="Y303" s="5"/>
      <c r="Z303" s="5"/>
      <c r="CT303" s="5"/>
      <c r="CU303" s="5"/>
      <c r="CV303" s="5"/>
      <c r="CW303" s="5"/>
      <c r="CY303" s="5"/>
      <c r="CZ303" s="5"/>
      <c r="DA303" s="5"/>
      <c r="DB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</row>
    <row r="304" spans="23:121" ht="12.75">
      <c r="W304" s="5"/>
      <c r="X304" s="5"/>
      <c r="Y304" s="5"/>
      <c r="Z304" s="5"/>
      <c r="CT304" s="5"/>
      <c r="CU304" s="5"/>
      <c r="CV304" s="5"/>
      <c r="CW304" s="5"/>
      <c r="CY304" s="5"/>
      <c r="CZ304" s="5"/>
      <c r="DA304" s="5"/>
      <c r="DB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</row>
    <row r="305" spans="23:121" ht="12.75">
      <c r="W305" s="5"/>
      <c r="X305" s="5"/>
      <c r="Y305" s="5"/>
      <c r="Z305" s="5"/>
      <c r="CT305" s="5"/>
      <c r="CU305" s="5"/>
      <c r="CV305" s="5"/>
      <c r="CW305" s="5"/>
      <c r="CY305" s="5"/>
      <c r="CZ305" s="5"/>
      <c r="DA305" s="5"/>
      <c r="DB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</row>
    <row r="306" spans="23:121" ht="12.75">
      <c r="W306" s="5"/>
      <c r="X306" s="5"/>
      <c r="Y306" s="5"/>
      <c r="Z306" s="5"/>
      <c r="CT306" s="5"/>
      <c r="CU306" s="5"/>
      <c r="CV306" s="5"/>
      <c r="CW306" s="5"/>
      <c r="CY306" s="5"/>
      <c r="CZ306" s="5"/>
      <c r="DA306" s="5"/>
      <c r="DB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</row>
    <row r="307" spans="23:121" ht="12.75">
      <c r="W307" s="5"/>
      <c r="X307" s="5"/>
      <c r="Y307" s="5"/>
      <c r="Z307" s="5"/>
      <c r="CT307" s="5"/>
      <c r="CU307" s="5"/>
      <c r="CV307" s="5"/>
      <c r="CW307" s="5"/>
      <c r="CY307" s="5"/>
      <c r="CZ307" s="5"/>
      <c r="DA307" s="5"/>
      <c r="DB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</row>
    <row r="308" spans="23:121" ht="12.75">
      <c r="W308" s="5"/>
      <c r="X308" s="5"/>
      <c r="Y308" s="5"/>
      <c r="Z308" s="5"/>
      <c r="CT308" s="5"/>
      <c r="CU308" s="5"/>
      <c r="CV308" s="5"/>
      <c r="CW308" s="5"/>
      <c r="CY308" s="5"/>
      <c r="CZ308" s="5"/>
      <c r="DA308" s="5"/>
      <c r="DB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</row>
    <row r="309" spans="23:121" ht="12.75">
      <c r="W309" s="5"/>
      <c r="X309" s="5"/>
      <c r="Y309" s="5"/>
      <c r="Z309" s="5"/>
      <c r="CT309" s="5"/>
      <c r="CU309" s="5"/>
      <c r="CV309" s="5"/>
      <c r="CW309" s="5"/>
      <c r="CY309" s="5"/>
      <c r="CZ309" s="5"/>
      <c r="DA309" s="5"/>
      <c r="DB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</row>
    <row r="310" spans="23:121" ht="12.75">
      <c r="W310" s="5"/>
      <c r="X310" s="5"/>
      <c r="Y310" s="5"/>
      <c r="Z310" s="5"/>
      <c r="CT310" s="5"/>
      <c r="CU310" s="5"/>
      <c r="CV310" s="5"/>
      <c r="CW310" s="5"/>
      <c r="CY310" s="5"/>
      <c r="CZ310" s="5"/>
      <c r="DA310" s="5"/>
      <c r="DB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</row>
    <row r="311" spans="23:121" ht="12.75">
      <c r="W311" s="5"/>
      <c r="X311" s="5"/>
      <c r="Y311" s="5"/>
      <c r="Z311" s="5"/>
      <c r="CT311" s="5"/>
      <c r="CU311" s="5"/>
      <c r="CV311" s="5"/>
      <c r="CW311" s="5"/>
      <c r="CY311" s="5"/>
      <c r="CZ311" s="5"/>
      <c r="DA311" s="5"/>
      <c r="DB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</row>
    <row r="312" spans="23:121" ht="12.75">
      <c r="W312" s="5"/>
      <c r="X312" s="5"/>
      <c r="Y312" s="5"/>
      <c r="Z312" s="5"/>
      <c r="CT312" s="5"/>
      <c r="CU312" s="5"/>
      <c r="CV312" s="5"/>
      <c r="CW312" s="5"/>
      <c r="CY312" s="5"/>
      <c r="CZ312" s="5"/>
      <c r="DA312" s="5"/>
      <c r="DB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</row>
    <row r="313" spans="23:121" ht="12.75">
      <c r="W313" s="5"/>
      <c r="X313" s="5"/>
      <c r="Y313" s="5"/>
      <c r="Z313" s="5"/>
      <c r="CT313" s="5"/>
      <c r="CU313" s="5"/>
      <c r="CV313" s="5"/>
      <c r="CW313" s="5"/>
      <c r="CY313" s="5"/>
      <c r="CZ313" s="5"/>
      <c r="DA313" s="5"/>
      <c r="DB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</row>
    <row r="314" spans="23:121" ht="12.75">
      <c r="W314" s="5"/>
      <c r="X314" s="5"/>
      <c r="Y314" s="5"/>
      <c r="Z314" s="5"/>
      <c r="CT314" s="5"/>
      <c r="CU314" s="5"/>
      <c r="CV314" s="5"/>
      <c r="CW314" s="5"/>
      <c r="CY314" s="5"/>
      <c r="CZ314" s="5"/>
      <c r="DA314" s="5"/>
      <c r="DB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</row>
    <row r="315" spans="23:121" ht="12.75">
      <c r="W315" s="5"/>
      <c r="X315" s="5"/>
      <c r="Y315" s="5"/>
      <c r="Z315" s="5"/>
      <c r="CT315" s="5"/>
      <c r="CU315" s="5"/>
      <c r="CV315" s="5"/>
      <c r="CW315" s="5"/>
      <c r="CY315" s="5"/>
      <c r="CZ315" s="5"/>
      <c r="DA315" s="5"/>
      <c r="DB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</row>
    <row r="316" spans="23:121" ht="12.75">
      <c r="W316" s="5"/>
      <c r="X316" s="5"/>
      <c r="Y316" s="5"/>
      <c r="Z316" s="5"/>
      <c r="CT316" s="5"/>
      <c r="CU316" s="5"/>
      <c r="CV316" s="5"/>
      <c r="CW316" s="5"/>
      <c r="CY316" s="5"/>
      <c r="CZ316" s="5"/>
      <c r="DA316" s="5"/>
      <c r="DB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</row>
    <row r="317" spans="23:121" ht="12.75">
      <c r="W317" s="5"/>
      <c r="X317" s="5"/>
      <c r="Y317" s="5"/>
      <c r="Z317" s="5"/>
      <c r="CT317" s="5"/>
      <c r="CU317" s="5"/>
      <c r="CV317" s="5"/>
      <c r="CW317" s="5"/>
      <c r="CY317" s="5"/>
      <c r="CZ317" s="5"/>
      <c r="DA317" s="5"/>
      <c r="DB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</row>
    <row r="318" spans="23:121" ht="12.75">
      <c r="W318" s="5"/>
      <c r="X318" s="5"/>
      <c r="Y318" s="5"/>
      <c r="Z318" s="5"/>
      <c r="CT318" s="5"/>
      <c r="CU318" s="5"/>
      <c r="CV318" s="5"/>
      <c r="CW318" s="5"/>
      <c r="CY318" s="5"/>
      <c r="CZ318" s="5"/>
      <c r="DA318" s="5"/>
      <c r="DB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</row>
    <row r="319" spans="23:121" ht="12.75">
      <c r="W319" s="5"/>
      <c r="X319" s="5"/>
      <c r="Y319" s="5"/>
      <c r="Z319" s="5"/>
      <c r="CT319" s="5"/>
      <c r="CU319" s="5"/>
      <c r="CV319" s="5"/>
      <c r="CW319" s="5"/>
      <c r="CY319" s="5"/>
      <c r="CZ319" s="5"/>
      <c r="DA319" s="5"/>
      <c r="DB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</row>
    <row r="320" spans="23:121" ht="12.75">
      <c r="W320" s="5"/>
      <c r="X320" s="5"/>
      <c r="Y320" s="5"/>
      <c r="Z320" s="5"/>
      <c r="CT320" s="5"/>
      <c r="CU320" s="5"/>
      <c r="CV320" s="5"/>
      <c r="CW320" s="5"/>
      <c r="CY320" s="5"/>
      <c r="CZ320" s="5"/>
      <c r="DA320" s="5"/>
      <c r="DB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</row>
    <row r="321" spans="23:121" ht="12.75">
      <c r="W321" s="5"/>
      <c r="X321" s="5"/>
      <c r="Y321" s="5"/>
      <c r="Z321" s="5"/>
      <c r="CT321" s="5"/>
      <c r="CU321" s="5"/>
      <c r="CV321" s="5"/>
      <c r="CW321" s="5"/>
      <c r="CY321" s="5"/>
      <c r="CZ321" s="5"/>
      <c r="DA321" s="5"/>
      <c r="DB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</row>
    <row r="322" spans="23:121" ht="12.75">
      <c r="W322" s="5"/>
      <c r="X322" s="5"/>
      <c r="Y322" s="5"/>
      <c r="Z322" s="5"/>
      <c r="CT322" s="5"/>
      <c r="CU322" s="5"/>
      <c r="CV322" s="5"/>
      <c r="CW322" s="5"/>
      <c r="CY322" s="5"/>
      <c r="CZ322" s="5"/>
      <c r="DA322" s="5"/>
      <c r="DB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</row>
    <row r="323" spans="23:121" ht="12.75">
      <c r="W323" s="5"/>
      <c r="X323" s="5"/>
      <c r="Y323" s="5"/>
      <c r="Z323" s="5"/>
      <c r="CT323" s="5"/>
      <c r="CU323" s="5"/>
      <c r="CV323" s="5"/>
      <c r="CW323" s="5"/>
      <c r="CY323" s="5"/>
      <c r="CZ323" s="5"/>
      <c r="DA323" s="5"/>
      <c r="DB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</row>
    <row r="324" spans="23:121" ht="12.75">
      <c r="W324" s="5"/>
      <c r="X324" s="5"/>
      <c r="Y324" s="5"/>
      <c r="Z324" s="5"/>
      <c r="CT324" s="5"/>
      <c r="CU324" s="5"/>
      <c r="CV324" s="5"/>
      <c r="CW324" s="5"/>
      <c r="CY324" s="5"/>
      <c r="CZ324" s="5"/>
      <c r="DA324" s="5"/>
      <c r="DB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</row>
    <row r="325" spans="23:121" ht="12.75">
      <c r="W325" s="5"/>
      <c r="X325" s="5"/>
      <c r="Y325" s="5"/>
      <c r="Z325" s="5"/>
      <c r="CT325" s="5"/>
      <c r="CU325" s="5"/>
      <c r="CV325" s="5"/>
      <c r="CW325" s="5"/>
      <c r="CY325" s="5"/>
      <c r="CZ325" s="5"/>
      <c r="DA325" s="5"/>
      <c r="DB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</row>
    <row r="326" spans="23:121" ht="12.75">
      <c r="W326" s="5"/>
      <c r="X326" s="5"/>
      <c r="Y326" s="5"/>
      <c r="Z326" s="5"/>
      <c r="CT326" s="5"/>
      <c r="CU326" s="5"/>
      <c r="CV326" s="5"/>
      <c r="CW326" s="5"/>
      <c r="CY326" s="5"/>
      <c r="CZ326" s="5"/>
      <c r="DA326" s="5"/>
      <c r="DB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</row>
    <row r="327" spans="23:121" ht="12.75">
      <c r="W327" s="5"/>
      <c r="X327" s="5"/>
      <c r="Y327" s="5"/>
      <c r="Z327" s="5"/>
      <c r="CT327" s="5"/>
      <c r="CU327" s="5"/>
      <c r="CV327" s="5"/>
      <c r="CW327" s="5"/>
      <c r="CY327" s="5"/>
      <c r="CZ327" s="5"/>
      <c r="DA327" s="5"/>
      <c r="DB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</row>
    <row r="328" spans="23:121" ht="12.75">
      <c r="W328" s="5"/>
      <c r="X328" s="5"/>
      <c r="Y328" s="5"/>
      <c r="Z328" s="5"/>
      <c r="CT328" s="5"/>
      <c r="CU328" s="5"/>
      <c r="CV328" s="5"/>
      <c r="CW328" s="5"/>
      <c r="CY328" s="5"/>
      <c r="CZ328" s="5"/>
      <c r="DA328" s="5"/>
      <c r="DB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</row>
    <row r="329" spans="23:121" ht="12.75">
      <c r="W329" s="5"/>
      <c r="X329" s="5"/>
      <c r="Y329" s="5"/>
      <c r="Z329" s="5"/>
      <c r="CT329" s="5"/>
      <c r="CU329" s="5"/>
      <c r="CV329" s="5"/>
      <c r="CW329" s="5"/>
      <c r="CY329" s="5"/>
      <c r="CZ329" s="5"/>
      <c r="DA329" s="5"/>
      <c r="DB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</row>
    <row r="330" spans="23:121" ht="12.75">
      <c r="W330" s="5"/>
      <c r="X330" s="5"/>
      <c r="Y330" s="5"/>
      <c r="Z330" s="5"/>
      <c r="CT330" s="5"/>
      <c r="CU330" s="5"/>
      <c r="CV330" s="5"/>
      <c r="CW330" s="5"/>
      <c r="CY330" s="5"/>
      <c r="CZ330" s="5"/>
      <c r="DA330" s="5"/>
      <c r="DB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</row>
    <row r="331" spans="23:121" ht="12.75">
      <c r="W331" s="5"/>
      <c r="X331" s="5"/>
      <c r="Y331" s="5"/>
      <c r="Z331" s="5"/>
      <c r="CT331" s="5"/>
      <c r="CU331" s="5"/>
      <c r="CV331" s="5"/>
      <c r="CW331" s="5"/>
      <c r="CY331" s="5"/>
      <c r="CZ331" s="5"/>
      <c r="DA331" s="5"/>
      <c r="DB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</row>
    <row r="332" spans="23:121" ht="12.75">
      <c r="W332" s="5"/>
      <c r="X332" s="5"/>
      <c r="Y332" s="5"/>
      <c r="Z332" s="5"/>
      <c r="CT332" s="5"/>
      <c r="CU332" s="5"/>
      <c r="CV332" s="5"/>
      <c r="CW332" s="5"/>
      <c r="CY332" s="5"/>
      <c r="CZ332" s="5"/>
      <c r="DA332" s="5"/>
      <c r="DB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</row>
    <row r="333" spans="23:121" ht="12.75">
      <c r="W333" s="5"/>
      <c r="X333" s="5"/>
      <c r="Y333" s="5"/>
      <c r="Z333" s="5"/>
      <c r="CT333" s="5"/>
      <c r="CU333" s="5"/>
      <c r="CV333" s="5"/>
      <c r="CW333" s="5"/>
      <c r="CY333" s="5"/>
      <c r="CZ333" s="5"/>
      <c r="DA333" s="5"/>
      <c r="DB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</row>
    <row r="334" spans="23:121" ht="12.75">
      <c r="W334" s="5"/>
      <c r="X334" s="5"/>
      <c r="Y334" s="5"/>
      <c r="Z334" s="5"/>
      <c r="CT334" s="5"/>
      <c r="CU334" s="5"/>
      <c r="CV334" s="5"/>
      <c r="CW334" s="5"/>
      <c r="CY334" s="5"/>
      <c r="CZ334" s="5"/>
      <c r="DA334" s="5"/>
      <c r="DB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</row>
    <row r="335" spans="23:121" ht="12.75">
      <c r="W335" s="5"/>
      <c r="X335" s="5"/>
      <c r="Y335" s="5"/>
      <c r="Z335" s="5"/>
      <c r="CT335" s="5"/>
      <c r="CU335" s="5"/>
      <c r="CV335" s="5"/>
      <c r="CW335" s="5"/>
      <c r="CY335" s="5"/>
      <c r="CZ335" s="5"/>
      <c r="DA335" s="5"/>
      <c r="DB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</row>
    <row r="336" spans="23:121" ht="12.75">
      <c r="W336" s="5"/>
      <c r="X336" s="5"/>
      <c r="Y336" s="5"/>
      <c r="Z336" s="5"/>
      <c r="CT336" s="5"/>
      <c r="CU336" s="5"/>
      <c r="CV336" s="5"/>
      <c r="CW336" s="5"/>
      <c r="CY336" s="5"/>
      <c r="CZ336" s="5"/>
      <c r="DA336" s="5"/>
      <c r="DB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</row>
    <row r="337" spans="23:121" ht="12.75">
      <c r="W337" s="5"/>
      <c r="X337" s="5"/>
      <c r="Y337" s="5"/>
      <c r="Z337" s="5"/>
      <c r="CT337" s="5"/>
      <c r="CU337" s="5"/>
      <c r="CV337" s="5"/>
      <c r="CW337" s="5"/>
      <c r="CY337" s="5"/>
      <c r="CZ337" s="5"/>
      <c r="DA337" s="5"/>
      <c r="DB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</row>
    <row r="338" spans="23:121" ht="12.75">
      <c r="W338" s="5"/>
      <c r="X338" s="5"/>
      <c r="Y338" s="5"/>
      <c r="Z338" s="5"/>
      <c r="CT338" s="5"/>
      <c r="CU338" s="5"/>
      <c r="CV338" s="5"/>
      <c r="CW338" s="5"/>
      <c r="CY338" s="5"/>
      <c r="CZ338" s="5"/>
      <c r="DA338" s="5"/>
      <c r="DB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</row>
    <row r="339" spans="23:121" ht="12.75">
      <c r="W339" s="5"/>
      <c r="X339" s="5"/>
      <c r="Y339" s="5"/>
      <c r="Z339" s="5"/>
      <c r="CT339" s="5"/>
      <c r="CU339" s="5"/>
      <c r="CV339" s="5"/>
      <c r="CW339" s="5"/>
      <c r="CY339" s="5"/>
      <c r="CZ339" s="5"/>
      <c r="DA339" s="5"/>
      <c r="DB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</row>
    <row r="340" spans="23:121" ht="12.75">
      <c r="W340" s="5"/>
      <c r="X340" s="5"/>
      <c r="Y340" s="5"/>
      <c r="Z340" s="5"/>
      <c r="CT340" s="5"/>
      <c r="CU340" s="5"/>
      <c r="CV340" s="5"/>
      <c r="CW340" s="5"/>
      <c r="CY340" s="5"/>
      <c r="CZ340" s="5"/>
      <c r="DA340" s="5"/>
      <c r="DB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</row>
    <row r="341" spans="23:121" ht="12.75">
      <c r="W341" s="5"/>
      <c r="X341" s="5"/>
      <c r="Y341" s="5"/>
      <c r="Z341" s="5"/>
      <c r="CT341" s="5"/>
      <c r="CU341" s="5"/>
      <c r="CV341" s="5"/>
      <c r="CW341" s="5"/>
      <c r="CY341" s="5"/>
      <c r="CZ341" s="5"/>
      <c r="DA341" s="5"/>
      <c r="DB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</row>
    <row r="342" spans="23:121" ht="12.75">
      <c r="W342" s="5"/>
      <c r="X342" s="5"/>
      <c r="Y342" s="5"/>
      <c r="Z342" s="5"/>
      <c r="CT342" s="5"/>
      <c r="CU342" s="5"/>
      <c r="CV342" s="5"/>
      <c r="CW342" s="5"/>
      <c r="CY342" s="5"/>
      <c r="CZ342" s="5"/>
      <c r="DA342" s="5"/>
      <c r="DB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</row>
    <row r="343" spans="23:121" ht="12.75">
      <c r="W343" s="5"/>
      <c r="X343" s="5"/>
      <c r="Y343" s="5"/>
      <c r="Z343" s="5"/>
      <c r="CT343" s="5"/>
      <c r="CU343" s="5"/>
      <c r="CV343" s="5"/>
      <c r="CW343" s="5"/>
      <c r="CY343" s="5"/>
      <c r="CZ343" s="5"/>
      <c r="DA343" s="5"/>
      <c r="DB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</row>
    <row r="344" spans="23:121" ht="12.75">
      <c r="W344" s="5"/>
      <c r="X344" s="5"/>
      <c r="Y344" s="5"/>
      <c r="Z344" s="5"/>
      <c r="CT344" s="5"/>
      <c r="CU344" s="5"/>
      <c r="CV344" s="5"/>
      <c r="CW344" s="5"/>
      <c r="CY344" s="5"/>
      <c r="CZ344" s="5"/>
      <c r="DA344" s="5"/>
      <c r="DB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</row>
    <row r="345" spans="23:121" ht="12.75">
      <c r="W345" s="5"/>
      <c r="X345" s="5"/>
      <c r="Y345" s="5"/>
      <c r="Z345" s="5"/>
      <c r="CT345" s="5"/>
      <c r="CU345" s="5"/>
      <c r="CV345" s="5"/>
      <c r="CW345" s="5"/>
      <c r="CY345" s="5"/>
      <c r="CZ345" s="5"/>
      <c r="DA345" s="5"/>
      <c r="DB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</row>
    <row r="346" spans="23:121" ht="12.75">
      <c r="W346" s="5"/>
      <c r="X346" s="5"/>
      <c r="Y346" s="5"/>
      <c r="Z346" s="5"/>
      <c r="CT346" s="5"/>
      <c r="CU346" s="5"/>
      <c r="CV346" s="5"/>
      <c r="CW346" s="5"/>
      <c r="CY346" s="5"/>
      <c r="CZ346" s="5"/>
      <c r="DA346" s="5"/>
      <c r="DB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</row>
    <row r="347" spans="23:121" ht="12.75">
      <c r="W347" s="5"/>
      <c r="X347" s="5"/>
      <c r="Y347" s="5"/>
      <c r="Z347" s="5"/>
      <c r="CT347" s="5"/>
      <c r="CU347" s="5"/>
      <c r="CV347" s="5"/>
      <c r="CW347" s="5"/>
      <c r="CY347" s="5"/>
      <c r="CZ347" s="5"/>
      <c r="DA347" s="5"/>
      <c r="DB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</row>
    <row r="348" spans="23:121" ht="12.75">
      <c r="W348" s="5"/>
      <c r="X348" s="5"/>
      <c r="Y348" s="5"/>
      <c r="Z348" s="5"/>
      <c r="CT348" s="5"/>
      <c r="CU348" s="5"/>
      <c r="CV348" s="5"/>
      <c r="CW348" s="5"/>
      <c r="CY348" s="5"/>
      <c r="CZ348" s="5"/>
      <c r="DA348" s="5"/>
      <c r="DB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</row>
    <row r="349" spans="23:121" ht="12.75">
      <c r="W349" s="5"/>
      <c r="X349" s="5"/>
      <c r="Y349" s="5"/>
      <c r="Z349" s="5"/>
      <c r="CT349" s="5"/>
      <c r="CU349" s="5"/>
      <c r="CV349" s="5"/>
      <c r="CW349" s="5"/>
      <c r="CY349" s="5"/>
      <c r="CZ349" s="5"/>
      <c r="DA349" s="5"/>
      <c r="DB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</row>
    <row r="350" spans="23:121" ht="12.75">
      <c r="W350" s="5"/>
      <c r="X350" s="5"/>
      <c r="Y350" s="5"/>
      <c r="Z350" s="5"/>
      <c r="CT350" s="5"/>
      <c r="CU350" s="5"/>
      <c r="CV350" s="5"/>
      <c r="CW350" s="5"/>
      <c r="CY350" s="5"/>
      <c r="CZ350" s="5"/>
      <c r="DA350" s="5"/>
      <c r="DB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</row>
    <row r="351" spans="23:121" ht="12.75">
      <c r="W351" s="5"/>
      <c r="X351" s="5"/>
      <c r="Y351" s="5"/>
      <c r="Z351" s="5"/>
      <c r="CT351" s="5"/>
      <c r="CU351" s="5"/>
      <c r="CV351" s="5"/>
      <c r="CW351" s="5"/>
      <c r="CY351" s="5"/>
      <c r="CZ351" s="5"/>
      <c r="DA351" s="5"/>
      <c r="DB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</row>
    <row r="352" spans="23:121" ht="12.75">
      <c r="W352" s="5"/>
      <c r="X352" s="5"/>
      <c r="Y352" s="5"/>
      <c r="Z352" s="5"/>
      <c r="CT352" s="5"/>
      <c r="CU352" s="5"/>
      <c r="CV352" s="5"/>
      <c r="CW352" s="5"/>
      <c r="CY352" s="5"/>
      <c r="CZ352" s="5"/>
      <c r="DA352" s="5"/>
      <c r="DB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</row>
    <row r="353" spans="23:121" ht="12.75">
      <c r="W353" s="5"/>
      <c r="X353" s="5"/>
      <c r="Y353" s="5"/>
      <c r="Z353" s="5"/>
      <c r="CT353" s="5"/>
      <c r="CU353" s="5"/>
      <c r="CV353" s="5"/>
      <c r="CW353" s="5"/>
      <c r="CY353" s="5"/>
      <c r="CZ353" s="5"/>
      <c r="DA353" s="5"/>
      <c r="DB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</row>
    <row r="354" spans="23:121" ht="12.75">
      <c r="W354" s="5"/>
      <c r="X354" s="5"/>
      <c r="Y354" s="5"/>
      <c r="Z354" s="5"/>
      <c r="CT354" s="5"/>
      <c r="CU354" s="5"/>
      <c r="CV354" s="5"/>
      <c r="CW354" s="5"/>
      <c r="CY354" s="5"/>
      <c r="CZ354" s="5"/>
      <c r="DA354" s="5"/>
      <c r="DB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</row>
    <row r="355" spans="23:121" ht="12.75">
      <c r="W355" s="5"/>
      <c r="X355" s="5"/>
      <c r="Y355" s="5"/>
      <c r="Z355" s="5"/>
      <c r="CT355" s="5"/>
      <c r="CU355" s="5"/>
      <c r="CV355" s="5"/>
      <c r="CW355" s="5"/>
      <c r="CY355" s="5"/>
      <c r="CZ355" s="5"/>
      <c r="DA355" s="5"/>
      <c r="DB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</row>
    <row r="356" spans="23:121" ht="12.75">
      <c r="W356" s="5"/>
      <c r="X356" s="5"/>
      <c r="Y356" s="5"/>
      <c r="Z356" s="5"/>
      <c r="CT356" s="5"/>
      <c r="CU356" s="5"/>
      <c r="CV356" s="5"/>
      <c r="CW356" s="5"/>
      <c r="CY356" s="5"/>
      <c r="CZ356" s="5"/>
      <c r="DA356" s="5"/>
      <c r="DB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</row>
    <row r="357" spans="23:121" ht="12.75">
      <c r="W357" s="5"/>
      <c r="X357" s="5"/>
      <c r="Y357" s="5"/>
      <c r="Z357" s="5"/>
      <c r="CT357" s="5"/>
      <c r="CU357" s="5"/>
      <c r="CV357" s="5"/>
      <c r="CW357" s="5"/>
      <c r="CY357" s="5"/>
      <c r="CZ357" s="5"/>
      <c r="DA357" s="5"/>
      <c r="DB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</row>
    <row r="358" spans="23:121" ht="12.75">
      <c r="W358" s="5"/>
      <c r="X358" s="5"/>
      <c r="Y358" s="5"/>
      <c r="Z358" s="5"/>
      <c r="CT358" s="5"/>
      <c r="CU358" s="5"/>
      <c r="CV358" s="5"/>
      <c r="CW358" s="5"/>
      <c r="CY358" s="5"/>
      <c r="CZ358" s="5"/>
      <c r="DA358" s="5"/>
      <c r="DB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</row>
    <row r="359" spans="23:121" ht="12.75">
      <c r="W359" s="5"/>
      <c r="X359" s="5"/>
      <c r="Y359" s="5"/>
      <c r="Z359" s="5"/>
      <c r="CT359" s="5"/>
      <c r="CU359" s="5"/>
      <c r="CV359" s="5"/>
      <c r="CW359" s="5"/>
      <c r="CY359" s="5"/>
      <c r="CZ359" s="5"/>
      <c r="DA359" s="5"/>
      <c r="DB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</row>
    <row r="360" spans="23:121" ht="12.75">
      <c r="W360" s="5"/>
      <c r="X360" s="5"/>
      <c r="Y360" s="5"/>
      <c r="Z360" s="5"/>
      <c r="CT360" s="5"/>
      <c r="CU360" s="5"/>
      <c r="CV360" s="5"/>
      <c r="CW360" s="5"/>
      <c r="CY360" s="5"/>
      <c r="CZ360" s="5"/>
      <c r="DA360" s="5"/>
      <c r="DB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</row>
    <row r="361" spans="23:121" ht="12.75">
      <c r="W361" s="5"/>
      <c r="X361" s="5"/>
      <c r="Y361" s="5"/>
      <c r="Z361" s="5"/>
      <c r="CT361" s="5"/>
      <c r="CU361" s="5"/>
      <c r="CV361" s="5"/>
      <c r="CW361" s="5"/>
      <c r="CY361" s="5"/>
      <c r="CZ361" s="5"/>
      <c r="DA361" s="5"/>
      <c r="DB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</row>
    <row r="362" spans="23:121" ht="12.75">
      <c r="W362" s="5"/>
      <c r="X362" s="5"/>
      <c r="Y362" s="5"/>
      <c r="Z362" s="5"/>
      <c r="CT362" s="5"/>
      <c r="CU362" s="5"/>
      <c r="CV362" s="5"/>
      <c r="CW362" s="5"/>
      <c r="CY362" s="5"/>
      <c r="CZ362" s="5"/>
      <c r="DA362" s="5"/>
      <c r="DB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</row>
    <row r="363" spans="23:121" ht="12.75">
      <c r="W363" s="5"/>
      <c r="X363" s="5"/>
      <c r="Y363" s="5"/>
      <c r="Z363" s="5"/>
      <c r="CT363" s="5"/>
      <c r="CU363" s="5"/>
      <c r="CV363" s="5"/>
      <c r="CW363" s="5"/>
      <c r="CY363" s="5"/>
      <c r="CZ363" s="5"/>
      <c r="DA363" s="5"/>
      <c r="DB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</row>
    <row r="364" spans="23:121" ht="12.75">
      <c r="W364" s="5"/>
      <c r="X364" s="5"/>
      <c r="Y364" s="5"/>
      <c r="Z364" s="5"/>
      <c r="CT364" s="5"/>
      <c r="CU364" s="5"/>
      <c r="CV364" s="5"/>
      <c r="CW364" s="5"/>
      <c r="CY364" s="5"/>
      <c r="CZ364" s="5"/>
      <c r="DA364" s="5"/>
      <c r="DB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</row>
    <row r="365" spans="23:121" ht="12.75">
      <c r="W365" s="5"/>
      <c r="X365" s="5"/>
      <c r="Y365" s="5"/>
      <c r="Z365" s="5"/>
      <c r="CT365" s="5"/>
      <c r="CU365" s="5"/>
      <c r="CV365" s="5"/>
      <c r="CW365" s="5"/>
      <c r="CY365" s="5"/>
      <c r="CZ365" s="5"/>
      <c r="DA365" s="5"/>
      <c r="DB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</row>
    <row r="366" spans="23:121" ht="12.75">
      <c r="W366" s="5"/>
      <c r="X366" s="5"/>
      <c r="Y366" s="5"/>
      <c r="Z366" s="5"/>
      <c r="CT366" s="5"/>
      <c r="CU366" s="5"/>
      <c r="CV366" s="5"/>
      <c r="CW366" s="5"/>
      <c r="CY366" s="5"/>
      <c r="CZ366" s="5"/>
      <c r="DA366" s="5"/>
      <c r="DB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</row>
    <row r="367" spans="23:121" ht="12.75">
      <c r="W367" s="5"/>
      <c r="X367" s="5"/>
      <c r="Y367" s="5"/>
      <c r="Z367" s="5"/>
      <c r="CT367" s="5"/>
      <c r="CU367" s="5"/>
      <c r="CV367" s="5"/>
      <c r="CW367" s="5"/>
      <c r="CY367" s="5"/>
      <c r="CZ367" s="5"/>
      <c r="DA367" s="5"/>
      <c r="DB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</row>
    <row r="368" spans="23:121" ht="12.75">
      <c r="W368" s="5"/>
      <c r="X368" s="5"/>
      <c r="Y368" s="5"/>
      <c r="Z368" s="5"/>
      <c r="CT368" s="5"/>
      <c r="CU368" s="5"/>
      <c r="CV368" s="5"/>
      <c r="CW368" s="5"/>
      <c r="CY368" s="5"/>
      <c r="CZ368" s="5"/>
      <c r="DA368" s="5"/>
      <c r="DB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</row>
    <row r="369" spans="23:121" ht="12.75">
      <c r="W369" s="5"/>
      <c r="X369" s="5"/>
      <c r="Y369" s="5"/>
      <c r="Z369" s="5"/>
      <c r="CT369" s="5"/>
      <c r="CU369" s="5"/>
      <c r="CV369" s="5"/>
      <c r="CW369" s="5"/>
      <c r="CY369" s="5"/>
      <c r="CZ369" s="5"/>
      <c r="DA369" s="5"/>
      <c r="DB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</row>
    <row r="370" spans="23:121" ht="12.75">
      <c r="W370" s="5"/>
      <c r="X370" s="5"/>
      <c r="Y370" s="5"/>
      <c r="Z370" s="5"/>
      <c r="CT370" s="5"/>
      <c r="CU370" s="5"/>
      <c r="CV370" s="5"/>
      <c r="CW370" s="5"/>
      <c r="CY370" s="5"/>
      <c r="CZ370" s="5"/>
      <c r="DA370" s="5"/>
      <c r="DB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</row>
    <row r="371" spans="23:121" ht="12.75">
      <c r="W371" s="5"/>
      <c r="X371" s="5"/>
      <c r="Y371" s="5"/>
      <c r="Z371" s="5"/>
      <c r="CT371" s="5"/>
      <c r="CU371" s="5"/>
      <c r="CV371" s="5"/>
      <c r="CW371" s="5"/>
      <c r="CY371" s="5"/>
      <c r="CZ371" s="5"/>
      <c r="DA371" s="5"/>
      <c r="DB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</row>
    <row r="372" spans="23:121" ht="12.75">
      <c r="W372" s="5"/>
      <c r="X372" s="5"/>
      <c r="Y372" s="5"/>
      <c r="Z372" s="5"/>
      <c r="CT372" s="5"/>
      <c r="CU372" s="5"/>
      <c r="CV372" s="5"/>
      <c r="CW372" s="5"/>
      <c r="CY372" s="5"/>
      <c r="CZ372" s="5"/>
      <c r="DA372" s="5"/>
      <c r="DB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</row>
    <row r="373" spans="23:121" ht="12.75">
      <c r="W373" s="5"/>
      <c r="X373" s="5"/>
      <c r="Y373" s="5"/>
      <c r="Z373" s="5"/>
      <c r="CT373" s="5"/>
      <c r="CU373" s="5"/>
      <c r="CV373" s="5"/>
      <c r="CW373" s="5"/>
      <c r="CY373" s="5"/>
      <c r="CZ373" s="5"/>
      <c r="DA373" s="5"/>
      <c r="DB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</row>
    <row r="374" spans="23:121" ht="12.75">
      <c r="W374" s="5"/>
      <c r="X374" s="5"/>
      <c r="Y374" s="5"/>
      <c r="Z374" s="5"/>
      <c r="CT374" s="5"/>
      <c r="CU374" s="5"/>
      <c r="CV374" s="5"/>
      <c r="CW374" s="5"/>
      <c r="CY374" s="5"/>
      <c r="CZ374" s="5"/>
      <c r="DA374" s="5"/>
      <c r="DB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</row>
    <row r="375" spans="23:121" ht="12.75">
      <c r="W375" s="5"/>
      <c r="X375" s="5"/>
      <c r="Y375" s="5"/>
      <c r="Z375" s="5"/>
      <c r="CT375" s="5"/>
      <c r="CU375" s="5"/>
      <c r="CV375" s="5"/>
      <c r="CW375" s="5"/>
      <c r="CY375" s="5"/>
      <c r="CZ375" s="5"/>
      <c r="DA375" s="5"/>
      <c r="DB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</row>
    <row r="376" spans="23:121" ht="12.75">
      <c r="W376" s="5"/>
      <c r="X376" s="5"/>
      <c r="Y376" s="5"/>
      <c r="Z376" s="5"/>
      <c r="CT376" s="5"/>
      <c r="CU376" s="5"/>
      <c r="CV376" s="5"/>
      <c r="CW376" s="5"/>
      <c r="CY376" s="5"/>
      <c r="CZ376" s="5"/>
      <c r="DA376" s="5"/>
      <c r="DB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</row>
    <row r="377" spans="23:121" ht="12.75">
      <c r="W377" s="5"/>
      <c r="X377" s="5"/>
      <c r="Y377" s="5"/>
      <c r="Z377" s="5"/>
      <c r="CT377" s="5"/>
      <c r="CU377" s="5"/>
      <c r="CV377" s="5"/>
      <c r="CW377" s="5"/>
      <c r="CY377" s="5"/>
      <c r="CZ377" s="5"/>
      <c r="DA377" s="5"/>
      <c r="DB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</row>
    <row r="378" spans="23:121" ht="12.75">
      <c r="W378" s="5"/>
      <c r="X378" s="5"/>
      <c r="Y378" s="5"/>
      <c r="Z378" s="5"/>
      <c r="CT378" s="5"/>
      <c r="CU378" s="5"/>
      <c r="CV378" s="5"/>
      <c r="CW378" s="5"/>
      <c r="CY378" s="5"/>
      <c r="CZ378" s="5"/>
      <c r="DA378" s="5"/>
      <c r="DB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</row>
    <row r="379" spans="23:121" ht="12.75">
      <c r="W379" s="5"/>
      <c r="X379" s="5"/>
      <c r="Y379" s="5"/>
      <c r="Z379" s="5"/>
      <c r="CT379" s="5"/>
      <c r="CU379" s="5"/>
      <c r="CV379" s="5"/>
      <c r="CW379" s="5"/>
      <c r="CY379" s="5"/>
      <c r="CZ379" s="5"/>
      <c r="DA379" s="5"/>
      <c r="DB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</row>
    <row r="380" spans="23:121" ht="12.75">
      <c r="W380" s="5"/>
      <c r="X380" s="5"/>
      <c r="Y380" s="5"/>
      <c r="Z380" s="5"/>
      <c r="CT380" s="5"/>
      <c r="CU380" s="5"/>
      <c r="CV380" s="5"/>
      <c r="CW380" s="5"/>
      <c r="CY380" s="5"/>
      <c r="CZ380" s="5"/>
      <c r="DA380" s="5"/>
      <c r="DB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</row>
    <row r="381" spans="23:121" ht="12.75">
      <c r="W381" s="5"/>
      <c r="X381" s="5"/>
      <c r="Y381" s="5"/>
      <c r="Z381" s="5"/>
      <c r="CT381" s="5"/>
      <c r="CU381" s="5"/>
      <c r="CV381" s="5"/>
      <c r="CW381" s="5"/>
      <c r="CY381" s="5"/>
      <c r="CZ381" s="5"/>
      <c r="DA381" s="5"/>
      <c r="DB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</row>
    <row r="382" spans="23:121" ht="12.75">
      <c r="W382" s="5"/>
      <c r="X382" s="5"/>
      <c r="Y382" s="5"/>
      <c r="Z382" s="5"/>
      <c r="CT382" s="5"/>
      <c r="CU382" s="5"/>
      <c r="CV382" s="5"/>
      <c r="CW382" s="5"/>
      <c r="CY382" s="5"/>
      <c r="CZ382" s="5"/>
      <c r="DA382" s="5"/>
      <c r="DB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</row>
    <row r="383" spans="23:121" ht="12.75">
      <c r="W383" s="5"/>
      <c r="X383" s="5"/>
      <c r="Y383" s="5"/>
      <c r="Z383" s="5"/>
      <c r="CT383" s="5"/>
      <c r="CU383" s="5"/>
      <c r="CV383" s="5"/>
      <c r="CW383" s="5"/>
      <c r="CY383" s="5"/>
      <c r="CZ383" s="5"/>
      <c r="DA383" s="5"/>
      <c r="DB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</row>
    <row r="384" spans="23:121" ht="12.75">
      <c r="W384" s="5"/>
      <c r="X384" s="5"/>
      <c r="Y384" s="5"/>
      <c r="Z384" s="5"/>
      <c r="CT384" s="5"/>
      <c r="CU384" s="5"/>
      <c r="CV384" s="5"/>
      <c r="CW384" s="5"/>
      <c r="CY384" s="5"/>
      <c r="CZ384" s="5"/>
      <c r="DA384" s="5"/>
      <c r="DB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</row>
    <row r="385" spans="23:121" ht="12.75">
      <c r="W385" s="5"/>
      <c r="X385" s="5"/>
      <c r="Y385" s="5"/>
      <c r="Z385" s="5"/>
      <c r="CT385" s="5"/>
      <c r="CU385" s="5"/>
      <c r="CV385" s="5"/>
      <c r="CW385" s="5"/>
      <c r="CY385" s="5"/>
      <c r="CZ385" s="5"/>
      <c r="DA385" s="5"/>
      <c r="DB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</row>
    <row r="386" spans="23:121" ht="12.75">
      <c r="W386" s="5"/>
      <c r="X386" s="5"/>
      <c r="Y386" s="5"/>
      <c r="Z386" s="5"/>
      <c r="CT386" s="5"/>
      <c r="CU386" s="5"/>
      <c r="CV386" s="5"/>
      <c r="CW386" s="5"/>
      <c r="CY386" s="5"/>
      <c r="CZ386" s="5"/>
      <c r="DA386" s="5"/>
      <c r="DB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</row>
    <row r="387" spans="23:121" ht="12.75">
      <c r="W387" s="5"/>
      <c r="X387" s="5"/>
      <c r="Y387" s="5"/>
      <c r="Z387" s="5"/>
      <c r="CT387" s="5"/>
      <c r="CU387" s="5"/>
      <c r="CV387" s="5"/>
      <c r="CW387" s="5"/>
      <c r="CY387" s="5"/>
      <c r="CZ387" s="5"/>
      <c r="DA387" s="5"/>
      <c r="DB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</row>
    <row r="388" spans="23:121" ht="12.75">
      <c r="W388" s="5"/>
      <c r="X388" s="5"/>
      <c r="Y388" s="5"/>
      <c r="Z388" s="5"/>
      <c r="CT388" s="5"/>
      <c r="CU388" s="5"/>
      <c r="CV388" s="5"/>
      <c r="CW388" s="5"/>
      <c r="CY388" s="5"/>
      <c r="CZ388" s="5"/>
      <c r="DA388" s="5"/>
      <c r="DB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</row>
    <row r="389" spans="23:121" ht="12.75">
      <c r="W389" s="5"/>
      <c r="X389" s="5"/>
      <c r="Y389" s="5"/>
      <c r="Z389" s="5"/>
      <c r="CT389" s="5"/>
      <c r="CU389" s="5"/>
      <c r="CV389" s="5"/>
      <c r="CW389" s="5"/>
      <c r="CY389" s="5"/>
      <c r="CZ389" s="5"/>
      <c r="DA389" s="5"/>
      <c r="DB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</row>
    <row r="390" spans="23:121" ht="12.75">
      <c r="W390" s="5"/>
      <c r="X390" s="5"/>
      <c r="Y390" s="5"/>
      <c r="Z390" s="5"/>
      <c r="CT390" s="5"/>
      <c r="CU390" s="5"/>
      <c r="CV390" s="5"/>
      <c r="CW390" s="5"/>
      <c r="CY390" s="5"/>
      <c r="CZ390" s="5"/>
      <c r="DA390" s="5"/>
      <c r="DB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</row>
    <row r="391" spans="23:121" ht="12.75">
      <c r="W391" s="5"/>
      <c r="X391" s="5"/>
      <c r="Y391" s="5"/>
      <c r="Z391" s="5"/>
      <c r="CT391" s="5"/>
      <c r="CU391" s="5"/>
      <c r="CV391" s="5"/>
      <c r="CW391" s="5"/>
      <c r="CY391" s="5"/>
      <c r="CZ391" s="5"/>
      <c r="DA391" s="5"/>
      <c r="DB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</row>
    <row r="392" spans="23:121" ht="12.75">
      <c r="W392" s="5"/>
      <c r="X392" s="5"/>
      <c r="Y392" s="5"/>
      <c r="Z392" s="5"/>
      <c r="CT392" s="5"/>
      <c r="CU392" s="5"/>
      <c r="CV392" s="5"/>
      <c r="CW392" s="5"/>
      <c r="CY392" s="5"/>
      <c r="CZ392" s="5"/>
      <c r="DA392" s="5"/>
      <c r="DB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</row>
    <row r="393" spans="23:121" ht="12.75">
      <c r="W393" s="5"/>
      <c r="X393" s="5"/>
      <c r="Y393" s="5"/>
      <c r="Z393" s="5"/>
      <c r="CT393" s="5"/>
      <c r="CU393" s="5"/>
      <c r="CV393" s="5"/>
      <c r="CW393" s="5"/>
      <c r="CY393" s="5"/>
      <c r="CZ393" s="5"/>
      <c r="DA393" s="5"/>
      <c r="DB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</row>
    <row r="394" spans="23:121" ht="12.75">
      <c r="W394" s="5"/>
      <c r="X394" s="5"/>
      <c r="Y394" s="5"/>
      <c r="Z394" s="5"/>
      <c r="CT394" s="5"/>
      <c r="CU394" s="5"/>
      <c r="CV394" s="5"/>
      <c r="CW394" s="5"/>
      <c r="CY394" s="5"/>
      <c r="CZ394" s="5"/>
      <c r="DA394" s="5"/>
      <c r="DB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</row>
    <row r="395" spans="23:121" ht="12.75">
      <c r="W395" s="5"/>
      <c r="X395" s="5"/>
      <c r="Y395" s="5"/>
      <c r="Z395" s="5"/>
      <c r="CT395" s="5"/>
      <c r="CU395" s="5"/>
      <c r="CV395" s="5"/>
      <c r="CW395" s="5"/>
      <c r="CY395" s="5"/>
      <c r="CZ395" s="5"/>
      <c r="DA395" s="5"/>
      <c r="DB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</row>
    <row r="396" spans="23:121" ht="12.75">
      <c r="W396" s="5"/>
      <c r="X396" s="5"/>
      <c r="Y396" s="5"/>
      <c r="Z396" s="5"/>
      <c r="CT396" s="5"/>
      <c r="CU396" s="5"/>
      <c r="CV396" s="5"/>
      <c r="CW396" s="5"/>
      <c r="CY396" s="5"/>
      <c r="CZ396" s="5"/>
      <c r="DA396" s="5"/>
      <c r="DB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</row>
    <row r="397" spans="23:121" ht="12.75">
      <c r="W397" s="5"/>
      <c r="X397" s="5"/>
      <c r="Y397" s="5"/>
      <c r="Z397" s="5"/>
      <c r="CT397" s="5"/>
      <c r="CU397" s="5"/>
      <c r="CV397" s="5"/>
      <c r="CW397" s="5"/>
      <c r="CY397" s="5"/>
      <c r="CZ397" s="5"/>
      <c r="DA397" s="5"/>
      <c r="DB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</row>
    <row r="398" spans="23:121" ht="12.75">
      <c r="W398" s="5"/>
      <c r="X398" s="5"/>
      <c r="Y398" s="5"/>
      <c r="Z398" s="5"/>
      <c r="CT398" s="5"/>
      <c r="CU398" s="5"/>
      <c r="CV398" s="5"/>
      <c r="CW398" s="5"/>
      <c r="CY398" s="5"/>
      <c r="CZ398" s="5"/>
      <c r="DA398" s="5"/>
      <c r="DB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</row>
    <row r="399" spans="23:121" ht="12.75">
      <c r="W399" s="5"/>
      <c r="X399" s="5"/>
      <c r="Y399" s="5"/>
      <c r="Z399" s="5"/>
      <c r="CT399" s="5"/>
      <c r="CU399" s="5"/>
      <c r="CV399" s="5"/>
      <c r="CW399" s="5"/>
      <c r="CY399" s="5"/>
      <c r="CZ399" s="5"/>
      <c r="DA399" s="5"/>
      <c r="DB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</row>
    <row r="400" spans="23:121" ht="12.75">
      <c r="W400" s="5"/>
      <c r="X400" s="5"/>
      <c r="Y400" s="5"/>
      <c r="Z400" s="5"/>
      <c r="CT400" s="5"/>
      <c r="CU400" s="5"/>
      <c r="CV400" s="5"/>
      <c r="CW400" s="5"/>
      <c r="CY400" s="5"/>
      <c r="CZ400" s="5"/>
      <c r="DA400" s="5"/>
      <c r="DB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</row>
    <row r="401" spans="23:121" ht="12.75">
      <c r="W401" s="5"/>
      <c r="X401" s="5"/>
      <c r="Y401" s="5"/>
      <c r="Z401" s="5"/>
      <c r="CT401" s="5"/>
      <c r="CU401" s="5"/>
      <c r="CV401" s="5"/>
      <c r="CW401" s="5"/>
      <c r="CY401" s="5"/>
      <c r="CZ401" s="5"/>
      <c r="DA401" s="5"/>
      <c r="DB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</row>
    <row r="402" spans="23:121" ht="12.75">
      <c r="W402" s="5"/>
      <c r="X402" s="5"/>
      <c r="Y402" s="5"/>
      <c r="Z402" s="5"/>
      <c r="CT402" s="5"/>
      <c r="CU402" s="5"/>
      <c r="CV402" s="5"/>
      <c r="CW402" s="5"/>
      <c r="CY402" s="5"/>
      <c r="CZ402" s="5"/>
      <c r="DA402" s="5"/>
      <c r="DB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</row>
    <row r="403" spans="23:121" ht="12.75">
      <c r="W403" s="5"/>
      <c r="X403" s="5"/>
      <c r="Y403" s="5"/>
      <c r="Z403" s="5"/>
      <c r="CT403" s="5"/>
      <c r="CU403" s="5"/>
      <c r="CV403" s="5"/>
      <c r="CW403" s="5"/>
      <c r="CY403" s="5"/>
      <c r="CZ403" s="5"/>
      <c r="DA403" s="5"/>
      <c r="DB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</row>
    <row r="404" spans="23:121" ht="12.75">
      <c r="W404" s="5"/>
      <c r="X404" s="5"/>
      <c r="Y404" s="5"/>
      <c r="Z404" s="5"/>
      <c r="CT404" s="5"/>
      <c r="CU404" s="5"/>
      <c r="CV404" s="5"/>
      <c r="CW404" s="5"/>
      <c r="CY404" s="5"/>
      <c r="CZ404" s="5"/>
      <c r="DA404" s="5"/>
      <c r="DB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</row>
    <row r="405" spans="23:121" ht="12.75">
      <c r="W405" s="5"/>
      <c r="X405" s="5"/>
      <c r="Y405" s="5"/>
      <c r="Z405" s="5"/>
      <c r="CT405" s="5"/>
      <c r="CU405" s="5"/>
      <c r="CV405" s="5"/>
      <c r="CW405" s="5"/>
      <c r="CY405" s="5"/>
      <c r="CZ405" s="5"/>
      <c r="DA405" s="5"/>
      <c r="DB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</row>
    <row r="406" spans="23:121" ht="12.75">
      <c r="W406" s="5"/>
      <c r="X406" s="5"/>
      <c r="Y406" s="5"/>
      <c r="Z406" s="5"/>
      <c r="CT406" s="5"/>
      <c r="CU406" s="5"/>
      <c r="CV406" s="5"/>
      <c r="CW406" s="5"/>
      <c r="CY406" s="5"/>
      <c r="CZ406" s="5"/>
      <c r="DA406" s="5"/>
      <c r="DB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</row>
    <row r="407" spans="23:121" ht="12.75">
      <c r="W407" s="5"/>
      <c r="X407" s="5"/>
      <c r="Y407" s="5"/>
      <c r="Z407" s="5"/>
      <c r="CT407" s="5"/>
      <c r="CU407" s="5"/>
      <c r="CV407" s="5"/>
      <c r="CW407" s="5"/>
      <c r="CY407" s="5"/>
      <c r="CZ407" s="5"/>
      <c r="DA407" s="5"/>
      <c r="DB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</row>
    <row r="408" spans="23:121" ht="12.75">
      <c r="W408" s="5"/>
      <c r="X408" s="5"/>
      <c r="Y408" s="5"/>
      <c r="Z408" s="5"/>
      <c r="CT408" s="5"/>
      <c r="CU408" s="5"/>
      <c r="CV408" s="5"/>
      <c r="CW408" s="5"/>
      <c r="CY408" s="5"/>
      <c r="CZ408" s="5"/>
      <c r="DA408" s="5"/>
      <c r="DB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</row>
    <row r="409" spans="23:121" ht="12.75">
      <c r="W409" s="5"/>
      <c r="X409" s="5"/>
      <c r="Y409" s="5"/>
      <c r="Z409" s="5"/>
      <c r="CT409" s="5"/>
      <c r="CU409" s="5"/>
      <c r="CV409" s="5"/>
      <c r="CW409" s="5"/>
      <c r="CY409" s="5"/>
      <c r="CZ409" s="5"/>
      <c r="DA409" s="5"/>
      <c r="DB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</row>
    <row r="410" spans="23:121" ht="12.75">
      <c r="W410" s="5"/>
      <c r="X410" s="5"/>
      <c r="Y410" s="5"/>
      <c r="Z410" s="5"/>
      <c r="CT410" s="5"/>
      <c r="CU410" s="5"/>
      <c r="CV410" s="5"/>
      <c r="CW410" s="5"/>
      <c r="CY410" s="5"/>
      <c r="CZ410" s="5"/>
      <c r="DA410" s="5"/>
      <c r="DB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</row>
    <row r="411" spans="23:121" ht="12.75">
      <c r="W411" s="5"/>
      <c r="X411" s="5"/>
      <c r="Y411" s="5"/>
      <c r="Z411" s="5"/>
      <c r="CT411" s="5"/>
      <c r="CU411" s="5"/>
      <c r="CV411" s="5"/>
      <c r="CW411" s="5"/>
      <c r="CY411" s="5"/>
      <c r="CZ411" s="5"/>
      <c r="DA411" s="5"/>
      <c r="DB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</row>
    <row r="412" spans="23:121" ht="12.75">
      <c r="W412" s="5"/>
      <c r="X412" s="5"/>
      <c r="Y412" s="5"/>
      <c r="Z412" s="5"/>
      <c r="CT412" s="5"/>
      <c r="CU412" s="5"/>
      <c r="CV412" s="5"/>
      <c r="CW412" s="5"/>
      <c r="CY412" s="5"/>
      <c r="CZ412" s="5"/>
      <c r="DA412" s="5"/>
      <c r="DB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</row>
    <row r="413" spans="23:121" ht="12.75">
      <c r="W413" s="5"/>
      <c r="X413" s="5"/>
      <c r="Y413" s="5"/>
      <c r="Z413" s="5"/>
      <c r="CT413" s="5"/>
      <c r="CU413" s="5"/>
      <c r="CV413" s="5"/>
      <c r="CW413" s="5"/>
      <c r="CY413" s="5"/>
      <c r="CZ413" s="5"/>
      <c r="DA413" s="5"/>
      <c r="DB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</row>
    <row r="414" spans="23:121" ht="12.75">
      <c r="W414" s="5"/>
      <c r="X414" s="5"/>
      <c r="Y414" s="5"/>
      <c r="Z414" s="5"/>
      <c r="CT414" s="5"/>
      <c r="CU414" s="5"/>
      <c r="CV414" s="5"/>
      <c r="CW414" s="5"/>
      <c r="CY414" s="5"/>
      <c r="CZ414" s="5"/>
      <c r="DA414" s="5"/>
      <c r="DB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</row>
    <row r="415" spans="23:121" ht="12.75">
      <c r="W415" s="5"/>
      <c r="X415" s="5"/>
      <c r="Y415" s="5"/>
      <c r="Z415" s="5"/>
      <c r="CT415" s="5"/>
      <c r="CU415" s="5"/>
      <c r="CV415" s="5"/>
      <c r="CW415" s="5"/>
      <c r="CY415" s="5"/>
      <c r="CZ415" s="5"/>
      <c r="DA415" s="5"/>
      <c r="DB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</row>
    <row r="416" spans="23:121" ht="12.75">
      <c r="W416" s="5"/>
      <c r="X416" s="5"/>
      <c r="Y416" s="5"/>
      <c r="Z416" s="5"/>
      <c r="CT416" s="5"/>
      <c r="CU416" s="5"/>
      <c r="CV416" s="5"/>
      <c r="CW416" s="5"/>
      <c r="CY416" s="5"/>
      <c r="CZ416" s="5"/>
      <c r="DA416" s="5"/>
      <c r="DB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</row>
    <row r="417" spans="23:121" ht="12.75">
      <c r="W417" s="5"/>
      <c r="X417" s="5"/>
      <c r="Y417" s="5"/>
      <c r="Z417" s="5"/>
      <c r="CT417" s="5"/>
      <c r="CU417" s="5"/>
      <c r="CV417" s="5"/>
      <c r="CW417" s="5"/>
      <c r="CY417" s="5"/>
      <c r="CZ417" s="5"/>
      <c r="DA417" s="5"/>
      <c r="DB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</row>
    <row r="418" spans="23:121" ht="12.75">
      <c r="W418" s="5"/>
      <c r="X418" s="5"/>
      <c r="Y418" s="5"/>
      <c r="Z418" s="5"/>
      <c r="CT418" s="5"/>
      <c r="CU418" s="5"/>
      <c r="CV418" s="5"/>
      <c r="CW418" s="5"/>
      <c r="CY418" s="5"/>
      <c r="CZ418" s="5"/>
      <c r="DA418" s="5"/>
      <c r="DB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</row>
    <row r="419" spans="23:121" ht="12.75">
      <c r="W419" s="5"/>
      <c r="X419" s="5"/>
      <c r="Y419" s="5"/>
      <c r="Z419" s="5"/>
      <c r="CT419" s="5"/>
      <c r="CU419" s="5"/>
      <c r="CV419" s="5"/>
      <c r="CW419" s="5"/>
      <c r="CY419" s="5"/>
      <c r="CZ419" s="5"/>
      <c r="DA419" s="5"/>
      <c r="DB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</row>
    <row r="420" spans="23:121" ht="12.75">
      <c r="W420" s="5"/>
      <c r="X420" s="5"/>
      <c r="Y420" s="5"/>
      <c r="Z420" s="5"/>
      <c r="CT420" s="5"/>
      <c r="CU420" s="5"/>
      <c r="CV420" s="5"/>
      <c r="CW420" s="5"/>
      <c r="CY420" s="5"/>
      <c r="CZ420" s="5"/>
      <c r="DA420" s="5"/>
      <c r="DB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</row>
    <row r="421" spans="23:121" ht="12.75">
      <c r="W421" s="5"/>
      <c r="X421" s="5"/>
      <c r="Y421" s="5"/>
      <c r="Z421" s="5"/>
      <c r="CT421" s="5"/>
      <c r="CU421" s="5"/>
      <c r="CV421" s="5"/>
      <c r="CW421" s="5"/>
      <c r="CY421" s="5"/>
      <c r="CZ421" s="5"/>
      <c r="DA421" s="5"/>
      <c r="DB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</row>
    <row r="422" spans="23:121" ht="12.75">
      <c r="W422" s="5"/>
      <c r="X422" s="5"/>
      <c r="Y422" s="5"/>
      <c r="Z422" s="5"/>
      <c r="CT422" s="5"/>
      <c r="CU422" s="5"/>
      <c r="CV422" s="5"/>
      <c r="CW422" s="5"/>
      <c r="CY422" s="5"/>
      <c r="CZ422" s="5"/>
      <c r="DA422" s="5"/>
      <c r="DB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</row>
    <row r="423" spans="23:121" ht="12.75">
      <c r="W423" s="5"/>
      <c r="X423" s="5"/>
      <c r="Y423" s="5"/>
      <c r="Z423" s="5"/>
      <c r="CT423" s="5"/>
      <c r="CU423" s="5"/>
      <c r="CV423" s="5"/>
      <c r="CW423" s="5"/>
      <c r="CY423" s="5"/>
      <c r="CZ423" s="5"/>
      <c r="DA423" s="5"/>
      <c r="DB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</row>
    <row r="424" spans="23:121" ht="12.75">
      <c r="W424" s="5"/>
      <c r="X424" s="5"/>
      <c r="Y424" s="5"/>
      <c r="Z424" s="5"/>
      <c r="CT424" s="5"/>
      <c r="CU424" s="5"/>
      <c r="CV424" s="5"/>
      <c r="CW424" s="5"/>
      <c r="CY424" s="5"/>
      <c r="CZ424" s="5"/>
      <c r="DA424" s="5"/>
      <c r="DB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</row>
    <row r="425" spans="23:121" ht="12.75">
      <c r="W425" s="5"/>
      <c r="X425" s="5"/>
      <c r="Y425" s="5"/>
      <c r="Z425" s="5"/>
      <c r="CT425" s="5"/>
      <c r="CU425" s="5"/>
      <c r="CV425" s="5"/>
      <c r="CW425" s="5"/>
      <c r="CY425" s="5"/>
      <c r="CZ425" s="5"/>
      <c r="DA425" s="5"/>
      <c r="DB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</row>
    <row r="426" spans="23:121" ht="12.75">
      <c r="W426" s="5"/>
      <c r="X426" s="5"/>
      <c r="Y426" s="5"/>
      <c r="Z426" s="5"/>
      <c r="CT426" s="5"/>
      <c r="CU426" s="5"/>
      <c r="CV426" s="5"/>
      <c r="CW426" s="5"/>
      <c r="CY426" s="5"/>
      <c r="CZ426" s="5"/>
      <c r="DA426" s="5"/>
      <c r="DB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</row>
    <row r="427" spans="23:121" ht="12.75">
      <c r="W427" s="5"/>
      <c r="X427" s="5"/>
      <c r="Y427" s="5"/>
      <c r="Z427" s="5"/>
      <c r="CT427" s="5"/>
      <c r="CU427" s="5"/>
      <c r="CV427" s="5"/>
      <c r="CW427" s="5"/>
      <c r="CY427" s="5"/>
      <c r="CZ427" s="5"/>
      <c r="DA427" s="5"/>
      <c r="DB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</row>
    <row r="428" spans="23:121" ht="12.75">
      <c r="W428" s="5"/>
      <c r="X428" s="5"/>
      <c r="Y428" s="5"/>
      <c r="Z428" s="5"/>
      <c r="CT428" s="5"/>
      <c r="CU428" s="5"/>
      <c r="CV428" s="5"/>
      <c r="CW428" s="5"/>
      <c r="CY428" s="5"/>
      <c r="CZ428" s="5"/>
      <c r="DA428" s="5"/>
      <c r="DB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</row>
    <row r="429" spans="23:121" ht="12.75">
      <c r="W429" s="5"/>
      <c r="X429" s="5"/>
      <c r="Y429" s="5"/>
      <c r="Z429" s="5"/>
      <c r="CT429" s="5"/>
      <c r="CU429" s="5"/>
      <c r="CV429" s="5"/>
      <c r="CW429" s="5"/>
      <c r="CY429" s="5"/>
      <c r="CZ429" s="5"/>
      <c r="DA429" s="5"/>
      <c r="DB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</row>
    <row r="430" spans="23:121" ht="12.75">
      <c r="W430" s="5"/>
      <c r="X430" s="5"/>
      <c r="Y430" s="5"/>
      <c r="Z430" s="5"/>
      <c r="CT430" s="5"/>
      <c r="CU430" s="5"/>
      <c r="CV430" s="5"/>
      <c r="CW430" s="5"/>
      <c r="CY430" s="5"/>
      <c r="CZ430" s="5"/>
      <c r="DA430" s="5"/>
      <c r="DB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</row>
    <row r="431" spans="23:121" ht="12.75">
      <c r="W431" s="5"/>
      <c r="X431" s="5"/>
      <c r="Y431" s="5"/>
      <c r="Z431" s="5"/>
      <c r="CT431" s="5"/>
      <c r="CU431" s="5"/>
      <c r="CV431" s="5"/>
      <c r="CW431" s="5"/>
      <c r="CY431" s="5"/>
      <c r="CZ431" s="5"/>
      <c r="DA431" s="5"/>
      <c r="DB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</row>
    <row r="432" spans="23:121" ht="12.75">
      <c r="W432" s="5"/>
      <c r="X432" s="5"/>
      <c r="Y432" s="5"/>
      <c r="Z432" s="5"/>
      <c r="CT432" s="5"/>
      <c r="CU432" s="5"/>
      <c r="CV432" s="5"/>
      <c r="CW432" s="5"/>
      <c r="CY432" s="5"/>
      <c r="CZ432" s="5"/>
      <c r="DA432" s="5"/>
      <c r="DB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</row>
    <row r="433" spans="23:121" ht="12.75">
      <c r="W433" s="5"/>
      <c r="X433" s="5"/>
      <c r="Y433" s="5"/>
      <c r="Z433" s="5"/>
      <c r="CT433" s="5"/>
      <c r="CU433" s="5"/>
      <c r="CV433" s="5"/>
      <c r="CW433" s="5"/>
      <c r="CY433" s="5"/>
      <c r="CZ433" s="5"/>
      <c r="DA433" s="5"/>
      <c r="DB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</row>
    <row r="434" spans="23:121" ht="12.75">
      <c r="W434" s="5"/>
      <c r="X434" s="5"/>
      <c r="Y434" s="5"/>
      <c r="Z434" s="5"/>
      <c r="CT434" s="5"/>
      <c r="CU434" s="5"/>
      <c r="CV434" s="5"/>
      <c r="CW434" s="5"/>
      <c r="CY434" s="5"/>
      <c r="CZ434" s="5"/>
      <c r="DA434" s="5"/>
      <c r="DB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</row>
    <row r="435" spans="23:121" ht="12.75">
      <c r="W435" s="5"/>
      <c r="X435" s="5"/>
      <c r="Y435" s="5"/>
      <c r="Z435" s="5"/>
      <c r="CT435" s="5"/>
      <c r="CU435" s="5"/>
      <c r="CV435" s="5"/>
      <c r="CW435" s="5"/>
      <c r="CY435" s="5"/>
      <c r="CZ435" s="5"/>
      <c r="DA435" s="5"/>
      <c r="DB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</row>
    <row r="436" spans="23:121" ht="12.75">
      <c r="W436" s="5"/>
      <c r="X436" s="5"/>
      <c r="Y436" s="5"/>
      <c r="Z436" s="5"/>
      <c r="CT436" s="5"/>
      <c r="CU436" s="5"/>
      <c r="CV436" s="5"/>
      <c r="CW436" s="5"/>
      <c r="CY436" s="5"/>
      <c r="CZ436" s="5"/>
      <c r="DA436" s="5"/>
      <c r="DB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</row>
    <row r="437" spans="23:121" ht="12.75">
      <c r="W437" s="5"/>
      <c r="X437" s="5"/>
      <c r="Y437" s="5"/>
      <c r="Z437" s="5"/>
      <c r="CT437" s="5"/>
      <c r="CU437" s="5"/>
      <c r="CV437" s="5"/>
      <c r="CW437" s="5"/>
      <c r="CY437" s="5"/>
      <c r="CZ437" s="5"/>
      <c r="DA437" s="5"/>
      <c r="DB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</row>
    <row r="438" spans="23:121" ht="12.75">
      <c r="W438" s="5"/>
      <c r="X438" s="5"/>
      <c r="Y438" s="5"/>
      <c r="Z438" s="5"/>
      <c r="CT438" s="5"/>
      <c r="CU438" s="5"/>
      <c r="CV438" s="5"/>
      <c r="CW438" s="5"/>
      <c r="CY438" s="5"/>
      <c r="CZ438" s="5"/>
      <c r="DA438" s="5"/>
      <c r="DB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</row>
    <row r="439" spans="23:121" ht="12.75">
      <c r="W439" s="5"/>
      <c r="X439" s="5"/>
      <c r="Y439" s="5"/>
      <c r="Z439" s="5"/>
      <c r="CT439" s="5"/>
      <c r="CU439" s="5"/>
      <c r="CV439" s="5"/>
      <c r="CW439" s="5"/>
      <c r="CY439" s="5"/>
      <c r="CZ439" s="5"/>
      <c r="DA439" s="5"/>
      <c r="DB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</row>
    <row r="440" spans="23:121" ht="12.75">
      <c r="W440" s="5"/>
      <c r="X440" s="5"/>
      <c r="Y440" s="5"/>
      <c r="Z440" s="5"/>
      <c r="CT440" s="5"/>
      <c r="CU440" s="5"/>
      <c r="CV440" s="5"/>
      <c r="CW440" s="5"/>
      <c r="CY440" s="5"/>
      <c r="CZ440" s="5"/>
      <c r="DA440" s="5"/>
      <c r="DB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</row>
    <row r="441" spans="23:121" ht="12.75">
      <c r="W441" s="5"/>
      <c r="X441" s="5"/>
      <c r="Y441" s="5"/>
      <c r="Z441" s="5"/>
      <c r="CT441" s="5"/>
      <c r="CU441" s="5"/>
      <c r="CV441" s="5"/>
      <c r="CW441" s="5"/>
      <c r="CY441" s="5"/>
      <c r="CZ441" s="5"/>
      <c r="DA441" s="5"/>
      <c r="DB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</row>
    <row r="442" spans="23:121" ht="12.75">
      <c r="W442" s="5"/>
      <c r="X442" s="5"/>
      <c r="Y442" s="5"/>
      <c r="Z442" s="5"/>
      <c r="CT442" s="5"/>
      <c r="CU442" s="5"/>
      <c r="CV442" s="5"/>
      <c r="CW442" s="5"/>
      <c r="CY442" s="5"/>
      <c r="CZ442" s="5"/>
      <c r="DA442" s="5"/>
      <c r="DB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</row>
    <row r="443" spans="23:121" ht="12.75">
      <c r="W443" s="5"/>
      <c r="X443" s="5"/>
      <c r="Y443" s="5"/>
      <c r="Z443" s="5"/>
      <c r="CT443" s="5"/>
      <c r="CU443" s="5"/>
      <c r="CV443" s="5"/>
      <c r="CW443" s="5"/>
      <c r="CY443" s="5"/>
      <c r="CZ443" s="5"/>
      <c r="DA443" s="5"/>
      <c r="DB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</row>
    <row r="444" spans="23:121" ht="12.75">
      <c r="W444" s="5"/>
      <c r="X444" s="5"/>
      <c r="Y444" s="5"/>
      <c r="Z444" s="5"/>
      <c r="CT444" s="5"/>
      <c r="CU444" s="5"/>
      <c r="CV444" s="5"/>
      <c r="CW444" s="5"/>
      <c r="CY444" s="5"/>
      <c r="CZ444" s="5"/>
      <c r="DA444" s="5"/>
      <c r="DB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</row>
    <row r="445" spans="23:121" ht="12.75">
      <c r="W445" s="5"/>
      <c r="X445" s="5"/>
      <c r="Y445" s="5"/>
      <c r="Z445" s="5"/>
      <c r="CT445" s="5"/>
      <c r="CU445" s="5"/>
      <c r="CV445" s="5"/>
      <c r="CW445" s="5"/>
      <c r="CY445" s="5"/>
      <c r="CZ445" s="5"/>
      <c r="DA445" s="5"/>
      <c r="DB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</row>
    <row r="446" spans="23:121" ht="12.75">
      <c r="W446" s="5"/>
      <c r="X446" s="5"/>
      <c r="Y446" s="5"/>
      <c r="Z446" s="5"/>
      <c r="CT446" s="5"/>
      <c r="CU446" s="5"/>
      <c r="CV446" s="5"/>
      <c r="CW446" s="5"/>
      <c r="CY446" s="5"/>
      <c r="CZ446" s="5"/>
      <c r="DA446" s="5"/>
      <c r="DB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</row>
    <row r="447" spans="23:121" ht="12.75">
      <c r="W447" s="5"/>
      <c r="X447" s="5"/>
      <c r="Y447" s="5"/>
      <c r="Z447" s="5"/>
      <c r="CT447" s="5"/>
      <c r="CU447" s="5"/>
      <c r="CV447" s="5"/>
      <c r="CW447" s="5"/>
      <c r="CY447" s="5"/>
      <c r="CZ447" s="5"/>
      <c r="DA447" s="5"/>
      <c r="DB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</row>
    <row r="448" spans="23:121" ht="12.75">
      <c r="W448" s="5"/>
      <c r="X448" s="5"/>
      <c r="Y448" s="5"/>
      <c r="Z448" s="5"/>
      <c r="CT448" s="5"/>
      <c r="CU448" s="5"/>
      <c r="CV448" s="5"/>
      <c r="CW448" s="5"/>
      <c r="CY448" s="5"/>
      <c r="CZ448" s="5"/>
      <c r="DA448" s="5"/>
      <c r="DB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</row>
    <row r="449" spans="23:121" ht="12.75">
      <c r="W449" s="5"/>
      <c r="X449" s="5"/>
      <c r="Y449" s="5"/>
      <c r="Z449" s="5"/>
      <c r="CT449" s="5"/>
      <c r="CU449" s="5"/>
      <c r="CV449" s="5"/>
      <c r="CW449" s="5"/>
      <c r="CY449" s="5"/>
      <c r="CZ449" s="5"/>
      <c r="DA449" s="5"/>
      <c r="DB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</row>
    <row r="450" spans="23:121" ht="12.75">
      <c r="W450" s="5"/>
      <c r="X450" s="5"/>
      <c r="Y450" s="5"/>
      <c r="Z450" s="5"/>
      <c r="CT450" s="5"/>
      <c r="CU450" s="5"/>
      <c r="CV450" s="5"/>
      <c r="CW450" s="5"/>
      <c r="CY450" s="5"/>
      <c r="CZ450" s="5"/>
      <c r="DA450" s="5"/>
      <c r="DB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</row>
    <row r="451" spans="23:121" ht="12.75">
      <c r="W451" s="5"/>
      <c r="X451" s="5"/>
      <c r="Y451" s="5"/>
      <c r="Z451" s="5"/>
      <c r="CT451" s="5"/>
      <c r="CU451" s="5"/>
      <c r="CV451" s="5"/>
      <c r="CW451" s="5"/>
      <c r="CY451" s="5"/>
      <c r="CZ451" s="5"/>
      <c r="DA451" s="5"/>
      <c r="DB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</row>
    <row r="452" spans="23:121" ht="12.75">
      <c r="W452" s="5"/>
      <c r="X452" s="5"/>
      <c r="Y452" s="5"/>
      <c r="Z452" s="5"/>
      <c r="CT452" s="5"/>
      <c r="CU452" s="5"/>
      <c r="CV452" s="5"/>
      <c r="CW452" s="5"/>
      <c r="CY452" s="5"/>
      <c r="CZ452" s="5"/>
      <c r="DA452" s="5"/>
      <c r="DB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</row>
    <row r="453" spans="23:121" ht="12.75">
      <c r="W453" s="5"/>
      <c r="X453" s="5"/>
      <c r="Y453" s="5"/>
      <c r="Z453" s="5"/>
      <c r="CT453" s="5"/>
      <c r="CU453" s="5"/>
      <c r="CV453" s="5"/>
      <c r="CW453" s="5"/>
      <c r="CY453" s="5"/>
      <c r="CZ453" s="5"/>
      <c r="DA453" s="5"/>
      <c r="DB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</row>
    <row r="454" spans="23:121" ht="12.75">
      <c r="W454" s="5"/>
      <c r="X454" s="5"/>
      <c r="Y454" s="5"/>
      <c r="Z454" s="5"/>
      <c r="CT454" s="5"/>
      <c r="CU454" s="5"/>
      <c r="CV454" s="5"/>
      <c r="CW454" s="5"/>
      <c r="CY454" s="5"/>
      <c r="CZ454" s="5"/>
      <c r="DA454" s="5"/>
      <c r="DB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</row>
    <row r="455" spans="23:121" ht="12.75">
      <c r="W455" s="5"/>
      <c r="X455" s="5"/>
      <c r="Y455" s="5"/>
      <c r="Z455" s="5"/>
      <c r="CT455" s="5"/>
      <c r="CU455" s="5"/>
      <c r="CV455" s="5"/>
      <c r="CW455" s="5"/>
      <c r="CY455" s="5"/>
      <c r="CZ455" s="5"/>
      <c r="DA455" s="5"/>
      <c r="DB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</row>
    <row r="456" spans="23:121" ht="12.75">
      <c r="W456" s="5"/>
      <c r="X456" s="5"/>
      <c r="Y456" s="5"/>
      <c r="Z456" s="5"/>
      <c r="CT456" s="5"/>
      <c r="CU456" s="5"/>
      <c r="CV456" s="5"/>
      <c r="CW456" s="5"/>
      <c r="CY456" s="5"/>
      <c r="CZ456" s="5"/>
      <c r="DA456" s="5"/>
      <c r="DB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</row>
    <row r="457" spans="23:121" ht="12.75">
      <c r="W457" s="5"/>
      <c r="X457" s="5"/>
      <c r="Y457" s="5"/>
      <c r="Z457" s="5"/>
      <c r="CT457" s="5"/>
      <c r="CU457" s="5"/>
      <c r="CV457" s="5"/>
      <c r="CW457" s="5"/>
      <c r="CY457" s="5"/>
      <c r="CZ457" s="5"/>
      <c r="DA457" s="5"/>
      <c r="DB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</row>
    <row r="458" spans="23:121" ht="12.75">
      <c r="W458" s="5"/>
      <c r="X458" s="5"/>
      <c r="Y458" s="5"/>
      <c r="Z458" s="5"/>
      <c r="CT458" s="5"/>
      <c r="CU458" s="5"/>
      <c r="CV458" s="5"/>
      <c r="CW458" s="5"/>
      <c r="CY458" s="5"/>
      <c r="CZ458" s="5"/>
      <c r="DA458" s="5"/>
      <c r="DB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</row>
    <row r="459" spans="23:121" ht="12.75">
      <c r="W459" s="5"/>
      <c r="X459" s="5"/>
      <c r="Y459" s="5"/>
      <c r="Z459" s="5"/>
      <c r="CT459" s="5"/>
      <c r="CU459" s="5"/>
      <c r="CV459" s="5"/>
      <c r="CW459" s="5"/>
      <c r="CY459" s="5"/>
      <c r="CZ459" s="5"/>
      <c r="DA459" s="5"/>
      <c r="DB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</row>
    <row r="460" spans="23:121" ht="12.75">
      <c r="W460" s="5"/>
      <c r="X460" s="5"/>
      <c r="Y460" s="5"/>
      <c r="Z460" s="5"/>
      <c r="CT460" s="5"/>
      <c r="CU460" s="5"/>
      <c r="CV460" s="5"/>
      <c r="CW460" s="5"/>
      <c r="CY460" s="5"/>
      <c r="CZ460" s="5"/>
      <c r="DA460" s="5"/>
      <c r="DB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</row>
    <row r="461" spans="23:121" ht="12.75">
      <c r="W461" s="5"/>
      <c r="X461" s="5"/>
      <c r="Y461" s="5"/>
      <c r="Z461" s="5"/>
      <c r="CT461" s="5"/>
      <c r="CU461" s="5"/>
      <c r="CV461" s="5"/>
      <c r="CW461" s="5"/>
      <c r="CY461" s="5"/>
      <c r="CZ461" s="5"/>
      <c r="DA461" s="5"/>
      <c r="DB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</row>
    <row r="462" spans="23:121" ht="12.75">
      <c r="W462" s="5"/>
      <c r="X462" s="5"/>
      <c r="Y462" s="5"/>
      <c r="Z462" s="5"/>
      <c r="CT462" s="5"/>
      <c r="CU462" s="5"/>
      <c r="CV462" s="5"/>
      <c r="CW462" s="5"/>
      <c r="CY462" s="5"/>
      <c r="CZ462" s="5"/>
      <c r="DA462" s="5"/>
      <c r="DB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</row>
    <row r="463" spans="23:121" ht="12.75">
      <c r="W463" s="5"/>
      <c r="X463" s="5"/>
      <c r="Y463" s="5"/>
      <c r="Z463" s="5"/>
      <c r="CT463" s="5"/>
      <c r="CU463" s="5"/>
      <c r="CV463" s="5"/>
      <c r="CW463" s="5"/>
      <c r="CY463" s="5"/>
      <c r="CZ463" s="5"/>
      <c r="DA463" s="5"/>
      <c r="DB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</row>
    <row r="464" spans="23:121" ht="12.75">
      <c r="W464" s="5"/>
      <c r="X464" s="5"/>
      <c r="Y464" s="5"/>
      <c r="Z464" s="5"/>
      <c r="CT464" s="5"/>
      <c r="CU464" s="5"/>
      <c r="CV464" s="5"/>
      <c r="CW464" s="5"/>
      <c r="CY464" s="5"/>
      <c r="CZ464" s="5"/>
      <c r="DA464" s="5"/>
      <c r="DB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</row>
    <row r="465" spans="23:121" ht="12.75">
      <c r="W465" s="5"/>
      <c r="X465" s="5"/>
      <c r="Y465" s="5"/>
      <c r="Z465" s="5"/>
      <c r="CT465" s="5"/>
      <c r="CU465" s="5"/>
      <c r="CV465" s="5"/>
      <c r="CW465" s="5"/>
      <c r="CY465" s="5"/>
      <c r="CZ465" s="5"/>
      <c r="DA465" s="5"/>
      <c r="DB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</row>
    <row r="466" spans="23:121" ht="12.75">
      <c r="W466" s="5"/>
      <c r="X466" s="5"/>
      <c r="Y466" s="5"/>
      <c r="Z466" s="5"/>
      <c r="CT466" s="5"/>
      <c r="CU466" s="5"/>
      <c r="CV466" s="5"/>
      <c r="CW466" s="5"/>
      <c r="CY466" s="5"/>
      <c r="CZ466" s="5"/>
      <c r="DA466" s="5"/>
      <c r="DB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</row>
    <row r="467" spans="23:121" ht="12.75">
      <c r="W467" s="5"/>
      <c r="X467" s="5"/>
      <c r="Y467" s="5"/>
      <c r="Z467" s="5"/>
      <c r="CT467" s="5"/>
      <c r="CU467" s="5"/>
      <c r="CV467" s="5"/>
      <c r="CW467" s="5"/>
      <c r="CY467" s="5"/>
      <c r="CZ467" s="5"/>
      <c r="DA467" s="5"/>
      <c r="DB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</row>
    <row r="468" spans="23:121" ht="12.75">
      <c r="W468" s="5"/>
      <c r="X468" s="5"/>
      <c r="Y468" s="5"/>
      <c r="Z468" s="5"/>
      <c r="CT468" s="5"/>
      <c r="CU468" s="5"/>
      <c r="CV468" s="5"/>
      <c r="CW468" s="5"/>
      <c r="CY468" s="5"/>
      <c r="CZ468" s="5"/>
      <c r="DA468" s="5"/>
      <c r="DB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</row>
    <row r="469" spans="23:121" ht="12.75">
      <c r="W469" s="5"/>
      <c r="X469" s="5"/>
      <c r="Y469" s="5"/>
      <c r="Z469" s="5"/>
      <c r="CT469" s="5"/>
      <c r="CU469" s="5"/>
      <c r="CV469" s="5"/>
      <c r="CW469" s="5"/>
      <c r="CY469" s="5"/>
      <c r="CZ469" s="5"/>
      <c r="DA469" s="5"/>
      <c r="DB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</row>
    <row r="470" spans="23:121" ht="12.75">
      <c r="W470" s="5"/>
      <c r="X470" s="5"/>
      <c r="Y470" s="5"/>
      <c r="Z470" s="5"/>
      <c r="CT470" s="5"/>
      <c r="CU470" s="5"/>
      <c r="CV470" s="5"/>
      <c r="CW470" s="5"/>
      <c r="CY470" s="5"/>
      <c r="CZ470" s="5"/>
      <c r="DA470" s="5"/>
      <c r="DB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</row>
    <row r="471" spans="23:121" ht="12.75">
      <c r="W471" s="5"/>
      <c r="X471" s="5"/>
      <c r="Y471" s="5"/>
      <c r="Z471" s="5"/>
      <c r="CT471" s="5"/>
      <c r="CU471" s="5"/>
      <c r="CV471" s="5"/>
      <c r="CW471" s="5"/>
      <c r="CY471" s="5"/>
      <c r="CZ471" s="5"/>
      <c r="DA471" s="5"/>
      <c r="DB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</row>
    <row r="472" spans="23:121" ht="12.75">
      <c r="W472" s="5"/>
      <c r="X472" s="5"/>
      <c r="Y472" s="5"/>
      <c r="Z472" s="5"/>
      <c r="CT472" s="5"/>
      <c r="CU472" s="5"/>
      <c r="CV472" s="5"/>
      <c r="CW472" s="5"/>
      <c r="CY472" s="5"/>
      <c r="CZ472" s="5"/>
      <c r="DA472" s="5"/>
      <c r="DB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</row>
    <row r="473" spans="23:121" ht="12.75">
      <c r="W473" s="5"/>
      <c r="X473" s="5"/>
      <c r="Y473" s="5"/>
      <c r="Z473" s="5"/>
      <c r="CT473" s="5"/>
      <c r="CU473" s="5"/>
      <c r="CV473" s="5"/>
      <c r="CW473" s="5"/>
      <c r="CY473" s="5"/>
      <c r="CZ473" s="5"/>
      <c r="DA473" s="5"/>
      <c r="DB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</row>
    <row r="474" spans="23:121" ht="12.75">
      <c r="W474" s="5"/>
      <c r="X474" s="5"/>
      <c r="Y474" s="5"/>
      <c r="Z474" s="5"/>
      <c r="CT474" s="5"/>
      <c r="CU474" s="5"/>
      <c r="CV474" s="5"/>
      <c r="CW474" s="5"/>
      <c r="CY474" s="5"/>
      <c r="CZ474" s="5"/>
      <c r="DA474" s="5"/>
      <c r="DB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</row>
    <row r="475" spans="23:121" ht="12.75">
      <c r="W475" s="5"/>
      <c r="X475" s="5"/>
      <c r="Y475" s="5"/>
      <c r="Z475" s="5"/>
      <c r="CT475" s="5"/>
      <c r="CU475" s="5"/>
      <c r="CV475" s="5"/>
      <c r="CW475" s="5"/>
      <c r="CY475" s="5"/>
      <c r="CZ475" s="5"/>
      <c r="DA475" s="5"/>
      <c r="DB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</row>
    <row r="476" spans="23:121" ht="12.75">
      <c r="W476" s="5"/>
      <c r="X476" s="5"/>
      <c r="Y476" s="5"/>
      <c r="Z476" s="5"/>
      <c r="CT476" s="5"/>
      <c r="CU476" s="5"/>
      <c r="CV476" s="5"/>
      <c r="CW476" s="5"/>
      <c r="CY476" s="5"/>
      <c r="CZ476" s="5"/>
      <c r="DA476" s="5"/>
      <c r="DB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</row>
    <row r="477" spans="23:121" ht="12.75">
      <c r="W477" s="5"/>
      <c r="X477" s="5"/>
      <c r="Y477" s="5"/>
      <c r="Z477" s="5"/>
      <c r="CT477" s="5"/>
      <c r="CU477" s="5"/>
      <c r="CV477" s="5"/>
      <c r="CW477" s="5"/>
      <c r="CY477" s="5"/>
      <c r="CZ477" s="5"/>
      <c r="DA477" s="5"/>
      <c r="DB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</row>
    <row r="478" spans="23:121" ht="12.75">
      <c r="W478" s="5"/>
      <c r="X478" s="5"/>
      <c r="Y478" s="5"/>
      <c r="Z478" s="5"/>
      <c r="CT478" s="5"/>
      <c r="CU478" s="5"/>
      <c r="CV478" s="5"/>
      <c r="CW478" s="5"/>
      <c r="CY478" s="5"/>
      <c r="CZ478" s="5"/>
      <c r="DA478" s="5"/>
      <c r="DB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</row>
    <row r="479" spans="23:121" ht="12.75">
      <c r="W479" s="5"/>
      <c r="X479" s="5"/>
      <c r="Y479" s="5"/>
      <c r="Z479" s="5"/>
      <c r="CT479" s="5"/>
      <c r="CU479" s="5"/>
      <c r="CV479" s="5"/>
      <c r="CW479" s="5"/>
      <c r="CY479" s="5"/>
      <c r="CZ479" s="5"/>
      <c r="DA479" s="5"/>
      <c r="DB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</row>
    <row r="480" spans="23:121" ht="12.75">
      <c r="W480" s="5"/>
      <c r="X480" s="5"/>
      <c r="Y480" s="5"/>
      <c r="Z480" s="5"/>
      <c r="CT480" s="5"/>
      <c r="CU480" s="5"/>
      <c r="CV480" s="5"/>
      <c r="CW480" s="5"/>
      <c r="CY480" s="5"/>
      <c r="CZ480" s="5"/>
      <c r="DA480" s="5"/>
      <c r="DB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</row>
    <row r="481" spans="23:121" ht="12.75">
      <c r="W481" s="5"/>
      <c r="X481" s="5"/>
      <c r="Y481" s="5"/>
      <c r="Z481" s="5"/>
      <c r="CT481" s="5"/>
      <c r="CU481" s="5"/>
      <c r="CV481" s="5"/>
      <c r="CW481" s="5"/>
      <c r="CY481" s="5"/>
      <c r="CZ481" s="5"/>
      <c r="DA481" s="5"/>
      <c r="DB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</row>
    <row r="482" spans="23:121" ht="12.75">
      <c r="W482" s="5"/>
      <c r="X482" s="5"/>
      <c r="Y482" s="5"/>
      <c r="Z482" s="5"/>
      <c r="CT482" s="5"/>
      <c r="CU482" s="5"/>
      <c r="CV482" s="5"/>
      <c r="CW482" s="5"/>
      <c r="CY482" s="5"/>
      <c r="CZ482" s="5"/>
      <c r="DA482" s="5"/>
      <c r="DB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</row>
    <row r="483" spans="23:121" ht="12.75">
      <c r="W483" s="5"/>
      <c r="X483" s="5"/>
      <c r="Y483" s="5"/>
      <c r="Z483" s="5"/>
      <c r="CT483" s="5"/>
      <c r="CU483" s="5"/>
      <c r="CV483" s="5"/>
      <c r="CW483" s="5"/>
      <c r="CY483" s="5"/>
      <c r="CZ483" s="5"/>
      <c r="DA483" s="5"/>
      <c r="DB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</row>
    <row r="484" spans="23:121" ht="12.75">
      <c r="W484" s="5"/>
      <c r="X484" s="5"/>
      <c r="Y484" s="5"/>
      <c r="Z484" s="5"/>
      <c r="CT484" s="5"/>
      <c r="CU484" s="5"/>
      <c r="CV484" s="5"/>
      <c r="CW484" s="5"/>
      <c r="CY484" s="5"/>
      <c r="CZ484" s="5"/>
      <c r="DA484" s="5"/>
      <c r="DB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</row>
    <row r="485" spans="23:121" ht="12.75">
      <c r="W485" s="5"/>
      <c r="X485" s="5"/>
      <c r="Y485" s="5"/>
      <c r="Z485" s="5"/>
      <c r="CT485" s="5"/>
      <c r="CU485" s="5"/>
      <c r="CV485" s="5"/>
      <c r="CW485" s="5"/>
      <c r="CY485" s="5"/>
      <c r="CZ485" s="5"/>
      <c r="DA485" s="5"/>
      <c r="DB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</row>
    <row r="486" spans="23:121" ht="12.75">
      <c r="W486" s="5"/>
      <c r="X486" s="5"/>
      <c r="Y486" s="5"/>
      <c r="Z486" s="5"/>
      <c r="CT486" s="5"/>
      <c r="CU486" s="5"/>
      <c r="CV486" s="5"/>
      <c r="CW486" s="5"/>
      <c r="CY486" s="5"/>
      <c r="CZ486" s="5"/>
      <c r="DA486" s="5"/>
      <c r="DB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</row>
    <row r="487" spans="23:121" ht="12.75">
      <c r="W487" s="5"/>
      <c r="X487" s="5"/>
      <c r="Y487" s="5"/>
      <c r="Z487" s="5"/>
      <c r="CT487" s="5"/>
      <c r="CU487" s="5"/>
      <c r="CV487" s="5"/>
      <c r="CW487" s="5"/>
      <c r="CY487" s="5"/>
      <c r="CZ487" s="5"/>
      <c r="DA487" s="5"/>
      <c r="DB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</row>
    <row r="488" spans="23:121" ht="12.75">
      <c r="W488" s="5"/>
      <c r="X488" s="5"/>
      <c r="Y488" s="5"/>
      <c r="Z488" s="5"/>
      <c r="CT488" s="5"/>
      <c r="CU488" s="5"/>
      <c r="CV488" s="5"/>
      <c r="CW488" s="5"/>
      <c r="CY488" s="5"/>
      <c r="CZ488" s="5"/>
      <c r="DA488" s="5"/>
      <c r="DB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</row>
    <row r="489" spans="23:121" ht="12.75">
      <c r="W489" s="5"/>
      <c r="X489" s="5"/>
      <c r="Y489" s="5"/>
      <c r="Z489" s="5"/>
      <c r="CT489" s="5"/>
      <c r="CU489" s="5"/>
      <c r="CV489" s="5"/>
      <c r="CW489" s="5"/>
      <c r="CY489" s="5"/>
      <c r="CZ489" s="5"/>
      <c r="DA489" s="5"/>
      <c r="DB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</row>
    <row r="490" spans="23:121" ht="12.75">
      <c r="W490" s="5"/>
      <c r="X490" s="5"/>
      <c r="Y490" s="5"/>
      <c r="Z490" s="5"/>
      <c r="CT490" s="5"/>
      <c r="CU490" s="5"/>
      <c r="CV490" s="5"/>
      <c r="CW490" s="5"/>
      <c r="CY490" s="5"/>
      <c r="CZ490" s="5"/>
      <c r="DA490" s="5"/>
      <c r="DB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</row>
    <row r="491" spans="23:121" ht="12.75">
      <c r="W491" s="5"/>
      <c r="X491" s="5"/>
      <c r="Y491" s="5"/>
      <c r="Z491" s="5"/>
      <c r="CT491" s="5"/>
      <c r="CU491" s="5"/>
      <c r="CV491" s="5"/>
      <c r="CW491" s="5"/>
      <c r="CY491" s="5"/>
      <c r="CZ491" s="5"/>
      <c r="DA491" s="5"/>
      <c r="DB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</row>
    <row r="492" spans="23:121" ht="12.75">
      <c r="W492" s="5"/>
      <c r="X492" s="5"/>
      <c r="Y492" s="5"/>
      <c r="Z492" s="5"/>
      <c r="CT492" s="5"/>
      <c r="CU492" s="5"/>
      <c r="CV492" s="5"/>
      <c r="CW492" s="5"/>
      <c r="CY492" s="5"/>
      <c r="CZ492" s="5"/>
      <c r="DA492" s="5"/>
      <c r="DB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</row>
    <row r="493" spans="23:121" ht="12.75">
      <c r="W493" s="5"/>
      <c r="X493" s="5"/>
      <c r="Y493" s="5"/>
      <c r="Z493" s="5"/>
      <c r="CT493" s="5"/>
      <c r="CU493" s="5"/>
      <c r="CV493" s="5"/>
      <c r="CW493" s="5"/>
      <c r="CY493" s="5"/>
      <c r="CZ493" s="5"/>
      <c r="DA493" s="5"/>
      <c r="DB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</row>
    <row r="494" spans="23:121" ht="12.75">
      <c r="W494" s="5"/>
      <c r="X494" s="5"/>
      <c r="Y494" s="5"/>
      <c r="Z494" s="5"/>
      <c r="CT494" s="5"/>
      <c r="CU494" s="5"/>
      <c r="CV494" s="5"/>
      <c r="CW494" s="5"/>
      <c r="CY494" s="5"/>
      <c r="CZ494" s="5"/>
      <c r="DA494" s="5"/>
      <c r="DB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</row>
    <row r="495" spans="23:121" ht="12.75">
      <c r="W495" s="5"/>
      <c r="X495" s="5"/>
      <c r="Y495" s="5"/>
      <c r="Z495" s="5"/>
      <c r="CT495" s="5"/>
      <c r="CU495" s="5"/>
      <c r="CV495" s="5"/>
      <c r="CW495" s="5"/>
      <c r="CY495" s="5"/>
      <c r="CZ495" s="5"/>
      <c r="DA495" s="5"/>
      <c r="DB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</row>
    <row r="496" spans="23:121" ht="12.75">
      <c r="W496" s="5"/>
      <c r="X496" s="5"/>
      <c r="Y496" s="5"/>
      <c r="Z496" s="5"/>
      <c r="CT496" s="5"/>
      <c r="CU496" s="5"/>
      <c r="CV496" s="5"/>
      <c r="CW496" s="5"/>
      <c r="CY496" s="5"/>
      <c r="CZ496" s="5"/>
      <c r="DA496" s="5"/>
      <c r="DB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</row>
    <row r="497" spans="23:121" ht="12.75">
      <c r="W497" s="5"/>
      <c r="X497" s="5"/>
      <c r="Y497" s="5"/>
      <c r="Z497" s="5"/>
      <c r="CT497" s="5"/>
      <c r="CU497" s="5"/>
      <c r="CV497" s="5"/>
      <c r="CW497" s="5"/>
      <c r="CY497" s="5"/>
      <c r="CZ497" s="5"/>
      <c r="DA497" s="5"/>
      <c r="DB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</row>
    <row r="498" spans="23:121" ht="12.75">
      <c r="W498" s="5"/>
      <c r="X498" s="5"/>
      <c r="Y498" s="5"/>
      <c r="Z498" s="5"/>
      <c r="CT498" s="5"/>
      <c r="CU498" s="5"/>
      <c r="CV498" s="5"/>
      <c r="CW498" s="5"/>
      <c r="CY498" s="5"/>
      <c r="CZ498" s="5"/>
      <c r="DA498" s="5"/>
      <c r="DB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</row>
    <row r="499" spans="23:121" ht="12.75">
      <c r="W499" s="5"/>
      <c r="X499" s="5"/>
      <c r="Y499" s="5"/>
      <c r="Z499" s="5"/>
      <c r="CT499" s="5"/>
      <c r="CU499" s="5"/>
      <c r="CV499" s="5"/>
      <c r="CW499" s="5"/>
      <c r="CY499" s="5"/>
      <c r="CZ499" s="5"/>
      <c r="DA499" s="5"/>
      <c r="DB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</row>
    <row r="500" spans="23:121" ht="12.75">
      <c r="W500" s="5"/>
      <c r="X500" s="5"/>
      <c r="Y500" s="5"/>
      <c r="Z500" s="5"/>
      <c r="CT500" s="5"/>
      <c r="CU500" s="5"/>
      <c r="CV500" s="5"/>
      <c r="CW500" s="5"/>
      <c r="CY500" s="5"/>
      <c r="CZ500" s="5"/>
      <c r="DA500" s="5"/>
      <c r="DB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</row>
    <row r="501" spans="23:121" ht="12.75">
      <c r="W501" s="5"/>
      <c r="X501" s="5"/>
      <c r="Y501" s="5"/>
      <c r="Z501" s="5"/>
      <c r="CT501" s="5"/>
      <c r="CU501" s="5"/>
      <c r="CV501" s="5"/>
      <c r="CW501" s="5"/>
      <c r="CY501" s="5"/>
      <c r="CZ501" s="5"/>
      <c r="DA501" s="5"/>
      <c r="DB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</row>
    <row r="502" spans="23:121" ht="12.75">
      <c r="W502" s="5"/>
      <c r="X502" s="5"/>
      <c r="Y502" s="5"/>
      <c r="Z502" s="5"/>
      <c r="CT502" s="5"/>
      <c r="CU502" s="5"/>
      <c r="CV502" s="5"/>
      <c r="CW502" s="5"/>
      <c r="CY502" s="5"/>
      <c r="CZ502" s="5"/>
      <c r="DA502" s="5"/>
      <c r="DB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</row>
    <row r="503" spans="23:121" ht="12.75">
      <c r="W503" s="5"/>
      <c r="X503" s="5"/>
      <c r="Y503" s="5"/>
      <c r="Z503" s="5"/>
      <c r="CT503" s="5"/>
      <c r="CU503" s="5"/>
      <c r="CV503" s="5"/>
      <c r="CW503" s="5"/>
      <c r="CY503" s="5"/>
      <c r="CZ503" s="5"/>
      <c r="DA503" s="5"/>
      <c r="DB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</row>
    <row r="504" spans="23:121" ht="12.75">
      <c r="W504" s="5"/>
      <c r="X504" s="5"/>
      <c r="Y504" s="5"/>
      <c r="Z504" s="5"/>
      <c r="CT504" s="5"/>
      <c r="CU504" s="5"/>
      <c r="CV504" s="5"/>
      <c r="CW504" s="5"/>
      <c r="CY504" s="5"/>
      <c r="CZ504" s="5"/>
      <c r="DA504" s="5"/>
      <c r="DB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</row>
    <row r="505" spans="23:121" ht="12.75">
      <c r="W505" s="5"/>
      <c r="X505" s="5"/>
      <c r="Y505" s="5"/>
      <c r="Z505" s="5"/>
      <c r="CT505" s="5"/>
      <c r="CU505" s="5"/>
      <c r="CV505" s="5"/>
      <c r="CW505" s="5"/>
      <c r="CY505" s="5"/>
      <c r="CZ505" s="5"/>
      <c r="DA505" s="5"/>
      <c r="DB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</row>
    <row r="506" spans="23:121" ht="12.75">
      <c r="W506" s="5"/>
      <c r="X506" s="5"/>
      <c r="Y506" s="5"/>
      <c r="Z506" s="5"/>
      <c r="CT506" s="5"/>
      <c r="CU506" s="5"/>
      <c r="CV506" s="5"/>
      <c r="CW506" s="5"/>
      <c r="CY506" s="5"/>
      <c r="CZ506" s="5"/>
      <c r="DA506" s="5"/>
      <c r="DB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</row>
    <row r="507" spans="23:121" ht="12.75">
      <c r="W507" s="5"/>
      <c r="X507" s="5"/>
      <c r="Y507" s="5"/>
      <c r="Z507" s="5"/>
      <c r="CT507" s="5"/>
      <c r="CU507" s="5"/>
      <c r="CV507" s="5"/>
      <c r="CW507" s="5"/>
      <c r="CY507" s="5"/>
      <c r="CZ507" s="5"/>
      <c r="DA507" s="5"/>
      <c r="DB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</row>
    <row r="508" spans="23:121" ht="12.75">
      <c r="W508" s="5"/>
      <c r="X508" s="5"/>
      <c r="Y508" s="5"/>
      <c r="Z508" s="5"/>
      <c r="CT508" s="5"/>
      <c r="CU508" s="5"/>
      <c r="CV508" s="5"/>
      <c r="CW508" s="5"/>
      <c r="CY508" s="5"/>
      <c r="CZ508" s="5"/>
      <c r="DA508" s="5"/>
      <c r="DB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</row>
    <row r="509" spans="23:121" ht="12.75">
      <c r="W509" s="5"/>
      <c r="X509" s="5"/>
      <c r="Y509" s="5"/>
      <c r="Z509" s="5"/>
      <c r="CT509" s="5"/>
      <c r="CU509" s="5"/>
      <c r="CV509" s="5"/>
      <c r="CW509" s="5"/>
      <c r="CY509" s="5"/>
      <c r="CZ509" s="5"/>
      <c r="DA509" s="5"/>
      <c r="DB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</row>
    <row r="510" spans="23:121" ht="12.75">
      <c r="W510" s="5"/>
      <c r="X510" s="5"/>
      <c r="Y510" s="5"/>
      <c r="Z510" s="5"/>
      <c r="CT510" s="5"/>
      <c r="CU510" s="5"/>
      <c r="CV510" s="5"/>
      <c r="CW510" s="5"/>
      <c r="CY510" s="5"/>
      <c r="CZ510" s="5"/>
      <c r="DA510" s="5"/>
      <c r="DB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</row>
    <row r="511" spans="23:121" ht="12.75">
      <c r="W511" s="5"/>
      <c r="X511" s="5"/>
      <c r="Y511" s="5"/>
      <c r="Z511" s="5"/>
      <c r="CT511" s="5"/>
      <c r="CU511" s="5"/>
      <c r="CV511" s="5"/>
      <c r="CW511" s="5"/>
      <c r="CY511" s="5"/>
      <c r="CZ511" s="5"/>
      <c r="DA511" s="5"/>
      <c r="DB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</row>
    <row r="512" spans="23:121" ht="12.75">
      <c r="W512" s="5"/>
      <c r="X512" s="5"/>
      <c r="Y512" s="5"/>
      <c r="Z512" s="5"/>
      <c r="CT512" s="5"/>
      <c r="CU512" s="5"/>
      <c r="CV512" s="5"/>
      <c r="CW512" s="5"/>
      <c r="CY512" s="5"/>
      <c r="CZ512" s="5"/>
      <c r="DA512" s="5"/>
      <c r="DB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</row>
    <row r="513" spans="23:121" ht="12.75">
      <c r="W513" s="5"/>
      <c r="X513" s="5"/>
      <c r="Y513" s="5"/>
      <c r="Z513" s="5"/>
      <c r="CT513" s="5"/>
      <c r="CU513" s="5"/>
      <c r="CV513" s="5"/>
      <c r="CW513" s="5"/>
      <c r="CY513" s="5"/>
      <c r="CZ513" s="5"/>
      <c r="DA513" s="5"/>
      <c r="DB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</row>
    <row r="514" spans="23:121" ht="12.75">
      <c r="W514" s="5"/>
      <c r="X514" s="5"/>
      <c r="Y514" s="5"/>
      <c r="Z514" s="5"/>
      <c r="CT514" s="5"/>
      <c r="CU514" s="5"/>
      <c r="CV514" s="5"/>
      <c r="CW514" s="5"/>
      <c r="CY514" s="5"/>
      <c r="CZ514" s="5"/>
      <c r="DA514" s="5"/>
      <c r="DB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</row>
    <row r="515" spans="23:121" ht="12.75">
      <c r="W515" s="5"/>
      <c r="X515" s="5"/>
      <c r="Y515" s="5"/>
      <c r="Z515" s="5"/>
      <c r="CT515" s="5"/>
      <c r="CU515" s="5"/>
      <c r="CV515" s="5"/>
      <c r="CW515" s="5"/>
      <c r="CY515" s="5"/>
      <c r="CZ515" s="5"/>
      <c r="DA515" s="5"/>
      <c r="DB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</row>
    <row r="516" spans="23:121" ht="12.75">
      <c r="W516" s="5"/>
      <c r="X516" s="5"/>
      <c r="Y516" s="5"/>
      <c r="Z516" s="5"/>
      <c r="CT516" s="5"/>
      <c r="CU516" s="5"/>
      <c r="CV516" s="5"/>
      <c r="CW516" s="5"/>
      <c r="CY516" s="5"/>
      <c r="CZ516" s="5"/>
      <c r="DA516" s="5"/>
      <c r="DB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</row>
    <row r="517" spans="23:121" ht="12.75">
      <c r="W517" s="5"/>
      <c r="X517" s="5"/>
      <c r="Y517" s="5"/>
      <c r="Z517" s="5"/>
      <c r="CT517" s="5"/>
      <c r="CU517" s="5"/>
      <c r="CV517" s="5"/>
      <c r="CW517" s="5"/>
      <c r="CY517" s="5"/>
      <c r="CZ517" s="5"/>
      <c r="DA517" s="5"/>
      <c r="DB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</row>
    <row r="518" spans="23:121" ht="12.75">
      <c r="W518" s="5"/>
      <c r="X518" s="5"/>
      <c r="Y518" s="5"/>
      <c r="Z518" s="5"/>
      <c r="CT518" s="5"/>
      <c r="CU518" s="5"/>
      <c r="CV518" s="5"/>
      <c r="CW518" s="5"/>
      <c r="CY518" s="5"/>
      <c r="CZ518" s="5"/>
      <c r="DA518" s="5"/>
      <c r="DB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</row>
    <row r="519" spans="23:121" ht="12.75">
      <c r="W519" s="5"/>
      <c r="X519" s="5"/>
      <c r="Y519" s="5"/>
      <c r="Z519" s="5"/>
      <c r="CT519" s="5"/>
      <c r="CU519" s="5"/>
      <c r="CV519" s="5"/>
      <c r="CW519" s="5"/>
      <c r="CY519" s="5"/>
      <c r="CZ519" s="5"/>
      <c r="DA519" s="5"/>
      <c r="DB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</row>
    <row r="520" spans="23:121" ht="12.75">
      <c r="W520" s="5"/>
      <c r="X520" s="5"/>
      <c r="Y520" s="5"/>
      <c r="Z520" s="5"/>
      <c r="CT520" s="5"/>
      <c r="CU520" s="5"/>
      <c r="CV520" s="5"/>
      <c r="CW520" s="5"/>
      <c r="CY520" s="5"/>
      <c r="CZ520" s="5"/>
      <c r="DA520" s="5"/>
      <c r="DB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</row>
    <row r="521" spans="23:121" ht="12.75">
      <c r="W521" s="5"/>
      <c r="X521" s="5"/>
      <c r="Y521" s="5"/>
      <c r="Z521" s="5"/>
      <c r="CT521" s="5"/>
      <c r="CU521" s="5"/>
      <c r="CV521" s="5"/>
      <c r="CW521" s="5"/>
      <c r="CY521" s="5"/>
      <c r="CZ521" s="5"/>
      <c r="DA521" s="5"/>
      <c r="DB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</row>
    <row r="522" spans="23:121" ht="12.75">
      <c r="W522" s="5"/>
      <c r="X522" s="5"/>
      <c r="Y522" s="5"/>
      <c r="Z522" s="5"/>
      <c r="CT522" s="5"/>
      <c r="CU522" s="5"/>
      <c r="CV522" s="5"/>
      <c r="CW522" s="5"/>
      <c r="CY522" s="5"/>
      <c r="CZ522" s="5"/>
      <c r="DA522" s="5"/>
      <c r="DB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</row>
    <row r="523" spans="23:121" ht="12.75">
      <c r="W523" s="5"/>
      <c r="X523" s="5"/>
      <c r="Y523" s="5"/>
      <c r="Z523" s="5"/>
      <c r="CT523" s="5"/>
      <c r="CU523" s="5"/>
      <c r="CV523" s="5"/>
      <c r="CW523" s="5"/>
      <c r="CY523" s="5"/>
      <c r="CZ523" s="5"/>
      <c r="DA523" s="5"/>
      <c r="DB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</row>
    <row r="524" spans="23:121" ht="12.75">
      <c r="W524" s="5"/>
      <c r="X524" s="5"/>
      <c r="Y524" s="5"/>
      <c r="Z524" s="5"/>
      <c r="CT524" s="5"/>
      <c r="CU524" s="5"/>
      <c r="CV524" s="5"/>
      <c r="CW524" s="5"/>
      <c r="CY524" s="5"/>
      <c r="CZ524" s="5"/>
      <c r="DA524" s="5"/>
      <c r="DB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</row>
    <row r="525" spans="23:121" ht="12.75">
      <c r="W525" s="5"/>
      <c r="X525" s="5"/>
      <c r="Y525" s="5"/>
      <c r="Z525" s="5"/>
      <c r="CT525" s="5"/>
      <c r="CU525" s="5"/>
      <c r="CV525" s="5"/>
      <c r="CW525" s="5"/>
      <c r="CY525" s="5"/>
      <c r="CZ525" s="5"/>
      <c r="DA525" s="5"/>
      <c r="DB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</row>
    <row r="526" spans="23:121" ht="12.75">
      <c r="W526" s="5"/>
      <c r="X526" s="5"/>
      <c r="Y526" s="5"/>
      <c r="Z526" s="5"/>
      <c r="CT526" s="5"/>
      <c r="CU526" s="5"/>
      <c r="CV526" s="5"/>
      <c r="CW526" s="5"/>
      <c r="CY526" s="5"/>
      <c r="CZ526" s="5"/>
      <c r="DA526" s="5"/>
      <c r="DB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</row>
    <row r="527" spans="23:121" ht="12.75">
      <c r="W527" s="5"/>
      <c r="X527" s="5"/>
      <c r="Y527" s="5"/>
      <c r="Z527" s="5"/>
      <c r="CT527" s="5"/>
      <c r="CU527" s="5"/>
      <c r="CV527" s="5"/>
      <c r="CW527" s="5"/>
      <c r="CY527" s="5"/>
      <c r="CZ527" s="5"/>
      <c r="DA527" s="5"/>
      <c r="DB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</row>
    <row r="528" spans="23:121" ht="12.75">
      <c r="W528" s="5"/>
      <c r="X528" s="5"/>
      <c r="Y528" s="5"/>
      <c r="Z528" s="5"/>
      <c r="CT528" s="5"/>
      <c r="CU528" s="5"/>
      <c r="CV528" s="5"/>
      <c r="CW528" s="5"/>
      <c r="CY528" s="5"/>
      <c r="CZ528" s="5"/>
      <c r="DA528" s="5"/>
      <c r="DB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</row>
    <row r="529" spans="23:121" ht="12.75">
      <c r="W529" s="5"/>
      <c r="X529" s="5"/>
      <c r="Y529" s="5"/>
      <c r="Z529" s="5"/>
      <c r="CT529" s="5"/>
      <c r="CU529" s="5"/>
      <c r="CV529" s="5"/>
      <c r="CW529" s="5"/>
      <c r="CY529" s="5"/>
      <c r="CZ529" s="5"/>
      <c r="DA529" s="5"/>
      <c r="DB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</row>
    <row r="530" spans="23:121" ht="12.75">
      <c r="W530" s="5"/>
      <c r="X530" s="5"/>
      <c r="Y530" s="5"/>
      <c r="Z530" s="5"/>
      <c r="CT530" s="5"/>
      <c r="CU530" s="5"/>
      <c r="CV530" s="5"/>
      <c r="CW530" s="5"/>
      <c r="CY530" s="5"/>
      <c r="CZ530" s="5"/>
      <c r="DA530" s="5"/>
      <c r="DB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</row>
    <row r="531" spans="23:121" ht="12.75">
      <c r="W531" s="5"/>
      <c r="X531" s="5"/>
      <c r="Y531" s="5"/>
      <c r="Z531" s="5"/>
      <c r="CT531" s="5"/>
      <c r="CU531" s="5"/>
      <c r="CV531" s="5"/>
      <c r="CW531" s="5"/>
      <c r="CY531" s="5"/>
      <c r="CZ531" s="5"/>
      <c r="DA531" s="5"/>
      <c r="DB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</row>
    <row r="532" spans="23:121" ht="12.75">
      <c r="W532" s="5"/>
      <c r="X532" s="5"/>
      <c r="Y532" s="5"/>
      <c r="Z532" s="5"/>
      <c r="CT532" s="5"/>
      <c r="CU532" s="5"/>
      <c r="CV532" s="5"/>
      <c r="CW532" s="5"/>
      <c r="CY532" s="5"/>
      <c r="CZ532" s="5"/>
      <c r="DA532" s="5"/>
      <c r="DB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</row>
    <row r="533" spans="23:121" ht="12.75">
      <c r="W533" s="5"/>
      <c r="X533" s="5"/>
      <c r="Y533" s="5"/>
      <c r="Z533" s="5"/>
      <c r="CT533" s="5"/>
      <c r="CU533" s="5"/>
      <c r="CV533" s="5"/>
      <c r="CW533" s="5"/>
      <c r="CY533" s="5"/>
      <c r="CZ533" s="5"/>
      <c r="DA533" s="5"/>
      <c r="DB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</row>
    <row r="534" spans="23:121" ht="12.75">
      <c r="W534" s="5"/>
      <c r="X534" s="5"/>
      <c r="Y534" s="5"/>
      <c r="Z534" s="5"/>
      <c r="CT534" s="5"/>
      <c r="CU534" s="5"/>
      <c r="CV534" s="5"/>
      <c r="CW534" s="5"/>
      <c r="CY534" s="5"/>
      <c r="CZ534" s="5"/>
      <c r="DA534" s="5"/>
      <c r="DB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</row>
    <row r="535" spans="23:121" ht="12.75">
      <c r="W535" s="5"/>
      <c r="X535" s="5"/>
      <c r="Y535" s="5"/>
      <c r="Z535" s="5"/>
      <c r="CT535" s="5"/>
      <c r="CU535" s="5"/>
      <c r="CV535" s="5"/>
      <c r="CW535" s="5"/>
      <c r="CY535" s="5"/>
      <c r="CZ535" s="5"/>
      <c r="DA535" s="5"/>
      <c r="DB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</row>
    <row r="536" spans="23:121" ht="12.75">
      <c r="W536" s="5"/>
      <c r="X536" s="5"/>
      <c r="Y536" s="5"/>
      <c r="Z536" s="5"/>
      <c r="CT536" s="5"/>
      <c r="CU536" s="5"/>
      <c r="CV536" s="5"/>
      <c r="CW536" s="5"/>
      <c r="CY536" s="5"/>
      <c r="CZ536" s="5"/>
      <c r="DA536" s="5"/>
      <c r="DB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</row>
    <row r="537" spans="23:121" ht="12.75">
      <c r="W537" s="5"/>
      <c r="X537" s="5"/>
      <c r="Y537" s="5"/>
      <c r="Z537" s="5"/>
      <c r="CT537" s="5"/>
      <c r="CU537" s="5"/>
      <c r="CV537" s="5"/>
      <c r="CW537" s="5"/>
      <c r="CY537" s="5"/>
      <c r="CZ537" s="5"/>
      <c r="DA537" s="5"/>
      <c r="DB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</row>
    <row r="538" spans="23:121" ht="12.75">
      <c r="W538" s="5"/>
      <c r="X538" s="5"/>
      <c r="Y538" s="5"/>
      <c r="Z538" s="5"/>
      <c r="CT538" s="5"/>
      <c r="CU538" s="5"/>
      <c r="CV538" s="5"/>
      <c r="CW538" s="5"/>
      <c r="CY538" s="5"/>
      <c r="CZ538" s="5"/>
      <c r="DA538" s="5"/>
      <c r="DB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</row>
    <row r="539" spans="23:121" ht="12.75">
      <c r="W539" s="5"/>
      <c r="X539" s="5"/>
      <c r="Y539" s="5"/>
      <c r="Z539" s="5"/>
      <c r="CT539" s="5"/>
      <c r="CU539" s="5"/>
      <c r="CV539" s="5"/>
      <c r="CW539" s="5"/>
      <c r="CY539" s="5"/>
      <c r="CZ539" s="5"/>
      <c r="DA539" s="5"/>
      <c r="DB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</row>
    <row r="540" spans="23:121" ht="12.75">
      <c r="W540" s="5"/>
      <c r="X540" s="5"/>
      <c r="Y540" s="5"/>
      <c r="Z540" s="5"/>
      <c r="CT540" s="5"/>
      <c r="CU540" s="5"/>
      <c r="CV540" s="5"/>
      <c r="CW540" s="5"/>
      <c r="CY540" s="5"/>
      <c r="CZ540" s="5"/>
      <c r="DA540" s="5"/>
      <c r="DB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</row>
    <row r="541" spans="23:121" ht="12.75">
      <c r="W541" s="5"/>
      <c r="X541" s="5"/>
      <c r="Y541" s="5"/>
      <c r="Z541" s="5"/>
      <c r="CT541" s="5"/>
      <c r="CU541" s="5"/>
      <c r="CV541" s="5"/>
      <c r="CW541" s="5"/>
      <c r="CY541" s="5"/>
      <c r="CZ541" s="5"/>
      <c r="DA541" s="5"/>
      <c r="DB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</row>
    <row r="542" spans="23:121" ht="12.75">
      <c r="W542" s="5"/>
      <c r="X542" s="5"/>
      <c r="Y542" s="5"/>
      <c r="Z542" s="5"/>
      <c r="CT542" s="5"/>
      <c r="CU542" s="5"/>
      <c r="CV542" s="5"/>
      <c r="CW542" s="5"/>
      <c r="CY542" s="5"/>
      <c r="CZ542" s="5"/>
      <c r="DA542" s="5"/>
      <c r="DB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</row>
    <row r="543" spans="23:121" ht="12.75">
      <c r="W543" s="5"/>
      <c r="X543" s="5"/>
      <c r="Y543" s="5"/>
      <c r="Z543" s="5"/>
      <c r="CT543" s="5"/>
      <c r="CU543" s="5"/>
      <c r="CV543" s="5"/>
      <c r="CW543" s="5"/>
      <c r="CY543" s="5"/>
      <c r="CZ543" s="5"/>
      <c r="DA543" s="5"/>
      <c r="DB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</row>
    <row r="544" spans="23:121" ht="12.75">
      <c r="W544" s="5"/>
      <c r="X544" s="5"/>
      <c r="Y544" s="5"/>
      <c r="Z544" s="5"/>
      <c r="CT544" s="5"/>
      <c r="CU544" s="5"/>
      <c r="CV544" s="5"/>
      <c r="CW544" s="5"/>
      <c r="CY544" s="5"/>
      <c r="CZ544" s="5"/>
      <c r="DA544" s="5"/>
      <c r="DB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</row>
    <row r="545" spans="23:121" ht="12.75">
      <c r="W545" s="5"/>
      <c r="X545" s="5"/>
      <c r="Y545" s="5"/>
      <c r="Z545" s="5"/>
      <c r="CT545" s="5"/>
      <c r="CU545" s="5"/>
      <c r="CV545" s="5"/>
      <c r="CW545" s="5"/>
      <c r="CY545" s="5"/>
      <c r="CZ545" s="5"/>
      <c r="DA545" s="5"/>
      <c r="DB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</row>
    <row r="546" spans="23:121" ht="12.75">
      <c r="W546" s="5"/>
      <c r="X546" s="5"/>
      <c r="Y546" s="5"/>
      <c r="Z546" s="5"/>
      <c r="CT546" s="5"/>
      <c r="CU546" s="5"/>
      <c r="CV546" s="5"/>
      <c r="CW546" s="5"/>
      <c r="CY546" s="5"/>
      <c r="CZ546" s="5"/>
      <c r="DA546" s="5"/>
      <c r="DB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</row>
    <row r="547" spans="23:121" ht="12.75">
      <c r="W547" s="5"/>
      <c r="X547" s="5"/>
      <c r="Y547" s="5"/>
      <c r="Z547" s="5"/>
      <c r="CT547" s="5"/>
      <c r="CU547" s="5"/>
      <c r="CV547" s="5"/>
      <c r="CW547" s="5"/>
      <c r="CY547" s="5"/>
      <c r="CZ547" s="5"/>
      <c r="DA547" s="5"/>
      <c r="DB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</row>
    <row r="548" spans="23:121" ht="12.75">
      <c r="W548" s="5"/>
      <c r="X548" s="5"/>
      <c r="Y548" s="5"/>
      <c r="Z548" s="5"/>
      <c r="CT548" s="5"/>
      <c r="CU548" s="5"/>
      <c r="CV548" s="5"/>
      <c r="CW548" s="5"/>
      <c r="CY548" s="5"/>
      <c r="CZ548" s="5"/>
      <c r="DA548" s="5"/>
      <c r="DB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</row>
    <row r="549" spans="23:121" ht="12.75">
      <c r="W549" s="5"/>
      <c r="X549" s="5"/>
      <c r="Y549" s="5"/>
      <c r="Z549" s="5"/>
      <c r="CT549" s="5"/>
      <c r="CU549" s="5"/>
      <c r="CV549" s="5"/>
      <c r="CW549" s="5"/>
      <c r="CY549" s="5"/>
      <c r="CZ549" s="5"/>
      <c r="DA549" s="5"/>
      <c r="DB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</row>
    <row r="550" spans="23:121" ht="12.75">
      <c r="W550" s="5"/>
      <c r="X550" s="5"/>
      <c r="Y550" s="5"/>
      <c r="Z550" s="5"/>
      <c r="CT550" s="5"/>
      <c r="CU550" s="5"/>
      <c r="CV550" s="5"/>
      <c r="CW550" s="5"/>
      <c r="CY550" s="5"/>
      <c r="CZ550" s="5"/>
      <c r="DA550" s="5"/>
      <c r="DB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</row>
    <row r="551" spans="23:121" ht="12.75">
      <c r="W551" s="5"/>
      <c r="X551" s="5"/>
      <c r="Y551" s="5"/>
      <c r="Z551" s="5"/>
      <c r="CT551" s="5"/>
      <c r="CU551" s="5"/>
      <c r="CV551" s="5"/>
      <c r="CW551" s="5"/>
      <c r="CY551" s="5"/>
      <c r="CZ551" s="5"/>
      <c r="DA551" s="5"/>
      <c r="DB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</row>
    <row r="552" spans="23:121" ht="12.75">
      <c r="W552" s="5"/>
      <c r="X552" s="5"/>
      <c r="Y552" s="5"/>
      <c r="Z552" s="5"/>
      <c r="CT552" s="5"/>
      <c r="CU552" s="5"/>
      <c r="CV552" s="5"/>
      <c r="CW552" s="5"/>
      <c r="CY552" s="5"/>
      <c r="CZ552" s="5"/>
      <c r="DA552" s="5"/>
      <c r="DB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</row>
    <row r="553" spans="23:121" ht="12.75">
      <c r="W553" s="5"/>
      <c r="X553" s="5"/>
      <c r="Y553" s="5"/>
      <c r="Z553" s="5"/>
      <c r="CT553" s="5"/>
      <c r="CU553" s="5"/>
      <c r="CV553" s="5"/>
      <c r="CW553" s="5"/>
      <c r="CY553" s="5"/>
      <c r="CZ553" s="5"/>
      <c r="DA553" s="5"/>
      <c r="DB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</row>
    <row r="554" spans="23:121" ht="12.75">
      <c r="W554" s="5"/>
      <c r="X554" s="5"/>
      <c r="Y554" s="5"/>
      <c r="Z554" s="5"/>
      <c r="CT554" s="5"/>
      <c r="CU554" s="5"/>
      <c r="CV554" s="5"/>
      <c r="CW554" s="5"/>
      <c r="CY554" s="5"/>
      <c r="CZ554" s="5"/>
      <c r="DA554" s="5"/>
      <c r="DB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</row>
    <row r="555" spans="23:121" ht="12.75">
      <c r="W555" s="5"/>
      <c r="X555" s="5"/>
      <c r="Y555" s="5"/>
      <c r="Z555" s="5"/>
      <c r="CT555" s="5"/>
      <c r="CU555" s="5"/>
      <c r="CV555" s="5"/>
      <c r="CW555" s="5"/>
      <c r="CY555" s="5"/>
      <c r="CZ555" s="5"/>
      <c r="DA555" s="5"/>
      <c r="DB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</row>
    <row r="556" spans="23:121" ht="12.75">
      <c r="W556" s="5"/>
      <c r="X556" s="5"/>
      <c r="Y556" s="5"/>
      <c r="Z556" s="5"/>
      <c r="CT556" s="5"/>
      <c r="CU556" s="5"/>
      <c r="CV556" s="5"/>
      <c r="CW556" s="5"/>
      <c r="CY556" s="5"/>
      <c r="CZ556" s="5"/>
      <c r="DA556" s="5"/>
      <c r="DB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</row>
    <row r="557" spans="23:121" ht="12.75">
      <c r="W557" s="5"/>
      <c r="X557" s="5"/>
      <c r="Y557" s="5"/>
      <c r="Z557" s="5"/>
      <c r="CT557" s="5"/>
      <c r="CU557" s="5"/>
      <c r="CV557" s="5"/>
      <c r="CW557" s="5"/>
      <c r="CY557" s="5"/>
      <c r="CZ557" s="5"/>
      <c r="DA557" s="5"/>
      <c r="DB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</row>
    <row r="558" spans="23:121" ht="12.75">
      <c r="W558" s="5"/>
      <c r="X558" s="5"/>
      <c r="Y558" s="5"/>
      <c r="Z558" s="5"/>
      <c r="CT558" s="5"/>
      <c r="CU558" s="5"/>
      <c r="CV558" s="5"/>
      <c r="CW558" s="5"/>
      <c r="CY558" s="5"/>
      <c r="CZ558" s="5"/>
      <c r="DA558" s="5"/>
      <c r="DB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</row>
    <row r="559" spans="23:121" ht="12.75">
      <c r="W559" s="5"/>
      <c r="X559" s="5"/>
      <c r="Y559" s="5"/>
      <c r="Z559" s="5"/>
      <c r="CT559" s="5"/>
      <c r="CU559" s="5"/>
      <c r="CV559" s="5"/>
      <c r="CW559" s="5"/>
      <c r="CY559" s="5"/>
      <c r="CZ559" s="5"/>
      <c r="DA559" s="5"/>
      <c r="DB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</row>
    <row r="560" spans="23:121" ht="12.75">
      <c r="W560" s="5"/>
      <c r="X560" s="5"/>
      <c r="Y560" s="5"/>
      <c r="Z560" s="5"/>
      <c r="CT560" s="5"/>
      <c r="CU560" s="5"/>
      <c r="CV560" s="5"/>
      <c r="CW560" s="5"/>
      <c r="CY560" s="5"/>
      <c r="CZ560" s="5"/>
      <c r="DA560" s="5"/>
      <c r="DB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</row>
    <row r="561" spans="23:121" ht="12.75">
      <c r="W561" s="5"/>
      <c r="X561" s="5"/>
      <c r="Y561" s="5"/>
      <c r="Z561" s="5"/>
      <c r="CT561" s="5"/>
      <c r="CU561" s="5"/>
      <c r="CV561" s="5"/>
      <c r="CW561" s="5"/>
      <c r="CY561" s="5"/>
      <c r="CZ561" s="5"/>
      <c r="DA561" s="5"/>
      <c r="DB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</row>
    <row r="562" spans="23:121" ht="12.75">
      <c r="W562" s="5"/>
      <c r="X562" s="5"/>
      <c r="Y562" s="5"/>
      <c r="Z562" s="5"/>
      <c r="CT562" s="5"/>
      <c r="CU562" s="5"/>
      <c r="CV562" s="5"/>
      <c r="CW562" s="5"/>
      <c r="CY562" s="5"/>
      <c r="CZ562" s="5"/>
      <c r="DA562" s="5"/>
      <c r="DB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</row>
    <row r="563" spans="23:121" ht="12.75">
      <c r="W563" s="5"/>
      <c r="X563" s="5"/>
      <c r="Y563" s="5"/>
      <c r="Z563" s="5"/>
      <c r="CT563" s="5"/>
      <c r="CU563" s="5"/>
      <c r="CV563" s="5"/>
      <c r="CW563" s="5"/>
      <c r="CY563" s="5"/>
      <c r="CZ563" s="5"/>
      <c r="DA563" s="5"/>
      <c r="DB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</row>
    <row r="564" spans="23:121" ht="12.75">
      <c r="W564" s="5"/>
      <c r="X564" s="5"/>
      <c r="Y564" s="5"/>
      <c r="Z564" s="5"/>
      <c r="CT564" s="5"/>
      <c r="CU564" s="5"/>
      <c r="CV564" s="5"/>
      <c r="CW564" s="5"/>
      <c r="CY564" s="5"/>
      <c r="CZ564" s="5"/>
      <c r="DA564" s="5"/>
      <c r="DB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</row>
    <row r="565" spans="23:121" ht="12.75">
      <c r="W565" s="5"/>
      <c r="X565" s="5"/>
      <c r="Y565" s="5"/>
      <c r="Z565" s="5"/>
      <c r="CT565" s="5"/>
      <c r="CU565" s="5"/>
      <c r="CV565" s="5"/>
      <c r="CW565" s="5"/>
      <c r="CY565" s="5"/>
      <c r="CZ565" s="5"/>
      <c r="DA565" s="5"/>
      <c r="DB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</row>
    <row r="566" spans="23:121" ht="12.75">
      <c r="W566" s="5"/>
      <c r="X566" s="5"/>
      <c r="Y566" s="5"/>
      <c r="Z566" s="5"/>
      <c r="CT566" s="5"/>
      <c r="CU566" s="5"/>
      <c r="CV566" s="5"/>
      <c r="CW566" s="5"/>
      <c r="CY566" s="5"/>
      <c r="CZ566" s="5"/>
      <c r="DA566" s="5"/>
      <c r="DB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</row>
    <row r="567" spans="23:121" ht="12.75">
      <c r="W567" s="5"/>
      <c r="X567" s="5"/>
      <c r="Y567" s="5"/>
      <c r="Z567" s="5"/>
      <c r="CT567" s="5"/>
      <c r="CU567" s="5"/>
      <c r="CV567" s="5"/>
      <c r="CW567" s="5"/>
      <c r="CY567" s="5"/>
      <c r="CZ567" s="5"/>
      <c r="DA567" s="5"/>
      <c r="DB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</row>
    <row r="568" spans="23:121" ht="12.75">
      <c r="W568" s="5"/>
      <c r="X568" s="5"/>
      <c r="Y568" s="5"/>
      <c r="Z568" s="5"/>
      <c r="CT568" s="5"/>
      <c r="CU568" s="5"/>
      <c r="CV568" s="5"/>
      <c r="CW568" s="5"/>
      <c r="CY568" s="5"/>
      <c r="CZ568" s="5"/>
      <c r="DA568" s="5"/>
      <c r="DB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</row>
    <row r="569" spans="23:121" ht="12.75">
      <c r="W569" s="5"/>
      <c r="X569" s="5"/>
      <c r="Y569" s="5"/>
      <c r="Z569" s="5"/>
      <c r="CT569" s="5"/>
      <c r="CU569" s="5"/>
      <c r="CV569" s="5"/>
      <c r="CW569" s="5"/>
      <c r="CY569" s="5"/>
      <c r="CZ569" s="5"/>
      <c r="DA569" s="5"/>
      <c r="DB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</row>
    <row r="570" spans="23:121" ht="12.75">
      <c r="W570" s="5"/>
      <c r="X570" s="5"/>
      <c r="Y570" s="5"/>
      <c r="Z570" s="5"/>
      <c r="CT570" s="5"/>
      <c r="CU570" s="5"/>
      <c r="CV570" s="5"/>
      <c r="CW570" s="5"/>
      <c r="CY570" s="5"/>
      <c r="CZ570" s="5"/>
      <c r="DA570" s="5"/>
      <c r="DB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</row>
    <row r="571" spans="23:121" ht="12.75">
      <c r="W571" s="5"/>
      <c r="X571" s="5"/>
      <c r="Y571" s="5"/>
      <c r="Z571" s="5"/>
      <c r="CT571" s="5"/>
      <c r="CU571" s="5"/>
      <c r="CV571" s="5"/>
      <c r="CW571" s="5"/>
      <c r="CY571" s="5"/>
      <c r="CZ571" s="5"/>
      <c r="DA571" s="5"/>
      <c r="DB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</row>
    <row r="572" spans="23:121" ht="12.75">
      <c r="W572" s="5"/>
      <c r="X572" s="5"/>
      <c r="Y572" s="5"/>
      <c r="Z572" s="5"/>
      <c r="CT572" s="5"/>
      <c r="CU572" s="5"/>
      <c r="CV572" s="5"/>
      <c r="CW572" s="5"/>
      <c r="CY572" s="5"/>
      <c r="CZ572" s="5"/>
      <c r="DA572" s="5"/>
      <c r="DB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</row>
    <row r="573" spans="23:121" ht="12.75">
      <c r="W573" s="5"/>
      <c r="X573" s="5"/>
      <c r="Y573" s="5"/>
      <c r="Z573" s="5"/>
      <c r="CT573" s="5"/>
      <c r="CU573" s="5"/>
      <c r="CV573" s="5"/>
      <c r="CW573" s="5"/>
      <c r="CY573" s="5"/>
      <c r="CZ573" s="5"/>
      <c r="DA573" s="5"/>
      <c r="DB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</row>
    <row r="574" spans="23:121" ht="12.75">
      <c r="W574" s="5"/>
      <c r="X574" s="5"/>
      <c r="Y574" s="5"/>
      <c r="Z574" s="5"/>
      <c r="CT574" s="5"/>
      <c r="CU574" s="5"/>
      <c r="CV574" s="5"/>
      <c r="CW574" s="5"/>
      <c r="CY574" s="5"/>
      <c r="CZ574" s="5"/>
      <c r="DA574" s="5"/>
      <c r="DB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</row>
  </sheetData>
  <sheetProtection/>
  <printOptions/>
  <pageMargins left="0.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F84"/>
  <sheetViews>
    <sheetView tabSelected="1" zoomScale="125" zoomScaleNormal="125" zoomScalePageLayoutView="0" workbookViewId="0" topLeftCell="A1">
      <pane xSplit="1" ySplit="8" topLeftCell="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0" sqref="J10"/>
    </sheetView>
  </sheetViews>
  <sheetFormatPr defaultColWidth="8.7109375" defaultRowHeight="12.75"/>
  <cols>
    <col min="1" max="1" width="9.7109375" style="36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4" width="12.7109375" style="5" customWidth="1"/>
    <col min="45" max="46" width="13.7109375" style="5" customWidth="1"/>
    <col min="47" max="47" width="3.7109375" style="5" customWidth="1"/>
    <col min="48" max="49" width="12.7109375" style="5" customWidth="1"/>
    <col min="50" max="51" width="14.140625" style="5" customWidth="1"/>
    <col min="52" max="52" width="3.7109375" style="5" customWidth="1"/>
    <col min="53" max="54" width="12.7109375" style="5" customWidth="1"/>
    <col min="55" max="56" width="14.140625" style="5" customWidth="1"/>
    <col min="57" max="57" width="3.7109375" style="5" customWidth="1"/>
    <col min="58" max="59" width="12.7109375" style="5" customWidth="1"/>
    <col min="60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2.7109375" style="5" customWidth="1"/>
    <col min="107" max="107" width="3.7109375" style="5" customWidth="1"/>
    <col min="108" max="111" width="12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2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3.7109375" style="5" customWidth="1"/>
  </cols>
  <sheetData>
    <row r="1" spans="1:133" ht="12.75">
      <c r="A1" s="1"/>
      <c r="B1" s="2"/>
      <c r="D1" s="4"/>
      <c r="H1" s="4" t="s">
        <v>35</v>
      </c>
      <c r="W1" s="4" t="s">
        <v>35</v>
      </c>
      <c r="AL1" s="4" t="s">
        <v>35</v>
      </c>
      <c r="BA1" s="4" t="s">
        <v>35</v>
      </c>
      <c r="BP1" s="4" t="s">
        <v>35</v>
      </c>
      <c r="BU1" s="4"/>
      <c r="CE1" s="4" t="s">
        <v>35</v>
      </c>
      <c r="CT1" s="4" t="s">
        <v>35</v>
      </c>
      <c r="CY1" s="4"/>
      <c r="DD1" s="4"/>
      <c r="DI1" s="4" t="s">
        <v>35</v>
      </c>
      <c r="DN1" s="4"/>
      <c r="DS1" s="4"/>
      <c r="DX1" s="4" t="s">
        <v>35</v>
      </c>
      <c r="EC1" s="4"/>
    </row>
    <row r="2" spans="1:133" ht="12.75">
      <c r="A2" s="1"/>
      <c r="B2" s="2"/>
      <c r="D2" s="4"/>
      <c r="H2" s="4" t="s">
        <v>34</v>
      </c>
      <c r="W2" s="4" t="s">
        <v>34</v>
      </c>
      <c r="AL2" s="4" t="s">
        <v>34</v>
      </c>
      <c r="BA2" s="4" t="s">
        <v>34</v>
      </c>
      <c r="BP2" s="4" t="s">
        <v>34</v>
      </c>
      <c r="BU2" s="4"/>
      <c r="CE2" s="4" t="s">
        <v>34</v>
      </c>
      <c r="CT2" s="4" t="s">
        <v>34</v>
      </c>
      <c r="CY2" s="4"/>
      <c r="DD2" s="4"/>
      <c r="DI2" s="4" t="s">
        <v>34</v>
      </c>
      <c r="DN2" s="4"/>
      <c r="DS2" s="4"/>
      <c r="DX2" s="4" t="s">
        <v>34</v>
      </c>
      <c r="EC2" s="4"/>
    </row>
    <row r="3" spans="1:133" ht="12.75">
      <c r="A3" s="1"/>
      <c r="B3" s="2"/>
      <c r="D3" s="7"/>
      <c r="H3" s="83" t="s">
        <v>56</v>
      </c>
      <c r="W3" s="83" t="s">
        <v>56</v>
      </c>
      <c r="AL3" s="83" t="s">
        <v>56</v>
      </c>
      <c r="BA3" s="83" t="s">
        <v>56</v>
      </c>
      <c r="BP3" s="83" t="s">
        <v>56</v>
      </c>
      <c r="BU3" s="83"/>
      <c r="CE3" s="83" t="s">
        <v>56</v>
      </c>
      <c r="CT3" s="83" t="s">
        <v>56</v>
      </c>
      <c r="CY3" s="4"/>
      <c r="DD3" s="4"/>
      <c r="DI3" s="83" t="s">
        <v>56</v>
      </c>
      <c r="DN3" s="4"/>
      <c r="DS3" s="4"/>
      <c r="DX3" s="83" t="s">
        <v>56</v>
      </c>
      <c r="EC3" s="4"/>
    </row>
    <row r="4" spans="1:4" ht="12.75">
      <c r="A4" s="1"/>
      <c r="B4" s="2"/>
      <c r="C4" s="7"/>
      <c r="D4" s="4"/>
    </row>
    <row r="5" spans="1:136" ht="12.75">
      <c r="A5" s="9" t="s">
        <v>0</v>
      </c>
      <c r="C5" s="84" t="s">
        <v>54</v>
      </c>
      <c r="D5" s="10"/>
      <c r="E5" s="11"/>
      <c r="F5" s="11"/>
      <c r="H5" s="77" t="s">
        <v>62</v>
      </c>
      <c r="I5" s="15"/>
      <c r="J5" s="14"/>
      <c r="K5" s="11"/>
      <c r="M5" s="74" t="s">
        <v>47</v>
      </c>
      <c r="N5" s="13"/>
      <c r="O5" s="14"/>
      <c r="P5" s="11"/>
      <c r="R5" s="74" t="s">
        <v>41</v>
      </c>
      <c r="S5" s="13"/>
      <c r="T5" s="14"/>
      <c r="U5" s="11"/>
      <c r="W5" s="74" t="s">
        <v>51</v>
      </c>
      <c r="X5" s="72"/>
      <c r="Y5" s="73"/>
      <c r="Z5" s="11"/>
      <c r="AB5" s="41" t="s">
        <v>6</v>
      </c>
      <c r="AC5" s="72"/>
      <c r="AD5" s="73"/>
      <c r="AE5" s="11"/>
      <c r="AG5" s="41" t="s">
        <v>108</v>
      </c>
      <c r="AH5" s="72"/>
      <c r="AI5" s="73"/>
      <c r="AJ5" s="11"/>
      <c r="AL5" s="41" t="s">
        <v>165</v>
      </c>
      <c r="AM5" s="13"/>
      <c r="AN5" s="14"/>
      <c r="AO5" s="11"/>
      <c r="AQ5" s="41" t="s">
        <v>7</v>
      </c>
      <c r="AR5" s="13"/>
      <c r="AS5" s="14"/>
      <c r="AT5" s="11"/>
      <c r="AV5" s="41" t="s">
        <v>158</v>
      </c>
      <c r="AW5" s="13"/>
      <c r="AX5" s="14"/>
      <c r="AY5" s="11"/>
      <c r="BA5" s="41" t="s">
        <v>159</v>
      </c>
      <c r="BB5" s="13"/>
      <c r="BC5" s="14"/>
      <c r="BD5" s="11"/>
      <c r="BF5" s="41" t="s">
        <v>139</v>
      </c>
      <c r="BG5" s="13"/>
      <c r="BH5" s="14"/>
      <c r="BI5" s="11"/>
      <c r="BK5" s="12" t="s">
        <v>8</v>
      </c>
      <c r="BL5" s="13"/>
      <c r="BM5" s="14"/>
      <c r="BN5" s="11"/>
      <c r="BP5" s="75" t="s">
        <v>39</v>
      </c>
      <c r="BQ5" s="13"/>
      <c r="BR5" s="14"/>
      <c r="BS5" s="11"/>
      <c r="BU5" s="75" t="s">
        <v>140</v>
      </c>
      <c r="BV5" s="13"/>
      <c r="BW5" s="14"/>
      <c r="BX5" s="11"/>
      <c r="BZ5" s="75" t="s">
        <v>109</v>
      </c>
      <c r="CA5" s="13"/>
      <c r="CB5" s="14"/>
      <c r="CC5" s="11"/>
      <c r="CE5" s="75" t="s">
        <v>160</v>
      </c>
      <c r="CF5" s="13"/>
      <c r="CG5" s="14"/>
      <c r="CH5" s="11"/>
      <c r="CJ5" s="75" t="s">
        <v>161</v>
      </c>
      <c r="CK5" s="13"/>
      <c r="CL5" s="14"/>
      <c r="CM5" s="11"/>
      <c r="CO5" s="12" t="s">
        <v>9</v>
      </c>
      <c r="CP5" s="72"/>
      <c r="CQ5" s="73"/>
      <c r="CR5" s="11"/>
      <c r="CS5" s="80"/>
      <c r="CT5" s="76" t="s">
        <v>48</v>
      </c>
      <c r="CU5" s="72"/>
      <c r="CV5" s="73"/>
      <c r="CW5" s="11"/>
      <c r="CY5" s="41" t="s">
        <v>10</v>
      </c>
      <c r="CZ5" s="13"/>
      <c r="DA5" s="14"/>
      <c r="DB5" s="11"/>
      <c r="DD5" s="41" t="s">
        <v>37</v>
      </c>
      <c r="DE5" s="13"/>
      <c r="DF5" s="14"/>
      <c r="DG5" s="11"/>
      <c r="DI5" s="41" t="s">
        <v>11</v>
      </c>
      <c r="DJ5" s="13"/>
      <c r="DK5" s="14"/>
      <c r="DL5" s="11"/>
      <c r="DN5" s="12" t="s">
        <v>12</v>
      </c>
      <c r="DO5" s="13"/>
      <c r="DP5" s="14"/>
      <c r="DQ5" s="11"/>
      <c r="DS5" s="77" t="s">
        <v>42</v>
      </c>
      <c r="DT5" s="15"/>
      <c r="DU5" s="14"/>
      <c r="DV5" s="11"/>
      <c r="DX5" s="12" t="s">
        <v>13</v>
      </c>
      <c r="DY5" s="15"/>
      <c r="DZ5" s="14"/>
      <c r="EA5" s="11"/>
      <c r="EC5" s="12" t="s">
        <v>14</v>
      </c>
      <c r="ED5" s="15"/>
      <c r="EE5" s="14"/>
      <c r="EF5" s="11"/>
    </row>
    <row r="6" spans="1:136" ht="12.75">
      <c r="A6" s="21" t="s">
        <v>2</v>
      </c>
      <c r="B6" s="8"/>
      <c r="C6" s="76" t="s">
        <v>55</v>
      </c>
      <c r="D6" s="13"/>
      <c r="E6" s="40"/>
      <c r="F6" s="30" t="s">
        <v>163</v>
      </c>
      <c r="H6" s="22">
        <f>M6+R6+W6+AB6+AG6+AL6+AQ6+BK6+BP6+BZ6+CO6+CT6+CY6+DD6+DI6+DN6+DS6+DX6+EC6</f>
        <v>0.0924647</v>
      </c>
      <c r="I6" s="23">
        <f>N6+S6+X6+AC6+AH6+AM6+AR6+BL6+BQ6+CA6+CP6+CU6+CZ6+DE6+DJ6+DO6+DT6+DY6+ED6</f>
        <v>0.23090199999999994</v>
      </c>
      <c r="J6" s="23">
        <f>O6+T6+Y6+AD6+AI6+AN6+AS6+BH6+BM6+BR6+BW6+CB6+CQ6+CV6+DA6+DF6+DK6+DP6+DU6+DZ6+EE6</f>
        <v>0.29327910000000007</v>
      </c>
      <c r="K6" s="30" t="s">
        <v>163</v>
      </c>
      <c r="M6" s="42">
        <v>0.0445995</v>
      </c>
      <c r="N6" s="8">
        <v>0.0853665</v>
      </c>
      <c r="O6" s="24">
        <v>0.1080778</v>
      </c>
      <c r="P6" s="30" t="s">
        <v>163</v>
      </c>
      <c r="R6" s="42">
        <v>0.0030024</v>
      </c>
      <c r="S6" s="8">
        <v>0.0055338</v>
      </c>
      <c r="T6" s="24">
        <v>0.0076362</v>
      </c>
      <c r="U6" s="30" t="s">
        <v>163</v>
      </c>
      <c r="W6" s="42">
        <v>0.010723</v>
      </c>
      <c r="X6" s="8">
        <v>0.080562</v>
      </c>
      <c r="Y6" s="24">
        <v>0.0841398</v>
      </c>
      <c r="Z6" s="30" t="s">
        <v>163</v>
      </c>
      <c r="AB6" s="42">
        <v>0.0018708</v>
      </c>
      <c r="AC6" s="8">
        <v>0.0033263</v>
      </c>
      <c r="AD6" s="24">
        <v>0.0043806</v>
      </c>
      <c r="AE6" s="30" t="s">
        <v>163</v>
      </c>
      <c r="AG6" s="42">
        <v>0.0001166</v>
      </c>
      <c r="AH6" s="8">
        <v>0.0001166</v>
      </c>
      <c r="AI6" s="24">
        <v>0.000266</v>
      </c>
      <c r="AJ6" s="30" t="s">
        <v>163</v>
      </c>
      <c r="AL6" s="42">
        <v>0.0003658</v>
      </c>
      <c r="AM6" s="8">
        <v>0.0003658</v>
      </c>
      <c r="AN6" s="24">
        <v>0.0003658</v>
      </c>
      <c r="AO6" s="30" t="s">
        <v>163</v>
      </c>
      <c r="AQ6" s="42">
        <v>0.0086592</v>
      </c>
      <c r="AR6" s="23">
        <v>0.0134226</v>
      </c>
      <c r="AS6" s="24">
        <v>0.0191927</v>
      </c>
      <c r="AT6" s="30" t="s">
        <v>163</v>
      </c>
      <c r="AV6" s="42">
        <v>0</v>
      </c>
      <c r="AW6" s="23">
        <v>0</v>
      </c>
      <c r="AX6" s="24">
        <v>0</v>
      </c>
      <c r="AY6" s="30" t="s">
        <v>163</v>
      </c>
      <c r="BA6" s="42">
        <v>0</v>
      </c>
      <c r="BB6" s="23">
        <v>0</v>
      </c>
      <c r="BC6" s="24">
        <v>0</v>
      </c>
      <c r="BD6" s="30" t="s">
        <v>163</v>
      </c>
      <c r="BF6" s="42">
        <v>0</v>
      </c>
      <c r="BG6" s="23">
        <v>0</v>
      </c>
      <c r="BH6" s="24">
        <v>9.9E-05</v>
      </c>
      <c r="BI6" s="30" t="s">
        <v>163</v>
      </c>
      <c r="BK6" s="42">
        <v>0.0008615</v>
      </c>
      <c r="BL6" s="8">
        <v>0.0048345</v>
      </c>
      <c r="BM6" s="24">
        <v>0.0140656</v>
      </c>
      <c r="BN6" s="30" t="s">
        <v>163</v>
      </c>
      <c r="BP6" s="42">
        <v>1.74E-05</v>
      </c>
      <c r="BQ6" s="8">
        <v>2.6E-05</v>
      </c>
      <c r="BR6" s="24">
        <v>4.34E-05</v>
      </c>
      <c r="BS6" s="30" t="s">
        <v>163</v>
      </c>
      <c r="BU6" s="42">
        <v>0</v>
      </c>
      <c r="BV6" s="8">
        <v>0</v>
      </c>
      <c r="BW6" s="24">
        <v>0.0122494</v>
      </c>
      <c r="BX6" s="30" t="s">
        <v>163</v>
      </c>
      <c r="BZ6" s="42">
        <v>0.0002963</v>
      </c>
      <c r="CA6" s="8">
        <v>0.0005441</v>
      </c>
      <c r="CB6" s="24">
        <v>0.0005441</v>
      </c>
      <c r="CC6" s="30" t="s">
        <v>163</v>
      </c>
      <c r="CE6" s="42">
        <v>0</v>
      </c>
      <c r="CF6" s="8">
        <v>0</v>
      </c>
      <c r="CG6" s="24">
        <v>0</v>
      </c>
      <c r="CH6" s="30" t="s">
        <v>163</v>
      </c>
      <c r="CJ6" s="42">
        <v>0</v>
      </c>
      <c r="CK6" s="8">
        <v>0</v>
      </c>
      <c r="CL6" s="24">
        <v>0</v>
      </c>
      <c r="CM6" s="30" t="s">
        <v>163</v>
      </c>
      <c r="CO6" s="42">
        <v>0.0037734</v>
      </c>
      <c r="CP6" s="8">
        <v>0.005761</v>
      </c>
      <c r="CQ6" s="24">
        <v>0.0071577</v>
      </c>
      <c r="CR6" s="30" t="s">
        <v>163</v>
      </c>
      <c r="CS6" s="67"/>
      <c r="CT6" s="42">
        <v>0.0001523</v>
      </c>
      <c r="CU6" s="8">
        <v>0.0001886</v>
      </c>
      <c r="CV6" s="24">
        <v>0.0001886</v>
      </c>
      <c r="CW6" s="30" t="s">
        <v>163</v>
      </c>
      <c r="CY6" s="42">
        <v>0.0042716</v>
      </c>
      <c r="CZ6" s="8">
        <v>0.0048134</v>
      </c>
      <c r="DA6" s="24">
        <v>0.0047998</v>
      </c>
      <c r="DB6" s="30" t="s">
        <v>163</v>
      </c>
      <c r="DD6" s="42">
        <v>0.00339</v>
      </c>
      <c r="DE6" s="8">
        <v>0.0052224</v>
      </c>
      <c r="DF6" s="24">
        <v>0.005226</v>
      </c>
      <c r="DG6" s="30" t="s">
        <v>163</v>
      </c>
      <c r="DI6" s="42">
        <v>0.0047397</v>
      </c>
      <c r="DJ6" s="8">
        <v>0.0067175</v>
      </c>
      <c r="DK6" s="24">
        <v>0.0068652</v>
      </c>
      <c r="DL6" s="30" t="s">
        <v>163</v>
      </c>
      <c r="DN6" s="42">
        <v>0.0005387</v>
      </c>
      <c r="DO6" s="8">
        <v>0.0067445</v>
      </c>
      <c r="DP6" s="24">
        <v>0.0094325</v>
      </c>
      <c r="DQ6" s="30" t="s">
        <v>163</v>
      </c>
      <c r="DS6" s="42">
        <v>0.003562</v>
      </c>
      <c r="DT6" s="23">
        <v>0.0049765</v>
      </c>
      <c r="DU6" s="24">
        <v>0.0049765</v>
      </c>
      <c r="DV6" s="30" t="s">
        <v>163</v>
      </c>
      <c r="DX6" s="42">
        <v>0.0013634</v>
      </c>
      <c r="DY6" s="23">
        <v>0.0015606</v>
      </c>
      <c r="DZ6" s="24">
        <v>0.002599</v>
      </c>
      <c r="EA6" s="30" t="s">
        <v>163</v>
      </c>
      <c r="EC6" s="42">
        <v>0.0001611</v>
      </c>
      <c r="ED6" s="23">
        <v>0.0008193</v>
      </c>
      <c r="EE6" s="24">
        <v>0.0009734</v>
      </c>
      <c r="EF6" s="30" t="s">
        <v>163</v>
      </c>
    </row>
    <row r="7" spans="1:136" ht="12.75">
      <c r="A7" s="21"/>
      <c r="B7" s="8"/>
      <c r="C7" s="41"/>
      <c r="D7" s="13"/>
      <c r="E7" s="40"/>
      <c r="F7" s="30" t="s">
        <v>164</v>
      </c>
      <c r="H7" s="22"/>
      <c r="I7" s="23">
        <f>N7+S7+X7+AC7+AH7+AM7+AR7+AW7+BB7+BG7+BL7+BQ7+BV7+CA7+CF7+CK7+CP7+CU7+CZ7+DE7+DJ7+DO7+DT7+DY7+ED7</f>
        <v>0.2880929</v>
      </c>
      <c r="J7" s="23"/>
      <c r="K7" s="30" t="s">
        <v>164</v>
      </c>
      <c r="M7" s="42"/>
      <c r="N7" s="23">
        <v>0.1020064</v>
      </c>
      <c r="O7" s="24"/>
      <c r="P7" s="30" t="s">
        <v>164</v>
      </c>
      <c r="R7" s="42"/>
      <c r="S7" s="23">
        <v>0.007615</v>
      </c>
      <c r="T7" s="24"/>
      <c r="U7" s="30" t="s">
        <v>164</v>
      </c>
      <c r="W7" s="42"/>
      <c r="X7" s="23">
        <v>0.078187</v>
      </c>
      <c r="Y7" s="24"/>
      <c r="Z7" s="30" t="s">
        <v>164</v>
      </c>
      <c r="AB7" s="42"/>
      <c r="AC7" s="23">
        <v>0.0040707</v>
      </c>
      <c r="AD7" s="24"/>
      <c r="AE7" s="30" t="s">
        <v>164</v>
      </c>
      <c r="AG7" s="42"/>
      <c r="AH7" s="23">
        <v>0.0002472</v>
      </c>
      <c r="AI7" s="24"/>
      <c r="AJ7" s="30" t="s">
        <v>164</v>
      </c>
      <c r="AL7" s="42"/>
      <c r="AM7" s="23">
        <v>0.0003399</v>
      </c>
      <c r="AN7" s="24"/>
      <c r="AO7" s="30" t="s">
        <v>164</v>
      </c>
      <c r="AQ7" s="42"/>
      <c r="AR7" s="8">
        <v>0.0179415</v>
      </c>
      <c r="AS7" s="24"/>
      <c r="AT7" s="30" t="s">
        <v>164</v>
      </c>
      <c r="AV7" s="42"/>
      <c r="AW7" s="8">
        <v>2.78E-05</v>
      </c>
      <c r="AX7" s="24"/>
      <c r="AY7" s="30" t="s">
        <v>164</v>
      </c>
      <c r="BA7" s="42"/>
      <c r="BB7" s="8">
        <v>0.0004149</v>
      </c>
      <c r="BC7" s="24"/>
      <c r="BD7" s="30" t="s">
        <v>164</v>
      </c>
      <c r="BF7" s="42"/>
      <c r="BG7" s="8">
        <v>9.19E-05</v>
      </c>
      <c r="BH7" s="24"/>
      <c r="BI7" s="30" t="s">
        <v>164</v>
      </c>
      <c r="BK7" s="42"/>
      <c r="BL7" s="23">
        <v>0.0144869</v>
      </c>
      <c r="BM7" s="24"/>
      <c r="BN7" s="30" t="s">
        <v>164</v>
      </c>
      <c r="BP7" s="42"/>
      <c r="BQ7" s="23">
        <v>4.84E-05</v>
      </c>
      <c r="BR7" s="24"/>
      <c r="BS7" s="30" t="s">
        <v>164</v>
      </c>
      <c r="BU7" s="42"/>
      <c r="BV7" s="23">
        <v>0.012279</v>
      </c>
      <c r="BW7" s="24"/>
      <c r="BX7" s="30" t="s">
        <v>164</v>
      </c>
      <c r="BZ7" s="42"/>
      <c r="CA7" s="23">
        <v>0.0036198</v>
      </c>
      <c r="CB7" s="24"/>
      <c r="CC7" s="30" t="s">
        <v>164</v>
      </c>
      <c r="CE7" s="42"/>
      <c r="CF7" s="23">
        <v>0.0001987</v>
      </c>
      <c r="CG7" s="24"/>
      <c r="CH7" s="30" t="s">
        <v>164</v>
      </c>
      <c r="CJ7" s="42"/>
      <c r="CK7" s="23">
        <v>9.5E-06</v>
      </c>
      <c r="CL7" s="24"/>
      <c r="CM7" s="30" t="s">
        <v>164</v>
      </c>
      <c r="CO7" s="42"/>
      <c r="CP7" s="23">
        <v>0.0066639</v>
      </c>
      <c r="CQ7" s="24"/>
      <c r="CR7" s="30" t="s">
        <v>164</v>
      </c>
      <c r="CS7" s="67"/>
      <c r="CT7" s="42"/>
      <c r="CU7" s="23">
        <v>0.0001753</v>
      </c>
      <c r="CV7" s="24"/>
      <c r="CW7" s="30" t="s">
        <v>164</v>
      </c>
      <c r="CY7" s="42"/>
      <c r="CZ7" s="23">
        <v>0.0051915</v>
      </c>
      <c r="DA7" s="24"/>
      <c r="DB7" s="30" t="s">
        <v>164</v>
      </c>
      <c r="DD7" s="42"/>
      <c r="DE7" s="23">
        <v>0.0048563</v>
      </c>
      <c r="DF7" s="24"/>
      <c r="DG7" s="30" t="s">
        <v>164</v>
      </c>
      <c r="DI7" s="42"/>
      <c r="DJ7" s="23">
        <v>0.0074093</v>
      </c>
      <c r="DK7" s="24"/>
      <c r="DL7" s="30" t="s">
        <v>164</v>
      </c>
      <c r="DN7" s="42"/>
      <c r="DO7" s="23">
        <v>0.0084885</v>
      </c>
      <c r="DP7" s="24"/>
      <c r="DQ7" s="30" t="s">
        <v>164</v>
      </c>
      <c r="DS7" s="42"/>
      <c r="DT7" s="23">
        <v>0.0046245</v>
      </c>
      <c r="DU7" s="24"/>
      <c r="DV7" s="30" t="s">
        <v>164</v>
      </c>
      <c r="DX7" s="42"/>
      <c r="DY7" s="23">
        <v>0.0070212</v>
      </c>
      <c r="DZ7" s="24"/>
      <c r="EA7" s="30" t="s">
        <v>164</v>
      </c>
      <c r="EC7" s="42"/>
      <c r="ED7" s="23">
        <v>0.0020778</v>
      </c>
      <c r="EE7" s="24"/>
      <c r="EF7" s="30" t="s">
        <v>164</v>
      </c>
    </row>
    <row r="8" spans="1:136" ht="12.75">
      <c r="A8" s="29"/>
      <c r="C8" s="30" t="s">
        <v>3</v>
      </c>
      <c r="D8" s="30" t="s">
        <v>4</v>
      </c>
      <c r="E8" s="30" t="s">
        <v>5</v>
      </c>
      <c r="F8" s="30" t="s">
        <v>5</v>
      </c>
      <c r="H8" s="30" t="s">
        <v>3</v>
      </c>
      <c r="I8" s="30" t="s">
        <v>4</v>
      </c>
      <c r="J8" s="30" t="s">
        <v>5</v>
      </c>
      <c r="K8" s="30" t="s">
        <v>5</v>
      </c>
      <c r="M8" s="30" t="s">
        <v>3</v>
      </c>
      <c r="N8" s="30" t="s">
        <v>4</v>
      </c>
      <c r="O8" s="30" t="s">
        <v>5</v>
      </c>
      <c r="P8" s="30" t="s">
        <v>5</v>
      </c>
      <c r="R8" s="30" t="s">
        <v>3</v>
      </c>
      <c r="S8" s="30" t="s">
        <v>4</v>
      </c>
      <c r="T8" s="30" t="s">
        <v>5</v>
      </c>
      <c r="U8" s="30" t="s">
        <v>5</v>
      </c>
      <c r="W8" s="30" t="s">
        <v>3</v>
      </c>
      <c r="X8" s="30" t="s">
        <v>4</v>
      </c>
      <c r="Y8" s="30" t="s">
        <v>5</v>
      </c>
      <c r="Z8" s="30" t="s">
        <v>5</v>
      </c>
      <c r="AB8" s="30" t="s">
        <v>3</v>
      </c>
      <c r="AC8" s="30" t="s">
        <v>4</v>
      </c>
      <c r="AD8" s="30" t="s">
        <v>5</v>
      </c>
      <c r="AE8" s="30" t="s">
        <v>5</v>
      </c>
      <c r="AG8" s="30" t="s">
        <v>3</v>
      </c>
      <c r="AH8" s="30" t="s">
        <v>4</v>
      </c>
      <c r="AI8" s="30" t="s">
        <v>5</v>
      </c>
      <c r="AJ8" s="30" t="s">
        <v>5</v>
      </c>
      <c r="AL8" s="30" t="s">
        <v>3</v>
      </c>
      <c r="AM8" s="30" t="s">
        <v>4</v>
      </c>
      <c r="AN8" s="30" t="s">
        <v>5</v>
      </c>
      <c r="AO8" s="30" t="s">
        <v>5</v>
      </c>
      <c r="AQ8" s="30" t="s">
        <v>3</v>
      </c>
      <c r="AR8" s="30" t="s">
        <v>4</v>
      </c>
      <c r="AS8" s="30" t="s">
        <v>5</v>
      </c>
      <c r="AT8" s="30" t="s">
        <v>5</v>
      </c>
      <c r="AV8" s="30" t="s">
        <v>3</v>
      </c>
      <c r="AW8" s="30" t="s">
        <v>4</v>
      </c>
      <c r="AX8" s="30" t="s">
        <v>5</v>
      </c>
      <c r="AY8" s="30" t="s">
        <v>5</v>
      </c>
      <c r="BA8" s="30" t="s">
        <v>3</v>
      </c>
      <c r="BB8" s="30" t="s">
        <v>4</v>
      </c>
      <c r="BC8" s="30" t="s">
        <v>5</v>
      </c>
      <c r="BD8" s="30" t="s">
        <v>5</v>
      </c>
      <c r="BF8" s="30" t="s">
        <v>3</v>
      </c>
      <c r="BG8" s="30" t="s">
        <v>4</v>
      </c>
      <c r="BH8" s="30" t="s">
        <v>5</v>
      </c>
      <c r="BI8" s="30" t="s">
        <v>5</v>
      </c>
      <c r="BK8" s="30" t="s">
        <v>3</v>
      </c>
      <c r="BL8" s="30" t="s">
        <v>4</v>
      </c>
      <c r="BM8" s="30" t="s">
        <v>5</v>
      </c>
      <c r="BN8" s="30" t="s">
        <v>5</v>
      </c>
      <c r="BP8" s="30" t="s">
        <v>3</v>
      </c>
      <c r="BQ8" s="30" t="s">
        <v>4</v>
      </c>
      <c r="BR8" s="30" t="s">
        <v>5</v>
      </c>
      <c r="BS8" s="30" t="s">
        <v>5</v>
      </c>
      <c r="BU8" s="30" t="s">
        <v>3</v>
      </c>
      <c r="BV8" s="30" t="s">
        <v>4</v>
      </c>
      <c r="BW8" s="30" t="s">
        <v>5</v>
      </c>
      <c r="BX8" s="30" t="s">
        <v>5</v>
      </c>
      <c r="BZ8" s="30" t="s">
        <v>3</v>
      </c>
      <c r="CA8" s="30" t="s">
        <v>4</v>
      </c>
      <c r="CB8" s="30" t="s">
        <v>5</v>
      </c>
      <c r="CC8" s="30" t="s">
        <v>5</v>
      </c>
      <c r="CE8" s="30" t="s">
        <v>3</v>
      </c>
      <c r="CF8" s="30" t="s">
        <v>4</v>
      </c>
      <c r="CG8" s="30" t="s">
        <v>5</v>
      </c>
      <c r="CH8" s="30" t="s">
        <v>5</v>
      </c>
      <c r="CJ8" s="30" t="s">
        <v>3</v>
      </c>
      <c r="CK8" s="30" t="s">
        <v>4</v>
      </c>
      <c r="CL8" s="30" t="s">
        <v>5</v>
      </c>
      <c r="CM8" s="30" t="s">
        <v>5</v>
      </c>
      <c r="CO8" s="30" t="s">
        <v>3</v>
      </c>
      <c r="CP8" s="30" t="s">
        <v>4</v>
      </c>
      <c r="CQ8" s="30" t="s">
        <v>5</v>
      </c>
      <c r="CR8" s="30" t="s">
        <v>5</v>
      </c>
      <c r="CS8" s="81"/>
      <c r="CT8" s="30" t="s">
        <v>3</v>
      </c>
      <c r="CU8" s="30" t="s">
        <v>4</v>
      </c>
      <c r="CV8" s="30" t="s">
        <v>5</v>
      </c>
      <c r="CW8" s="30" t="s">
        <v>5</v>
      </c>
      <c r="CY8" s="30" t="s">
        <v>3</v>
      </c>
      <c r="CZ8" s="30" t="s">
        <v>4</v>
      </c>
      <c r="DA8" s="30" t="s">
        <v>5</v>
      </c>
      <c r="DB8" s="30" t="s">
        <v>5</v>
      </c>
      <c r="DD8" s="30" t="s">
        <v>3</v>
      </c>
      <c r="DE8" s="30" t="s">
        <v>4</v>
      </c>
      <c r="DF8" s="30" t="s">
        <v>5</v>
      </c>
      <c r="DG8" s="30" t="s">
        <v>5</v>
      </c>
      <c r="DI8" s="30" t="s">
        <v>3</v>
      </c>
      <c r="DJ8" s="30" t="s">
        <v>4</v>
      </c>
      <c r="DK8" s="30" t="s">
        <v>5</v>
      </c>
      <c r="DL8" s="30" t="s">
        <v>5</v>
      </c>
      <c r="DN8" s="30" t="s">
        <v>3</v>
      </c>
      <c r="DO8" s="30" t="s">
        <v>4</v>
      </c>
      <c r="DP8" s="30" t="s">
        <v>5</v>
      </c>
      <c r="DQ8" s="30" t="s">
        <v>5</v>
      </c>
      <c r="DS8" s="30" t="s">
        <v>3</v>
      </c>
      <c r="DT8" s="30" t="s">
        <v>4</v>
      </c>
      <c r="DU8" s="30" t="s">
        <v>5</v>
      </c>
      <c r="DV8" s="30" t="s">
        <v>5</v>
      </c>
      <c r="DX8" s="30" t="s">
        <v>3</v>
      </c>
      <c r="DY8" s="30" t="s">
        <v>4</v>
      </c>
      <c r="DZ8" s="30" t="s">
        <v>5</v>
      </c>
      <c r="EA8" s="30" t="s">
        <v>5</v>
      </c>
      <c r="EC8" s="30" t="s">
        <v>3</v>
      </c>
      <c r="ED8" s="30" t="s">
        <v>4</v>
      </c>
      <c r="EE8" s="30" t="s">
        <v>5</v>
      </c>
      <c r="EF8" s="30" t="s">
        <v>5</v>
      </c>
    </row>
    <row r="9" spans="1:136" ht="12.75">
      <c r="A9" s="36">
        <v>44470</v>
      </c>
      <c r="D9" s="3">
        <v>2069581</v>
      </c>
      <c r="E9" s="34">
        <f aca="true" t="shared" si="0" ref="E9:E42">C9+D9</f>
        <v>2069581</v>
      </c>
      <c r="F9" s="34">
        <v>220182</v>
      </c>
      <c r="H9" s="43"/>
      <c r="I9" s="35">
        <f aca="true" t="shared" si="1" ref="I9:K42">N9+S9+X9+AC9+AH9+AM9+AR9+AW9+BB9+BG9+BL9+BQ9+BV9+CA9+CF9+CK9+CP9+CU9+CZ9+DE9+DJ9+DO9+DT9+DY9+ED9</f>
        <v>596231.5920748999</v>
      </c>
      <c r="J9" s="35">
        <f aca="true" t="shared" si="2" ref="J9:J42">H9+I9</f>
        <v>596231.5920748999</v>
      </c>
      <c r="K9" s="35">
        <f t="shared" si="1"/>
        <v>63432.870907799996</v>
      </c>
      <c r="M9" s="35"/>
      <c r="N9" s="35">
        <f aca="true" t="shared" si="3" ref="N9:N42">D9*$N$7</f>
        <v>211110.5073184</v>
      </c>
      <c r="O9" s="5">
        <f aca="true" t="shared" si="4" ref="O9:O42">M9+N9</f>
        <v>211110.5073184</v>
      </c>
      <c r="P9" s="35">
        <f aca="true" t="shared" si="5" ref="P9:P42">N$7*$F9</f>
        <v>22459.973164799998</v>
      </c>
      <c r="R9" s="35"/>
      <c r="S9" s="35">
        <f aca="true" t="shared" si="6" ref="S9:S42">D9*$S$7</f>
        <v>15759.859315</v>
      </c>
      <c r="T9" s="5">
        <f aca="true" t="shared" si="7" ref="T9:T42">R9+S9</f>
        <v>15759.859315</v>
      </c>
      <c r="U9" s="35">
        <f aca="true" t="shared" si="8" ref="U9:U42">S$7*$F9</f>
        <v>1676.68593</v>
      </c>
      <c r="W9" s="35"/>
      <c r="X9" s="35">
        <f aca="true" t="shared" si="9" ref="X9:X42">D9*$X$7</f>
        <v>161814.329647</v>
      </c>
      <c r="Y9" s="5">
        <f aca="true" t="shared" si="10" ref="Y9:Y42">W9+X9</f>
        <v>161814.329647</v>
      </c>
      <c r="Z9" s="35">
        <f aca="true" t="shared" si="11" ref="Z9:Z42">X$7*$F9</f>
        <v>17215.370034000003</v>
      </c>
      <c r="AB9" s="35"/>
      <c r="AC9" s="35">
        <f aca="true" t="shared" si="12" ref="AC9:AC42">D9*$AC$7</f>
        <v>8424.6433767</v>
      </c>
      <c r="AD9" s="5">
        <f aca="true" t="shared" si="13" ref="AD9:AD42">AB9+AC9</f>
        <v>8424.6433767</v>
      </c>
      <c r="AE9" s="35">
        <f aca="true" t="shared" si="14" ref="AE9:AE42">AC$7*$F9</f>
        <v>896.2948674</v>
      </c>
      <c r="AG9" s="35"/>
      <c r="AH9" s="35">
        <f aca="true" t="shared" si="15" ref="AH9:AH42">D9*$AH$7</f>
        <v>511.60042319999997</v>
      </c>
      <c r="AI9" s="5">
        <f aca="true" t="shared" si="16" ref="AI9:AI42">AG9+AH9</f>
        <v>511.60042319999997</v>
      </c>
      <c r="AJ9" s="35">
        <f aca="true" t="shared" si="17" ref="AJ9:AJ42">AH$7*$F9</f>
        <v>54.428990399999996</v>
      </c>
      <c r="AL9" s="35"/>
      <c r="AM9" s="35">
        <f aca="true" t="shared" si="18" ref="AM9:AM42">D9*$AM$7</f>
        <v>703.4505819000001</v>
      </c>
      <c r="AN9" s="5">
        <f aca="true" t="shared" si="19" ref="AN9:AN42">AL9+AM9</f>
        <v>703.4505819000001</v>
      </c>
      <c r="AO9" s="35">
        <f aca="true" t="shared" si="20" ref="AO9:AO42">AM$7*$F9</f>
        <v>74.83986180000001</v>
      </c>
      <c r="AQ9" s="35"/>
      <c r="AR9" s="35">
        <f aca="true" t="shared" si="21" ref="AR9:AR42">D9*$AR$7</f>
        <v>37131.3875115</v>
      </c>
      <c r="AS9" s="5">
        <f aca="true" t="shared" si="22" ref="AS9:AS42">AQ9+AR9</f>
        <v>37131.3875115</v>
      </c>
      <c r="AT9" s="35">
        <f aca="true" t="shared" si="23" ref="AT9:AT42">AR$7*$F9</f>
        <v>3950.395353</v>
      </c>
      <c r="AV9" s="35"/>
      <c r="AW9" s="35">
        <f aca="true" t="shared" si="24" ref="AW9:AW42">D9*$AW$7</f>
        <v>57.5343518</v>
      </c>
      <c r="AX9" s="5">
        <f aca="true" t="shared" si="25" ref="AX9:AX42">AV9+AW9</f>
        <v>57.5343518</v>
      </c>
      <c r="AY9" s="35">
        <f aca="true" t="shared" si="26" ref="AY9:AY42">AW$7*$F9</f>
        <v>6.121059600000001</v>
      </c>
      <c r="BA9" s="35"/>
      <c r="BB9" s="35">
        <f aca="true" t="shared" si="27" ref="BB9:BB42">D9*$BB$7</f>
        <v>858.6691569</v>
      </c>
      <c r="BC9" s="5">
        <f aca="true" t="shared" si="28" ref="BC9:BC42">BA9+BB9</f>
        <v>858.6691569</v>
      </c>
      <c r="BD9" s="35">
        <f aca="true" t="shared" si="29" ref="BD9:BD42">BB$7*$F9</f>
        <v>91.3535118</v>
      </c>
      <c r="BF9" s="35"/>
      <c r="BG9" s="35">
        <f aca="true" t="shared" si="30" ref="BG9:BG42">D9*$BG$7</f>
        <v>190.1944939</v>
      </c>
      <c r="BH9" s="5">
        <f aca="true" t="shared" si="31" ref="BH9:BH42">BF9+BG9</f>
        <v>190.1944939</v>
      </c>
      <c r="BI9" s="35">
        <f aca="true" t="shared" si="32" ref="BI9:BI42">BG$7*$F9</f>
        <v>20.2347258</v>
      </c>
      <c r="BK9" s="35"/>
      <c r="BL9" s="35">
        <f aca="true" t="shared" si="33" ref="BL9:BL42">D9*$BL$7</f>
        <v>29981.8129889</v>
      </c>
      <c r="BM9" s="5">
        <f aca="true" t="shared" si="34" ref="BM9:BM42">BK9+BL9</f>
        <v>29981.8129889</v>
      </c>
      <c r="BN9" s="35">
        <f aca="true" t="shared" si="35" ref="BN9:BN42">BL$7*$F9</f>
        <v>3189.7546158</v>
      </c>
      <c r="BP9" s="35"/>
      <c r="BQ9" s="35">
        <f aca="true" t="shared" si="36" ref="BQ9:BQ42">D9*$BQ$7</f>
        <v>100.1677204</v>
      </c>
      <c r="BR9" s="5">
        <f aca="true" t="shared" si="37" ref="BR9:BR42">BP9+BQ9</f>
        <v>100.1677204</v>
      </c>
      <c r="BS9" s="35">
        <f aca="true" t="shared" si="38" ref="BS9:BS42">BQ$7*$F9</f>
        <v>10.6568088</v>
      </c>
      <c r="BU9" s="35"/>
      <c r="BV9" s="35">
        <f aca="true" t="shared" si="39" ref="BV9:BV42">D9*$BV$7</f>
        <v>25412.385099</v>
      </c>
      <c r="BW9" s="5">
        <f aca="true" t="shared" si="40" ref="BW9:BW42">BU9+BV9</f>
        <v>25412.385099</v>
      </c>
      <c r="BX9" s="35">
        <f aca="true" t="shared" si="41" ref="BX9:BX42">BV$7*$F9</f>
        <v>2703.614778</v>
      </c>
      <c r="BZ9" s="35"/>
      <c r="CA9" s="35">
        <f aca="true" t="shared" si="42" ref="CA9:CA42">D9*$CA$7</f>
        <v>7491.4693038</v>
      </c>
      <c r="CB9" s="5">
        <f aca="true" t="shared" si="43" ref="CB9:CB42">BZ9+CA9</f>
        <v>7491.4693038</v>
      </c>
      <c r="CC9" s="35">
        <f aca="true" t="shared" si="44" ref="CC9:CC42">CA$7*$F9</f>
        <v>797.0148035999999</v>
      </c>
      <c r="CE9" s="35"/>
      <c r="CF9" s="35">
        <f aca="true" t="shared" si="45" ref="CF9:CF42">D9*$CF$7</f>
        <v>411.2257447</v>
      </c>
      <c r="CG9" s="5">
        <f aca="true" t="shared" si="46" ref="CG9:CG42">CE9+CF9</f>
        <v>411.2257447</v>
      </c>
      <c r="CH9" s="35">
        <f aca="true" t="shared" si="47" ref="CH9:CH42">CF$7*$F9</f>
        <v>43.7501634</v>
      </c>
      <c r="CJ9" s="35"/>
      <c r="CK9" s="35">
        <f aca="true" t="shared" si="48" ref="CK9:CK42">D9*$CK$7</f>
        <v>19.661019500000002</v>
      </c>
      <c r="CL9" s="5">
        <f aca="true" t="shared" si="49" ref="CL9:CL42">CJ9+CK9</f>
        <v>19.661019500000002</v>
      </c>
      <c r="CM9" s="35">
        <f aca="true" t="shared" si="50" ref="CM9:CM42">CK$7*$F9</f>
        <v>2.091729</v>
      </c>
      <c r="CO9" s="35"/>
      <c r="CP9" s="35">
        <f aca="true" t="shared" si="51" ref="CP9:CP42">D9*$CP$7</f>
        <v>13791.4808259</v>
      </c>
      <c r="CQ9" s="5">
        <f aca="true" t="shared" si="52" ref="CQ9:CQ42">CO9+CP9</f>
        <v>13791.4808259</v>
      </c>
      <c r="CR9" s="35">
        <f aca="true" t="shared" si="53" ref="CR9:CR42">CP$7*$F9</f>
        <v>1467.2708298</v>
      </c>
      <c r="CT9" s="35"/>
      <c r="CU9" s="35">
        <f aca="true" t="shared" si="54" ref="CU9:CU42">D9*$CU$7</f>
        <v>362.7975493</v>
      </c>
      <c r="CV9" s="5">
        <f aca="true" t="shared" si="55" ref="CV9:CV42">CT9+CU9</f>
        <v>362.7975493</v>
      </c>
      <c r="CW9" s="35">
        <f aca="true" t="shared" si="56" ref="CW9:CW42">CU$7*$F9</f>
        <v>38.5979046</v>
      </c>
      <c r="CY9" s="35"/>
      <c r="CZ9" s="35">
        <f aca="true" t="shared" si="57" ref="CZ9:CZ42">D9*$CZ$7</f>
        <v>10744.2297615</v>
      </c>
      <c r="DA9" s="5">
        <f aca="true" t="shared" si="58" ref="DA9:DA42">CY9+CZ9</f>
        <v>10744.2297615</v>
      </c>
      <c r="DB9" s="35">
        <f aca="true" t="shared" si="59" ref="DB9:DB42">CZ$7*$F9</f>
        <v>1143.074853</v>
      </c>
      <c r="DD9" s="35"/>
      <c r="DE9" s="35">
        <f aca="true" t="shared" si="60" ref="DE9:DE42">D9*$DE$7</f>
        <v>10050.5062103</v>
      </c>
      <c r="DF9" s="5">
        <f aca="true" t="shared" si="61" ref="DF9:DF42">DD9+DE9</f>
        <v>10050.5062103</v>
      </c>
      <c r="DG9" s="35">
        <f aca="true" t="shared" si="62" ref="DG9:DG42">DE$7*$F9</f>
        <v>1069.2698466</v>
      </c>
      <c r="DI9" s="35"/>
      <c r="DJ9" s="35">
        <f aca="true" t="shared" si="63" ref="DJ9:DJ42">D9*$DJ$7</f>
        <v>15334.146503299999</v>
      </c>
      <c r="DK9" s="5">
        <f aca="true" t="shared" si="64" ref="DK9:DK42">DI9+DJ9</f>
        <v>15334.146503299999</v>
      </c>
      <c r="DL9" s="35">
        <f aca="true" t="shared" si="65" ref="DL9:DL42">DJ$7*$F9</f>
        <v>1631.3944926</v>
      </c>
      <c r="DN9" s="35"/>
      <c r="DO9" s="35">
        <f aca="true" t="shared" si="66" ref="DO9:DO42">D9*$DO$7</f>
        <v>17567.638318499998</v>
      </c>
      <c r="DP9" s="5">
        <f aca="true" t="shared" si="67" ref="DP9:DP42">DN9+DO9</f>
        <v>17567.638318499998</v>
      </c>
      <c r="DQ9" s="35">
        <f aca="true" t="shared" si="68" ref="DQ9:DQ42">DO$7*$F9</f>
        <v>1869.014907</v>
      </c>
      <c r="DS9" s="35"/>
      <c r="DT9" s="35">
        <f aca="true" t="shared" si="69" ref="DT9:DT42">D9*$DT$7</f>
        <v>9570.7773345</v>
      </c>
      <c r="DU9" s="35">
        <f aca="true" t="shared" si="70" ref="DU9:DU42">DS9+DT9</f>
        <v>9570.7773345</v>
      </c>
      <c r="DV9" s="35">
        <f aca="true" t="shared" si="71" ref="DV9:DV42">DT$7*$F9</f>
        <v>1018.231659</v>
      </c>
      <c r="DX9" s="35"/>
      <c r="DY9" s="35">
        <f aca="true" t="shared" si="72" ref="DY9:DY42">D9*$DY$7</f>
        <v>14530.9421172</v>
      </c>
      <c r="DZ9" s="35">
        <f aca="true" t="shared" si="73" ref="DZ9:DZ42">DX9+DY9</f>
        <v>14530.9421172</v>
      </c>
      <c r="EA9" s="35">
        <f aca="true" t="shared" si="74" ref="EA9:EA42">DY$7*$F9</f>
        <v>1545.9418584</v>
      </c>
      <c r="EC9" s="35"/>
      <c r="ED9" s="35">
        <f aca="true" t="shared" si="75" ref="ED9:ED42">D9*$ED$7</f>
        <v>4300.1754018</v>
      </c>
      <c r="EE9" s="35">
        <f aca="true" t="shared" si="76" ref="EE9:EE42">EC9+ED9</f>
        <v>4300.1754018</v>
      </c>
      <c r="EF9" s="35">
        <f aca="true" t="shared" si="77" ref="EF9:EF42">ED$7*$F9</f>
        <v>457.4941596</v>
      </c>
    </row>
    <row r="10" spans="1:136" ht="12.75">
      <c r="A10" s="36">
        <v>44652</v>
      </c>
      <c r="C10" s="3">
        <v>4185000</v>
      </c>
      <c r="D10" s="3">
        <v>2069581</v>
      </c>
      <c r="E10" s="34">
        <f t="shared" si="0"/>
        <v>6254581</v>
      </c>
      <c r="F10" s="34">
        <v>220182</v>
      </c>
      <c r="H10" s="43">
        <f aca="true" t="shared" si="78" ref="H10:H42">M10+R10+W10+AB10+AG10+AL10+AQ10+AV10+BA10+BF10+BK10+BP10+BU10+BZ10+CE10+CJ10+CO10+CT10+CY10+DD10+DI10+DN10+DS10+DX10+EC10</f>
        <v>1205668.7865000004</v>
      </c>
      <c r="I10" s="35">
        <f t="shared" si="1"/>
        <v>596231.5920748999</v>
      </c>
      <c r="J10" s="35">
        <f t="shared" si="2"/>
        <v>1801900.3785749003</v>
      </c>
      <c r="K10" s="35">
        <f t="shared" si="1"/>
        <v>63432.870907799996</v>
      </c>
      <c r="M10" s="35">
        <f aca="true" t="shared" si="79" ref="M10:M42">C10*$N$7</f>
        <v>426896.784</v>
      </c>
      <c r="N10" s="35">
        <f t="shared" si="3"/>
        <v>211110.5073184</v>
      </c>
      <c r="O10" s="5">
        <f t="shared" si="4"/>
        <v>638007.2913184</v>
      </c>
      <c r="P10" s="35">
        <f t="shared" si="5"/>
        <v>22459.973164799998</v>
      </c>
      <c r="R10" s="35">
        <f aca="true" t="shared" si="80" ref="R10:R42">C10*$S$7</f>
        <v>31868.775</v>
      </c>
      <c r="S10" s="35">
        <f t="shared" si="6"/>
        <v>15759.859315</v>
      </c>
      <c r="T10" s="5">
        <f t="shared" si="7"/>
        <v>47628.634315</v>
      </c>
      <c r="U10" s="35">
        <f t="shared" si="8"/>
        <v>1676.68593</v>
      </c>
      <c r="W10" s="35">
        <f aca="true" t="shared" si="81" ref="W10:W42">C10*$X$7</f>
        <v>327212.59500000003</v>
      </c>
      <c r="X10" s="35">
        <f t="shared" si="9"/>
        <v>161814.329647</v>
      </c>
      <c r="Y10" s="5">
        <f t="shared" si="10"/>
        <v>489026.92464700004</v>
      </c>
      <c r="Z10" s="35">
        <f t="shared" si="11"/>
        <v>17215.370034000003</v>
      </c>
      <c r="AB10" s="35">
        <f aca="true" t="shared" si="82" ref="AB10:AB42">C10*$AC$7</f>
        <v>17035.8795</v>
      </c>
      <c r="AC10" s="35">
        <f t="shared" si="12"/>
        <v>8424.6433767</v>
      </c>
      <c r="AD10" s="5">
        <f t="shared" si="13"/>
        <v>25460.5228767</v>
      </c>
      <c r="AE10" s="35">
        <f t="shared" si="14"/>
        <v>896.2948674</v>
      </c>
      <c r="AG10" s="35">
        <f aca="true" t="shared" si="83" ref="AG10:AG42">C10*$AH$7</f>
        <v>1034.532</v>
      </c>
      <c r="AH10" s="35">
        <f t="shared" si="15"/>
        <v>511.60042319999997</v>
      </c>
      <c r="AI10" s="5">
        <f t="shared" si="16"/>
        <v>1546.1324232</v>
      </c>
      <c r="AJ10" s="35">
        <f t="shared" si="17"/>
        <v>54.428990399999996</v>
      </c>
      <c r="AL10" s="35">
        <f aca="true" t="shared" si="84" ref="AL10:AL42">C10*$AM$7</f>
        <v>1422.4815</v>
      </c>
      <c r="AM10" s="35">
        <f t="shared" si="18"/>
        <v>703.4505819000001</v>
      </c>
      <c r="AN10" s="5">
        <f t="shared" si="19"/>
        <v>2125.9320819000004</v>
      </c>
      <c r="AO10" s="35">
        <f t="shared" si="20"/>
        <v>74.83986180000001</v>
      </c>
      <c r="AQ10" s="35">
        <f aca="true" t="shared" si="85" ref="AQ10:AQ42">C10*$AR$7</f>
        <v>75085.17749999999</v>
      </c>
      <c r="AR10" s="35">
        <f t="shared" si="21"/>
        <v>37131.3875115</v>
      </c>
      <c r="AS10" s="5">
        <f t="shared" si="22"/>
        <v>112216.56501149999</v>
      </c>
      <c r="AT10" s="35">
        <f t="shared" si="23"/>
        <v>3950.395353</v>
      </c>
      <c r="AV10" s="35">
        <f aca="true" t="shared" si="86" ref="AV10:AV42">C10*$AW$7</f>
        <v>116.343</v>
      </c>
      <c r="AW10" s="35">
        <f t="shared" si="24"/>
        <v>57.5343518</v>
      </c>
      <c r="AX10" s="5">
        <f t="shared" si="25"/>
        <v>173.8773518</v>
      </c>
      <c r="AY10" s="35">
        <f t="shared" si="26"/>
        <v>6.121059600000001</v>
      </c>
      <c r="BA10" s="35">
        <f aca="true" t="shared" si="87" ref="BA10:BA42">C10*$BB$7</f>
        <v>1736.3565</v>
      </c>
      <c r="BB10" s="35">
        <f t="shared" si="27"/>
        <v>858.6691569</v>
      </c>
      <c r="BC10" s="5">
        <f t="shared" si="28"/>
        <v>2595.0256569000003</v>
      </c>
      <c r="BD10" s="35">
        <f t="shared" si="29"/>
        <v>91.3535118</v>
      </c>
      <c r="BF10" s="35">
        <f aca="true" t="shared" si="88" ref="BF10:BF42">C10*$BG$7</f>
        <v>384.6015</v>
      </c>
      <c r="BG10" s="35">
        <f t="shared" si="30"/>
        <v>190.1944939</v>
      </c>
      <c r="BH10" s="5">
        <f t="shared" si="31"/>
        <v>574.7959939</v>
      </c>
      <c r="BI10" s="35">
        <f t="shared" si="32"/>
        <v>20.2347258</v>
      </c>
      <c r="BK10" s="35">
        <f aca="true" t="shared" si="89" ref="BK10:BK42">C10*$BL$7</f>
        <v>60627.6765</v>
      </c>
      <c r="BL10" s="35">
        <f t="shared" si="33"/>
        <v>29981.8129889</v>
      </c>
      <c r="BM10" s="5">
        <f t="shared" si="34"/>
        <v>90609.4894889</v>
      </c>
      <c r="BN10" s="35">
        <f t="shared" si="35"/>
        <v>3189.7546158</v>
      </c>
      <c r="BP10" s="35">
        <f aca="true" t="shared" si="90" ref="BP10:BP42">C10*$BQ$7</f>
        <v>202.554</v>
      </c>
      <c r="BQ10" s="35">
        <f t="shared" si="36"/>
        <v>100.1677204</v>
      </c>
      <c r="BR10" s="5">
        <f t="shared" si="37"/>
        <v>302.7217204</v>
      </c>
      <c r="BS10" s="35">
        <f t="shared" si="38"/>
        <v>10.6568088</v>
      </c>
      <c r="BU10" s="35">
        <f aca="true" t="shared" si="91" ref="BU10:BU42">C10*$BV$7</f>
        <v>51387.615</v>
      </c>
      <c r="BV10" s="35">
        <f t="shared" si="39"/>
        <v>25412.385099</v>
      </c>
      <c r="BW10" s="5">
        <f t="shared" si="40"/>
        <v>76800.000099</v>
      </c>
      <c r="BX10" s="35">
        <f t="shared" si="41"/>
        <v>2703.614778</v>
      </c>
      <c r="BZ10" s="35">
        <f aca="true" t="shared" si="92" ref="BZ10:BZ42">C10*$CA$7</f>
        <v>15148.863</v>
      </c>
      <c r="CA10" s="35">
        <f t="shared" si="42"/>
        <v>7491.4693038</v>
      </c>
      <c r="CB10" s="5">
        <f t="shared" si="43"/>
        <v>22640.332303799998</v>
      </c>
      <c r="CC10" s="35">
        <f t="shared" si="44"/>
        <v>797.0148035999999</v>
      </c>
      <c r="CE10" s="35">
        <f aca="true" t="shared" si="93" ref="CE10:CE42">C10*$CF$7</f>
        <v>831.5595000000001</v>
      </c>
      <c r="CF10" s="35">
        <f t="shared" si="45"/>
        <v>411.2257447</v>
      </c>
      <c r="CG10" s="5">
        <f t="shared" si="46"/>
        <v>1242.7852447</v>
      </c>
      <c r="CH10" s="35">
        <f t="shared" si="47"/>
        <v>43.7501634</v>
      </c>
      <c r="CJ10" s="35">
        <f aca="true" t="shared" si="94" ref="CJ10:CJ42">C10*$CK$7</f>
        <v>39.7575</v>
      </c>
      <c r="CK10" s="35">
        <f t="shared" si="48"/>
        <v>19.661019500000002</v>
      </c>
      <c r="CL10" s="5">
        <f t="shared" si="49"/>
        <v>59.4185195</v>
      </c>
      <c r="CM10" s="35">
        <f t="shared" si="50"/>
        <v>2.091729</v>
      </c>
      <c r="CO10" s="35">
        <f aca="true" t="shared" si="95" ref="CO10:CO42">C10*$CP$7</f>
        <v>27888.4215</v>
      </c>
      <c r="CP10" s="35">
        <f t="shared" si="51"/>
        <v>13791.4808259</v>
      </c>
      <c r="CQ10" s="5">
        <f t="shared" si="52"/>
        <v>41679.9023259</v>
      </c>
      <c r="CR10" s="35">
        <f t="shared" si="53"/>
        <v>1467.2708298</v>
      </c>
      <c r="CT10" s="35">
        <f aca="true" t="shared" si="96" ref="CT10:CT42">C10*$CU$7</f>
        <v>733.6305</v>
      </c>
      <c r="CU10" s="35">
        <f t="shared" si="54"/>
        <v>362.7975493</v>
      </c>
      <c r="CV10" s="5">
        <f t="shared" si="55"/>
        <v>1096.4280493</v>
      </c>
      <c r="CW10" s="35">
        <f t="shared" si="56"/>
        <v>38.5979046</v>
      </c>
      <c r="CY10" s="35">
        <f aca="true" t="shared" si="97" ref="CY10:CY42">C10*$CZ$7</f>
        <v>21726.427499999998</v>
      </c>
      <c r="CZ10" s="35">
        <f t="shared" si="57"/>
        <v>10744.2297615</v>
      </c>
      <c r="DA10" s="5">
        <f t="shared" si="58"/>
        <v>32470.657261499997</v>
      </c>
      <c r="DB10" s="35">
        <f t="shared" si="59"/>
        <v>1143.074853</v>
      </c>
      <c r="DD10" s="35">
        <f aca="true" t="shared" si="98" ref="DD10:DD42">C10*$DE$7</f>
        <v>20323.6155</v>
      </c>
      <c r="DE10" s="35">
        <f t="shared" si="60"/>
        <v>10050.5062103</v>
      </c>
      <c r="DF10" s="5">
        <f t="shared" si="61"/>
        <v>30374.1217103</v>
      </c>
      <c r="DG10" s="35">
        <f t="shared" si="62"/>
        <v>1069.2698466</v>
      </c>
      <c r="DI10" s="35">
        <f aca="true" t="shared" si="99" ref="DI10:DI42">C10*$DJ$7</f>
        <v>31007.9205</v>
      </c>
      <c r="DJ10" s="35">
        <f t="shared" si="63"/>
        <v>15334.146503299999</v>
      </c>
      <c r="DK10" s="5">
        <f t="shared" si="64"/>
        <v>46342.0670033</v>
      </c>
      <c r="DL10" s="35">
        <f t="shared" si="65"/>
        <v>1631.3944926</v>
      </c>
      <c r="DN10" s="35">
        <f aca="true" t="shared" si="100" ref="DN10:DN42">C10*$DO$7</f>
        <v>35524.3725</v>
      </c>
      <c r="DO10" s="35">
        <f t="shared" si="66"/>
        <v>17567.638318499998</v>
      </c>
      <c r="DP10" s="5">
        <f t="shared" si="67"/>
        <v>53092.0108185</v>
      </c>
      <c r="DQ10" s="35">
        <f t="shared" si="68"/>
        <v>1869.014907</v>
      </c>
      <c r="DS10" s="35">
        <f aca="true" t="shared" si="101" ref="DS10:DS42">C10*$DT$7</f>
        <v>19353.5325</v>
      </c>
      <c r="DT10" s="35">
        <f t="shared" si="69"/>
        <v>9570.7773345</v>
      </c>
      <c r="DU10" s="35">
        <f t="shared" si="70"/>
        <v>28924.309834500003</v>
      </c>
      <c r="DV10" s="35">
        <f t="shared" si="71"/>
        <v>1018.231659</v>
      </c>
      <c r="DX10" s="35">
        <f aca="true" t="shared" si="102" ref="DX10:DX42">C10*$DY$7</f>
        <v>29383.722</v>
      </c>
      <c r="DY10" s="35">
        <f t="shared" si="72"/>
        <v>14530.9421172</v>
      </c>
      <c r="DZ10" s="35">
        <f t="shared" si="73"/>
        <v>43914.6641172</v>
      </c>
      <c r="EA10" s="35">
        <f t="shared" si="74"/>
        <v>1545.9418584</v>
      </c>
      <c r="EC10" s="35">
        <f aca="true" t="shared" si="103" ref="EC10:EC42">C10*$ED$7</f>
        <v>8695.592999999999</v>
      </c>
      <c r="ED10" s="35">
        <f t="shared" si="75"/>
        <v>4300.1754018</v>
      </c>
      <c r="EE10" s="35">
        <f t="shared" si="76"/>
        <v>12995.7684018</v>
      </c>
      <c r="EF10" s="35">
        <f t="shared" si="77"/>
        <v>457.4941596</v>
      </c>
    </row>
    <row r="11" spans="1:136" ht="12.75">
      <c r="A11" s="36">
        <v>44835</v>
      </c>
      <c r="D11" s="3">
        <v>1964956</v>
      </c>
      <c r="E11" s="34">
        <f t="shared" si="0"/>
        <v>1964956</v>
      </c>
      <c r="F11" s="34">
        <v>220182</v>
      </c>
      <c r="H11" s="43"/>
      <c r="I11" s="35">
        <f t="shared" si="1"/>
        <v>566089.8724123999</v>
      </c>
      <c r="J11" s="35">
        <f t="shared" si="2"/>
        <v>566089.8724123999</v>
      </c>
      <c r="K11" s="35">
        <f t="shared" si="1"/>
        <v>63432.870907799996</v>
      </c>
      <c r="M11" s="35"/>
      <c r="N11" s="35">
        <f t="shared" si="3"/>
        <v>200438.0877184</v>
      </c>
      <c r="O11" s="5">
        <f t="shared" si="4"/>
        <v>200438.0877184</v>
      </c>
      <c r="P11" s="35">
        <f t="shared" si="5"/>
        <v>22459.973164799998</v>
      </c>
      <c r="R11" s="35"/>
      <c r="S11" s="35">
        <f t="shared" si="6"/>
        <v>14963.139940000001</v>
      </c>
      <c r="T11" s="5">
        <f t="shared" si="7"/>
        <v>14963.139940000001</v>
      </c>
      <c r="U11" s="35">
        <f t="shared" si="8"/>
        <v>1676.68593</v>
      </c>
      <c r="W11" s="35"/>
      <c r="X11" s="35">
        <f t="shared" si="9"/>
        <v>153634.01477200002</v>
      </c>
      <c r="Y11" s="5">
        <f t="shared" si="10"/>
        <v>153634.01477200002</v>
      </c>
      <c r="Z11" s="35">
        <f t="shared" si="11"/>
        <v>17215.370034000003</v>
      </c>
      <c r="AB11" s="35"/>
      <c r="AC11" s="35">
        <f t="shared" si="12"/>
        <v>7998.7463892</v>
      </c>
      <c r="AD11" s="5">
        <f t="shared" si="13"/>
        <v>7998.7463892</v>
      </c>
      <c r="AE11" s="35">
        <f t="shared" si="14"/>
        <v>896.2948674</v>
      </c>
      <c r="AG11" s="35"/>
      <c r="AH11" s="35">
        <f t="shared" si="15"/>
        <v>485.7371232</v>
      </c>
      <c r="AI11" s="5">
        <f t="shared" si="16"/>
        <v>485.7371232</v>
      </c>
      <c r="AJ11" s="35">
        <f t="shared" si="17"/>
        <v>54.428990399999996</v>
      </c>
      <c r="AL11" s="35"/>
      <c r="AM11" s="35">
        <f t="shared" si="18"/>
        <v>667.8885444</v>
      </c>
      <c r="AN11" s="5">
        <f t="shared" si="19"/>
        <v>667.8885444</v>
      </c>
      <c r="AO11" s="35">
        <f t="shared" si="20"/>
        <v>74.83986180000001</v>
      </c>
      <c r="AQ11" s="35"/>
      <c r="AR11" s="35">
        <f t="shared" si="21"/>
        <v>35254.258074</v>
      </c>
      <c r="AS11" s="5">
        <f t="shared" si="22"/>
        <v>35254.258074</v>
      </c>
      <c r="AT11" s="35">
        <f t="shared" si="23"/>
        <v>3950.395353</v>
      </c>
      <c r="AV11" s="35"/>
      <c r="AW11" s="35">
        <f t="shared" si="24"/>
        <v>54.625776800000004</v>
      </c>
      <c r="AX11" s="5">
        <f t="shared" si="25"/>
        <v>54.625776800000004</v>
      </c>
      <c r="AY11" s="35">
        <f t="shared" si="26"/>
        <v>6.121059600000001</v>
      </c>
      <c r="BA11" s="35"/>
      <c r="BB11" s="35">
        <f t="shared" si="27"/>
        <v>815.2602444</v>
      </c>
      <c r="BC11" s="5">
        <f t="shared" si="28"/>
        <v>815.2602444</v>
      </c>
      <c r="BD11" s="35">
        <f t="shared" si="29"/>
        <v>91.3535118</v>
      </c>
      <c r="BF11" s="35"/>
      <c r="BG11" s="35">
        <f t="shared" si="30"/>
        <v>180.5794564</v>
      </c>
      <c r="BH11" s="5">
        <f t="shared" si="31"/>
        <v>180.5794564</v>
      </c>
      <c r="BI11" s="35">
        <f t="shared" si="32"/>
        <v>20.2347258</v>
      </c>
      <c r="BK11" s="35"/>
      <c r="BL11" s="35">
        <f t="shared" si="33"/>
        <v>28466.121076400002</v>
      </c>
      <c r="BM11" s="5">
        <f t="shared" si="34"/>
        <v>28466.121076400002</v>
      </c>
      <c r="BN11" s="35">
        <f t="shared" si="35"/>
        <v>3189.7546158</v>
      </c>
      <c r="BP11" s="35"/>
      <c r="BQ11" s="35">
        <f t="shared" si="36"/>
        <v>95.10387039999999</v>
      </c>
      <c r="BR11" s="5">
        <f t="shared" si="37"/>
        <v>95.10387039999999</v>
      </c>
      <c r="BS11" s="35">
        <f t="shared" si="38"/>
        <v>10.6568088</v>
      </c>
      <c r="BU11" s="35"/>
      <c r="BV11" s="35">
        <f t="shared" si="39"/>
        <v>24127.694724</v>
      </c>
      <c r="BW11" s="5">
        <f t="shared" si="40"/>
        <v>24127.694724</v>
      </c>
      <c r="BX11" s="35">
        <f t="shared" si="41"/>
        <v>2703.614778</v>
      </c>
      <c r="BZ11" s="35"/>
      <c r="CA11" s="35">
        <f t="shared" si="42"/>
        <v>7112.7477288</v>
      </c>
      <c r="CB11" s="5">
        <f t="shared" si="43"/>
        <v>7112.7477288</v>
      </c>
      <c r="CC11" s="35">
        <f t="shared" si="44"/>
        <v>797.0148035999999</v>
      </c>
      <c r="CE11" s="35"/>
      <c r="CF11" s="35">
        <f t="shared" si="45"/>
        <v>390.4367572</v>
      </c>
      <c r="CG11" s="5">
        <f t="shared" si="46"/>
        <v>390.4367572</v>
      </c>
      <c r="CH11" s="35">
        <f t="shared" si="47"/>
        <v>43.7501634</v>
      </c>
      <c r="CJ11" s="35"/>
      <c r="CK11" s="35">
        <f t="shared" si="48"/>
        <v>18.667082</v>
      </c>
      <c r="CL11" s="5">
        <f t="shared" si="49"/>
        <v>18.667082</v>
      </c>
      <c r="CM11" s="35">
        <f t="shared" si="50"/>
        <v>2.091729</v>
      </c>
      <c r="CO11" s="35"/>
      <c r="CP11" s="35">
        <f t="shared" si="51"/>
        <v>13094.270288400001</v>
      </c>
      <c r="CQ11" s="5">
        <f t="shared" si="52"/>
        <v>13094.270288400001</v>
      </c>
      <c r="CR11" s="35">
        <f t="shared" si="53"/>
        <v>1467.2708298</v>
      </c>
      <c r="CT11" s="35"/>
      <c r="CU11" s="35">
        <f t="shared" si="54"/>
        <v>344.45678680000003</v>
      </c>
      <c r="CV11" s="5">
        <f t="shared" si="55"/>
        <v>344.45678680000003</v>
      </c>
      <c r="CW11" s="35">
        <f t="shared" si="56"/>
        <v>38.5979046</v>
      </c>
      <c r="CY11" s="35"/>
      <c r="CZ11" s="35">
        <f t="shared" si="57"/>
        <v>10201.069074</v>
      </c>
      <c r="DA11" s="5">
        <f t="shared" si="58"/>
        <v>10201.069074</v>
      </c>
      <c r="DB11" s="35">
        <f t="shared" si="59"/>
        <v>1143.074853</v>
      </c>
      <c r="DD11" s="35"/>
      <c r="DE11" s="35">
        <f t="shared" si="60"/>
        <v>9542.4158228</v>
      </c>
      <c r="DF11" s="5">
        <f t="shared" si="61"/>
        <v>9542.4158228</v>
      </c>
      <c r="DG11" s="35">
        <f t="shared" si="62"/>
        <v>1069.2698466</v>
      </c>
      <c r="DI11" s="35"/>
      <c r="DJ11" s="35">
        <f t="shared" si="63"/>
        <v>14558.9484908</v>
      </c>
      <c r="DK11" s="5">
        <f t="shared" si="64"/>
        <v>14558.9484908</v>
      </c>
      <c r="DL11" s="35">
        <f t="shared" si="65"/>
        <v>1631.3944926</v>
      </c>
      <c r="DN11" s="35"/>
      <c r="DO11" s="35">
        <f t="shared" si="66"/>
        <v>16679.529006</v>
      </c>
      <c r="DP11" s="5">
        <f t="shared" si="67"/>
        <v>16679.529006</v>
      </c>
      <c r="DQ11" s="35">
        <f t="shared" si="68"/>
        <v>1869.014907</v>
      </c>
      <c r="DS11" s="35"/>
      <c r="DT11" s="35">
        <f t="shared" si="69"/>
        <v>9086.939022</v>
      </c>
      <c r="DU11" s="35">
        <f t="shared" si="70"/>
        <v>9086.939022</v>
      </c>
      <c r="DV11" s="35">
        <f t="shared" si="71"/>
        <v>1018.231659</v>
      </c>
      <c r="DX11" s="35"/>
      <c r="DY11" s="35">
        <f t="shared" si="72"/>
        <v>13796.3490672</v>
      </c>
      <c r="DZ11" s="35">
        <f t="shared" si="73"/>
        <v>13796.3490672</v>
      </c>
      <c r="EA11" s="35">
        <f t="shared" si="74"/>
        <v>1545.9418584</v>
      </c>
      <c r="EC11" s="35"/>
      <c r="ED11" s="35">
        <f t="shared" si="75"/>
        <v>4082.7855768</v>
      </c>
      <c r="EE11" s="35">
        <f t="shared" si="76"/>
        <v>4082.7855768</v>
      </c>
      <c r="EF11" s="35">
        <f t="shared" si="77"/>
        <v>457.4941596</v>
      </c>
    </row>
    <row r="12" spans="1:136" ht="12.75">
      <c r="A12" s="36">
        <v>45017</v>
      </c>
      <c r="B12" s="37"/>
      <c r="C12" s="3">
        <v>4395000</v>
      </c>
      <c r="D12" s="3">
        <v>1964956</v>
      </c>
      <c r="E12" s="34">
        <f t="shared" si="0"/>
        <v>6359956</v>
      </c>
      <c r="F12" s="34">
        <v>220182</v>
      </c>
      <c r="H12" s="43">
        <f t="shared" si="78"/>
        <v>1266168.2954999998</v>
      </c>
      <c r="I12" s="35">
        <f t="shared" si="1"/>
        <v>566089.8724123999</v>
      </c>
      <c r="J12" s="35">
        <f t="shared" si="2"/>
        <v>1832258.1679123996</v>
      </c>
      <c r="K12" s="35">
        <f t="shared" si="1"/>
        <v>63432.870907799996</v>
      </c>
      <c r="M12" s="35">
        <f t="shared" si="79"/>
        <v>448318.12799999997</v>
      </c>
      <c r="N12" s="35">
        <f t="shared" si="3"/>
        <v>200438.0877184</v>
      </c>
      <c r="O12" s="5">
        <f t="shared" si="4"/>
        <v>648756.2157184</v>
      </c>
      <c r="P12" s="35">
        <f t="shared" si="5"/>
        <v>22459.973164799998</v>
      </c>
      <c r="R12" s="35">
        <f t="shared" si="80"/>
        <v>33467.925</v>
      </c>
      <c r="S12" s="35">
        <f t="shared" si="6"/>
        <v>14963.139940000001</v>
      </c>
      <c r="T12" s="5">
        <f t="shared" si="7"/>
        <v>48431.064940000004</v>
      </c>
      <c r="U12" s="35">
        <f t="shared" si="8"/>
        <v>1676.68593</v>
      </c>
      <c r="W12" s="35">
        <f t="shared" si="81"/>
        <v>343631.86500000005</v>
      </c>
      <c r="X12" s="35">
        <f t="shared" si="9"/>
        <v>153634.01477200002</v>
      </c>
      <c r="Y12" s="5">
        <f t="shared" si="10"/>
        <v>497265.8797720001</v>
      </c>
      <c r="Z12" s="35">
        <f t="shared" si="11"/>
        <v>17215.370034000003</v>
      </c>
      <c r="AB12" s="35">
        <f t="shared" si="82"/>
        <v>17890.7265</v>
      </c>
      <c r="AC12" s="35">
        <f t="shared" si="12"/>
        <v>7998.7463892</v>
      </c>
      <c r="AD12" s="5">
        <f t="shared" si="13"/>
        <v>25889.4728892</v>
      </c>
      <c r="AE12" s="35">
        <f t="shared" si="14"/>
        <v>896.2948674</v>
      </c>
      <c r="AG12" s="35">
        <f t="shared" si="83"/>
        <v>1086.444</v>
      </c>
      <c r="AH12" s="35">
        <f t="shared" si="15"/>
        <v>485.7371232</v>
      </c>
      <c r="AI12" s="5">
        <f t="shared" si="16"/>
        <v>1572.1811232</v>
      </c>
      <c r="AJ12" s="35">
        <f t="shared" si="17"/>
        <v>54.428990399999996</v>
      </c>
      <c r="AL12" s="35">
        <f t="shared" si="84"/>
        <v>1493.8605</v>
      </c>
      <c r="AM12" s="35">
        <f t="shared" si="18"/>
        <v>667.8885444</v>
      </c>
      <c r="AN12" s="5">
        <f t="shared" si="19"/>
        <v>2161.7490444</v>
      </c>
      <c r="AO12" s="35">
        <f t="shared" si="20"/>
        <v>74.83986180000001</v>
      </c>
      <c r="AQ12" s="35">
        <f t="shared" si="85"/>
        <v>78852.8925</v>
      </c>
      <c r="AR12" s="35">
        <f t="shared" si="21"/>
        <v>35254.258074</v>
      </c>
      <c r="AS12" s="5">
        <f t="shared" si="22"/>
        <v>114107.150574</v>
      </c>
      <c r="AT12" s="35">
        <f t="shared" si="23"/>
        <v>3950.395353</v>
      </c>
      <c r="AV12" s="35">
        <f t="shared" si="86"/>
        <v>122.18100000000001</v>
      </c>
      <c r="AW12" s="35">
        <f t="shared" si="24"/>
        <v>54.625776800000004</v>
      </c>
      <c r="AX12" s="5">
        <f t="shared" si="25"/>
        <v>176.80677680000002</v>
      </c>
      <c r="AY12" s="35">
        <f t="shared" si="26"/>
        <v>6.121059600000001</v>
      </c>
      <c r="BA12" s="35">
        <f t="shared" si="87"/>
        <v>1823.4855</v>
      </c>
      <c r="BB12" s="35">
        <f t="shared" si="27"/>
        <v>815.2602444</v>
      </c>
      <c r="BC12" s="5">
        <f t="shared" si="28"/>
        <v>2638.7457444</v>
      </c>
      <c r="BD12" s="35">
        <f t="shared" si="29"/>
        <v>91.3535118</v>
      </c>
      <c r="BF12" s="35">
        <f t="shared" si="88"/>
        <v>403.90049999999997</v>
      </c>
      <c r="BG12" s="35">
        <f t="shared" si="30"/>
        <v>180.5794564</v>
      </c>
      <c r="BH12" s="5">
        <f t="shared" si="31"/>
        <v>584.4799564</v>
      </c>
      <c r="BI12" s="35">
        <f t="shared" si="32"/>
        <v>20.2347258</v>
      </c>
      <c r="BK12" s="35">
        <f t="shared" si="89"/>
        <v>63669.925500000005</v>
      </c>
      <c r="BL12" s="35">
        <f t="shared" si="33"/>
        <v>28466.121076400002</v>
      </c>
      <c r="BM12" s="5">
        <f t="shared" si="34"/>
        <v>92136.04657640001</v>
      </c>
      <c r="BN12" s="35">
        <f t="shared" si="35"/>
        <v>3189.7546158</v>
      </c>
      <c r="BP12" s="35">
        <f t="shared" si="90"/>
        <v>212.718</v>
      </c>
      <c r="BQ12" s="35">
        <f t="shared" si="36"/>
        <v>95.10387039999999</v>
      </c>
      <c r="BR12" s="5">
        <f t="shared" si="37"/>
        <v>307.82187039999997</v>
      </c>
      <c r="BS12" s="35">
        <f t="shared" si="38"/>
        <v>10.6568088</v>
      </c>
      <c r="BU12" s="35">
        <f t="shared" si="91"/>
        <v>53966.205</v>
      </c>
      <c r="BV12" s="35">
        <f t="shared" si="39"/>
        <v>24127.694724</v>
      </c>
      <c r="BW12" s="5">
        <f t="shared" si="40"/>
        <v>78093.899724</v>
      </c>
      <c r="BX12" s="35">
        <f t="shared" si="41"/>
        <v>2703.614778</v>
      </c>
      <c r="BZ12" s="35">
        <f t="shared" si="92"/>
        <v>15909.020999999999</v>
      </c>
      <c r="CA12" s="35">
        <f t="shared" si="42"/>
        <v>7112.7477288</v>
      </c>
      <c r="CB12" s="5">
        <f t="shared" si="43"/>
        <v>23021.768728799998</v>
      </c>
      <c r="CC12" s="35">
        <f t="shared" si="44"/>
        <v>797.0148035999999</v>
      </c>
      <c r="CE12" s="35">
        <f t="shared" si="93"/>
        <v>873.2865</v>
      </c>
      <c r="CF12" s="35">
        <f t="shared" si="45"/>
        <v>390.4367572</v>
      </c>
      <c r="CG12" s="5">
        <f t="shared" si="46"/>
        <v>1263.7232572</v>
      </c>
      <c r="CH12" s="35">
        <f t="shared" si="47"/>
        <v>43.7501634</v>
      </c>
      <c r="CJ12" s="35">
        <f t="shared" si="94"/>
        <v>41.752500000000005</v>
      </c>
      <c r="CK12" s="35">
        <f t="shared" si="48"/>
        <v>18.667082</v>
      </c>
      <c r="CL12" s="5">
        <f t="shared" si="49"/>
        <v>60.419582000000005</v>
      </c>
      <c r="CM12" s="35">
        <f t="shared" si="50"/>
        <v>2.091729</v>
      </c>
      <c r="CO12" s="35">
        <f t="shared" si="95"/>
        <v>29287.840500000002</v>
      </c>
      <c r="CP12" s="35">
        <f t="shared" si="51"/>
        <v>13094.270288400001</v>
      </c>
      <c r="CQ12" s="5">
        <f t="shared" si="52"/>
        <v>42382.1107884</v>
      </c>
      <c r="CR12" s="35">
        <f t="shared" si="53"/>
        <v>1467.2708298</v>
      </c>
      <c r="CT12" s="35">
        <f t="shared" si="96"/>
        <v>770.4435</v>
      </c>
      <c r="CU12" s="35">
        <f t="shared" si="54"/>
        <v>344.45678680000003</v>
      </c>
      <c r="CV12" s="5">
        <f t="shared" si="55"/>
        <v>1114.9002868</v>
      </c>
      <c r="CW12" s="35">
        <f t="shared" si="56"/>
        <v>38.5979046</v>
      </c>
      <c r="CY12" s="35">
        <f t="shared" si="97"/>
        <v>22816.642499999998</v>
      </c>
      <c r="CZ12" s="35">
        <f t="shared" si="57"/>
        <v>10201.069074</v>
      </c>
      <c r="DA12" s="5">
        <f t="shared" si="58"/>
        <v>33017.711574</v>
      </c>
      <c r="DB12" s="35">
        <f t="shared" si="59"/>
        <v>1143.074853</v>
      </c>
      <c r="DD12" s="35">
        <f t="shared" si="98"/>
        <v>21343.4385</v>
      </c>
      <c r="DE12" s="35">
        <f t="shared" si="60"/>
        <v>9542.4158228</v>
      </c>
      <c r="DF12" s="5">
        <f t="shared" si="61"/>
        <v>30885.854322799998</v>
      </c>
      <c r="DG12" s="35">
        <f t="shared" si="62"/>
        <v>1069.2698466</v>
      </c>
      <c r="DI12" s="35">
        <f t="shared" si="99"/>
        <v>32563.873499999998</v>
      </c>
      <c r="DJ12" s="35">
        <f t="shared" si="63"/>
        <v>14558.9484908</v>
      </c>
      <c r="DK12" s="5">
        <f t="shared" si="64"/>
        <v>47122.821990799996</v>
      </c>
      <c r="DL12" s="35">
        <f t="shared" si="65"/>
        <v>1631.3944926</v>
      </c>
      <c r="DN12" s="35">
        <f t="shared" si="100"/>
        <v>37306.9575</v>
      </c>
      <c r="DO12" s="35">
        <f t="shared" si="66"/>
        <v>16679.529006</v>
      </c>
      <c r="DP12" s="5">
        <f t="shared" si="67"/>
        <v>53986.486506</v>
      </c>
      <c r="DQ12" s="35">
        <f t="shared" si="68"/>
        <v>1869.014907</v>
      </c>
      <c r="DS12" s="35">
        <f t="shared" si="101"/>
        <v>20324.6775</v>
      </c>
      <c r="DT12" s="35">
        <f t="shared" si="69"/>
        <v>9086.939022</v>
      </c>
      <c r="DU12" s="35">
        <f t="shared" si="70"/>
        <v>29411.616522000004</v>
      </c>
      <c r="DV12" s="35">
        <f t="shared" si="71"/>
        <v>1018.231659</v>
      </c>
      <c r="DX12" s="35">
        <f t="shared" si="102"/>
        <v>30858.174</v>
      </c>
      <c r="DY12" s="35">
        <f t="shared" si="72"/>
        <v>13796.3490672</v>
      </c>
      <c r="DZ12" s="35">
        <f t="shared" si="73"/>
        <v>44654.5230672</v>
      </c>
      <c r="EA12" s="35">
        <f t="shared" si="74"/>
        <v>1545.9418584</v>
      </c>
      <c r="EC12" s="35">
        <f t="shared" si="103"/>
        <v>9131.930999999999</v>
      </c>
      <c r="ED12" s="35">
        <f t="shared" si="75"/>
        <v>4082.7855768</v>
      </c>
      <c r="EE12" s="35">
        <f t="shared" si="76"/>
        <v>13214.716576799998</v>
      </c>
      <c r="EF12" s="35">
        <f t="shared" si="77"/>
        <v>457.4941596</v>
      </c>
    </row>
    <row r="13" spans="1:136" ht="12.75">
      <c r="A13" s="36">
        <v>45200</v>
      </c>
      <c r="D13" s="3">
        <v>1855081</v>
      </c>
      <c r="E13" s="34">
        <f t="shared" si="0"/>
        <v>1855081</v>
      </c>
      <c r="F13" s="34">
        <v>220182</v>
      </c>
      <c r="H13" s="43"/>
      <c r="I13" s="35">
        <f t="shared" si="1"/>
        <v>534435.6650249</v>
      </c>
      <c r="J13" s="35">
        <f t="shared" si="2"/>
        <v>534435.6650249</v>
      </c>
      <c r="K13" s="35">
        <f t="shared" si="1"/>
        <v>63432.870907799996</v>
      </c>
      <c r="M13" s="35"/>
      <c r="N13" s="35">
        <f t="shared" si="3"/>
        <v>189230.13451839998</v>
      </c>
      <c r="O13" s="5">
        <f t="shared" si="4"/>
        <v>189230.13451839998</v>
      </c>
      <c r="P13" s="35">
        <f t="shared" si="5"/>
        <v>22459.973164799998</v>
      </c>
      <c r="R13" s="35"/>
      <c r="S13" s="35">
        <f t="shared" si="6"/>
        <v>14126.441815</v>
      </c>
      <c r="T13" s="5">
        <f t="shared" si="7"/>
        <v>14126.441815</v>
      </c>
      <c r="U13" s="35">
        <f t="shared" si="8"/>
        <v>1676.68593</v>
      </c>
      <c r="W13" s="35"/>
      <c r="X13" s="35">
        <f t="shared" si="9"/>
        <v>145043.218147</v>
      </c>
      <c r="Y13" s="5">
        <f t="shared" si="10"/>
        <v>145043.218147</v>
      </c>
      <c r="Z13" s="35">
        <f t="shared" si="11"/>
        <v>17215.370034000003</v>
      </c>
      <c r="AB13" s="35"/>
      <c r="AC13" s="35">
        <f t="shared" si="12"/>
        <v>7551.4782267</v>
      </c>
      <c r="AD13" s="5">
        <f t="shared" si="13"/>
        <v>7551.4782267</v>
      </c>
      <c r="AE13" s="35">
        <f t="shared" si="14"/>
        <v>896.2948674</v>
      </c>
      <c r="AG13" s="35"/>
      <c r="AH13" s="35">
        <f t="shared" si="15"/>
        <v>458.5760232</v>
      </c>
      <c r="AI13" s="5">
        <f t="shared" si="16"/>
        <v>458.5760232</v>
      </c>
      <c r="AJ13" s="35">
        <f t="shared" si="17"/>
        <v>54.428990399999996</v>
      </c>
      <c r="AL13" s="35"/>
      <c r="AM13" s="35">
        <f t="shared" si="18"/>
        <v>630.5420319000001</v>
      </c>
      <c r="AN13" s="5">
        <f t="shared" si="19"/>
        <v>630.5420319000001</v>
      </c>
      <c r="AO13" s="35">
        <f t="shared" si="20"/>
        <v>74.83986180000001</v>
      </c>
      <c r="AQ13" s="35"/>
      <c r="AR13" s="35">
        <f t="shared" si="21"/>
        <v>33282.9357615</v>
      </c>
      <c r="AS13" s="5">
        <f t="shared" si="22"/>
        <v>33282.9357615</v>
      </c>
      <c r="AT13" s="35">
        <f t="shared" si="23"/>
        <v>3950.395353</v>
      </c>
      <c r="AV13" s="35"/>
      <c r="AW13" s="35">
        <f t="shared" si="24"/>
        <v>51.571251800000006</v>
      </c>
      <c r="AX13" s="5">
        <f t="shared" si="25"/>
        <v>51.571251800000006</v>
      </c>
      <c r="AY13" s="35">
        <f t="shared" si="26"/>
        <v>6.121059600000001</v>
      </c>
      <c r="BA13" s="35"/>
      <c r="BB13" s="35">
        <f t="shared" si="27"/>
        <v>769.6731069</v>
      </c>
      <c r="BC13" s="5">
        <f t="shared" si="28"/>
        <v>769.6731069</v>
      </c>
      <c r="BD13" s="35">
        <f t="shared" si="29"/>
        <v>91.3535118</v>
      </c>
      <c r="BF13" s="35"/>
      <c r="BG13" s="35">
        <f t="shared" si="30"/>
        <v>170.4819439</v>
      </c>
      <c r="BH13" s="5">
        <f t="shared" si="31"/>
        <v>170.4819439</v>
      </c>
      <c r="BI13" s="35">
        <f t="shared" si="32"/>
        <v>20.2347258</v>
      </c>
      <c r="BK13" s="35"/>
      <c r="BL13" s="35">
        <f t="shared" si="33"/>
        <v>26874.3729389</v>
      </c>
      <c r="BM13" s="5">
        <f t="shared" si="34"/>
        <v>26874.3729389</v>
      </c>
      <c r="BN13" s="35">
        <f t="shared" si="35"/>
        <v>3189.7546158</v>
      </c>
      <c r="BP13" s="35"/>
      <c r="BQ13" s="35">
        <f t="shared" si="36"/>
        <v>89.7859204</v>
      </c>
      <c r="BR13" s="5">
        <f t="shared" si="37"/>
        <v>89.7859204</v>
      </c>
      <c r="BS13" s="35">
        <f t="shared" si="38"/>
        <v>10.6568088</v>
      </c>
      <c r="BU13" s="35"/>
      <c r="BV13" s="35">
        <f t="shared" si="39"/>
        <v>22778.539599</v>
      </c>
      <c r="BW13" s="5">
        <f t="shared" si="40"/>
        <v>22778.539599</v>
      </c>
      <c r="BX13" s="35">
        <f t="shared" si="41"/>
        <v>2703.614778</v>
      </c>
      <c r="BZ13" s="35"/>
      <c r="CA13" s="35">
        <f t="shared" si="42"/>
        <v>6715.022203799999</v>
      </c>
      <c r="CB13" s="5">
        <f t="shared" si="43"/>
        <v>6715.022203799999</v>
      </c>
      <c r="CC13" s="35">
        <f t="shared" si="44"/>
        <v>797.0148035999999</v>
      </c>
      <c r="CE13" s="35"/>
      <c r="CF13" s="35">
        <f t="shared" si="45"/>
        <v>368.6045947</v>
      </c>
      <c r="CG13" s="5">
        <f t="shared" si="46"/>
        <v>368.6045947</v>
      </c>
      <c r="CH13" s="35">
        <f t="shared" si="47"/>
        <v>43.7501634</v>
      </c>
      <c r="CJ13" s="35"/>
      <c r="CK13" s="35">
        <f t="shared" si="48"/>
        <v>17.6232695</v>
      </c>
      <c r="CL13" s="5">
        <f t="shared" si="49"/>
        <v>17.6232695</v>
      </c>
      <c r="CM13" s="35">
        <f t="shared" si="50"/>
        <v>2.091729</v>
      </c>
      <c r="CO13" s="35"/>
      <c r="CP13" s="35">
        <f t="shared" si="51"/>
        <v>12362.0742759</v>
      </c>
      <c r="CQ13" s="5">
        <f t="shared" si="52"/>
        <v>12362.0742759</v>
      </c>
      <c r="CR13" s="35">
        <f t="shared" si="53"/>
        <v>1467.2708298</v>
      </c>
      <c r="CT13" s="35"/>
      <c r="CU13" s="35">
        <f t="shared" si="54"/>
        <v>325.1956993</v>
      </c>
      <c r="CV13" s="5">
        <f t="shared" si="55"/>
        <v>325.1956993</v>
      </c>
      <c r="CW13" s="35">
        <f t="shared" si="56"/>
        <v>38.5979046</v>
      </c>
      <c r="CY13" s="35"/>
      <c r="CZ13" s="35">
        <f t="shared" si="57"/>
        <v>9630.6530115</v>
      </c>
      <c r="DA13" s="5">
        <f t="shared" si="58"/>
        <v>9630.6530115</v>
      </c>
      <c r="DB13" s="35">
        <f t="shared" si="59"/>
        <v>1143.074853</v>
      </c>
      <c r="DD13" s="35"/>
      <c r="DE13" s="35">
        <f t="shared" si="60"/>
        <v>9008.8298603</v>
      </c>
      <c r="DF13" s="5">
        <f t="shared" si="61"/>
        <v>9008.8298603</v>
      </c>
      <c r="DG13" s="35">
        <f t="shared" si="62"/>
        <v>1069.2698466</v>
      </c>
      <c r="DI13" s="35"/>
      <c r="DJ13" s="35">
        <f t="shared" si="63"/>
        <v>13744.8516533</v>
      </c>
      <c r="DK13" s="5">
        <f t="shared" si="64"/>
        <v>13744.8516533</v>
      </c>
      <c r="DL13" s="35">
        <f t="shared" si="65"/>
        <v>1631.3944926</v>
      </c>
      <c r="DN13" s="35"/>
      <c r="DO13" s="35">
        <f t="shared" si="66"/>
        <v>15746.8550685</v>
      </c>
      <c r="DP13" s="5">
        <f t="shared" si="67"/>
        <v>15746.8550685</v>
      </c>
      <c r="DQ13" s="35">
        <f t="shared" si="68"/>
        <v>1869.014907</v>
      </c>
      <c r="DS13" s="35"/>
      <c r="DT13" s="35">
        <f t="shared" si="69"/>
        <v>8578.8220845</v>
      </c>
      <c r="DU13" s="35">
        <f t="shared" si="70"/>
        <v>8578.8220845</v>
      </c>
      <c r="DV13" s="35">
        <f t="shared" si="71"/>
        <v>1018.231659</v>
      </c>
      <c r="DX13" s="35"/>
      <c r="DY13" s="35">
        <f t="shared" si="72"/>
        <v>13024.8947172</v>
      </c>
      <c r="DZ13" s="35">
        <f t="shared" si="73"/>
        <v>13024.8947172</v>
      </c>
      <c r="EA13" s="35">
        <f t="shared" si="74"/>
        <v>1545.9418584</v>
      </c>
      <c r="EC13" s="35"/>
      <c r="ED13" s="35">
        <f t="shared" si="75"/>
        <v>3854.4873018</v>
      </c>
      <c r="EE13" s="35">
        <f t="shared" si="76"/>
        <v>3854.4873018</v>
      </c>
      <c r="EF13" s="35">
        <f t="shared" si="77"/>
        <v>457.4941596</v>
      </c>
    </row>
    <row r="14" spans="1:136" ht="12.75">
      <c r="A14" s="36">
        <v>45383</v>
      </c>
      <c r="C14" s="3">
        <v>4615000</v>
      </c>
      <c r="D14" s="3">
        <v>1855081</v>
      </c>
      <c r="E14" s="34">
        <f t="shared" si="0"/>
        <v>6470081</v>
      </c>
      <c r="F14" s="34">
        <v>220182</v>
      </c>
      <c r="H14" s="43">
        <f t="shared" si="78"/>
        <v>1329548.7335</v>
      </c>
      <c r="I14" s="35">
        <f t="shared" si="1"/>
        <v>534435.6650249</v>
      </c>
      <c r="J14" s="35">
        <f t="shared" si="2"/>
        <v>1863984.3985249</v>
      </c>
      <c r="K14" s="35">
        <f t="shared" si="1"/>
        <v>63432.870907799996</v>
      </c>
      <c r="M14" s="35">
        <f t="shared" si="79"/>
        <v>470759.53599999996</v>
      </c>
      <c r="N14" s="35">
        <f t="shared" si="3"/>
        <v>189230.13451839998</v>
      </c>
      <c r="O14" s="5">
        <f t="shared" si="4"/>
        <v>659989.6705183999</v>
      </c>
      <c r="P14" s="35">
        <f t="shared" si="5"/>
        <v>22459.973164799998</v>
      </c>
      <c r="R14" s="35">
        <f t="shared" si="80"/>
        <v>35143.225</v>
      </c>
      <c r="S14" s="35">
        <f t="shared" si="6"/>
        <v>14126.441815</v>
      </c>
      <c r="T14" s="5">
        <f t="shared" si="7"/>
        <v>49269.666815</v>
      </c>
      <c r="U14" s="35">
        <f t="shared" si="8"/>
        <v>1676.68593</v>
      </c>
      <c r="W14" s="35">
        <f t="shared" si="81"/>
        <v>360833.005</v>
      </c>
      <c r="X14" s="35">
        <f t="shared" si="9"/>
        <v>145043.218147</v>
      </c>
      <c r="Y14" s="5">
        <f t="shared" si="10"/>
        <v>505876.223147</v>
      </c>
      <c r="Z14" s="35">
        <f t="shared" si="11"/>
        <v>17215.370034000003</v>
      </c>
      <c r="AB14" s="35">
        <f t="shared" si="82"/>
        <v>18786.2805</v>
      </c>
      <c r="AC14" s="35">
        <f t="shared" si="12"/>
        <v>7551.4782267</v>
      </c>
      <c r="AD14" s="5">
        <f t="shared" si="13"/>
        <v>26337.7587267</v>
      </c>
      <c r="AE14" s="35">
        <f t="shared" si="14"/>
        <v>896.2948674</v>
      </c>
      <c r="AG14" s="35">
        <f t="shared" si="83"/>
        <v>1140.828</v>
      </c>
      <c r="AH14" s="35">
        <f t="shared" si="15"/>
        <v>458.5760232</v>
      </c>
      <c r="AI14" s="5">
        <f t="shared" si="16"/>
        <v>1599.4040232</v>
      </c>
      <c r="AJ14" s="35">
        <f t="shared" si="17"/>
        <v>54.428990399999996</v>
      </c>
      <c r="AL14" s="35">
        <f t="shared" si="84"/>
        <v>1568.6385</v>
      </c>
      <c r="AM14" s="35">
        <f t="shared" si="18"/>
        <v>630.5420319000001</v>
      </c>
      <c r="AN14" s="5">
        <f t="shared" si="19"/>
        <v>2199.1805319</v>
      </c>
      <c r="AO14" s="35">
        <f t="shared" si="20"/>
        <v>74.83986180000001</v>
      </c>
      <c r="AQ14" s="35">
        <f t="shared" si="85"/>
        <v>82800.02249999999</v>
      </c>
      <c r="AR14" s="35">
        <f t="shared" si="21"/>
        <v>33282.9357615</v>
      </c>
      <c r="AS14" s="5">
        <f t="shared" si="22"/>
        <v>116082.9582615</v>
      </c>
      <c r="AT14" s="35">
        <f t="shared" si="23"/>
        <v>3950.395353</v>
      </c>
      <c r="AV14" s="35">
        <f t="shared" si="86"/>
        <v>128.297</v>
      </c>
      <c r="AW14" s="35">
        <f t="shared" si="24"/>
        <v>51.571251800000006</v>
      </c>
      <c r="AX14" s="5">
        <f t="shared" si="25"/>
        <v>179.8682518</v>
      </c>
      <c r="AY14" s="35">
        <f t="shared" si="26"/>
        <v>6.121059600000001</v>
      </c>
      <c r="BA14" s="35">
        <f t="shared" si="87"/>
        <v>1914.7635</v>
      </c>
      <c r="BB14" s="35">
        <f t="shared" si="27"/>
        <v>769.6731069</v>
      </c>
      <c r="BC14" s="5">
        <f t="shared" si="28"/>
        <v>2684.4366069</v>
      </c>
      <c r="BD14" s="35">
        <f t="shared" si="29"/>
        <v>91.3535118</v>
      </c>
      <c r="BF14" s="35">
        <f t="shared" si="88"/>
        <v>424.1185</v>
      </c>
      <c r="BG14" s="35">
        <f t="shared" si="30"/>
        <v>170.4819439</v>
      </c>
      <c r="BH14" s="5">
        <f t="shared" si="31"/>
        <v>594.6004439</v>
      </c>
      <c r="BI14" s="35">
        <f t="shared" si="32"/>
        <v>20.2347258</v>
      </c>
      <c r="BK14" s="35">
        <f t="shared" si="89"/>
        <v>66857.0435</v>
      </c>
      <c r="BL14" s="35">
        <f t="shared" si="33"/>
        <v>26874.3729389</v>
      </c>
      <c r="BM14" s="5">
        <f t="shared" si="34"/>
        <v>93731.41643889999</v>
      </c>
      <c r="BN14" s="35">
        <f t="shared" si="35"/>
        <v>3189.7546158</v>
      </c>
      <c r="BP14" s="35">
        <f t="shared" si="90"/>
        <v>223.36599999999999</v>
      </c>
      <c r="BQ14" s="35">
        <f t="shared" si="36"/>
        <v>89.7859204</v>
      </c>
      <c r="BR14" s="5">
        <f t="shared" si="37"/>
        <v>313.1519204</v>
      </c>
      <c r="BS14" s="35">
        <f t="shared" si="38"/>
        <v>10.6568088</v>
      </c>
      <c r="BU14" s="35">
        <f t="shared" si="91"/>
        <v>56667.585</v>
      </c>
      <c r="BV14" s="35">
        <f t="shared" si="39"/>
        <v>22778.539599</v>
      </c>
      <c r="BW14" s="5">
        <f t="shared" si="40"/>
        <v>79446.124599</v>
      </c>
      <c r="BX14" s="35">
        <f t="shared" si="41"/>
        <v>2703.614778</v>
      </c>
      <c r="BZ14" s="35">
        <f t="shared" si="92"/>
        <v>16705.377</v>
      </c>
      <c r="CA14" s="35">
        <f t="shared" si="42"/>
        <v>6715.022203799999</v>
      </c>
      <c r="CB14" s="5">
        <f t="shared" si="43"/>
        <v>23420.3992038</v>
      </c>
      <c r="CC14" s="35">
        <f t="shared" si="44"/>
        <v>797.0148035999999</v>
      </c>
      <c r="CE14" s="35">
        <f t="shared" si="93"/>
        <v>917.0005</v>
      </c>
      <c r="CF14" s="35">
        <f t="shared" si="45"/>
        <v>368.6045947</v>
      </c>
      <c r="CG14" s="5">
        <f t="shared" si="46"/>
        <v>1285.6050946999999</v>
      </c>
      <c r="CH14" s="35">
        <f t="shared" si="47"/>
        <v>43.7501634</v>
      </c>
      <c r="CJ14" s="35">
        <f t="shared" si="94"/>
        <v>43.8425</v>
      </c>
      <c r="CK14" s="35">
        <f t="shared" si="48"/>
        <v>17.6232695</v>
      </c>
      <c r="CL14" s="5">
        <f t="shared" si="49"/>
        <v>61.4657695</v>
      </c>
      <c r="CM14" s="35">
        <f t="shared" si="50"/>
        <v>2.091729</v>
      </c>
      <c r="CO14" s="35">
        <f t="shared" si="95"/>
        <v>30753.898500000003</v>
      </c>
      <c r="CP14" s="35">
        <f t="shared" si="51"/>
        <v>12362.0742759</v>
      </c>
      <c r="CQ14" s="5">
        <f t="shared" si="52"/>
        <v>43115.9727759</v>
      </c>
      <c r="CR14" s="35">
        <f t="shared" si="53"/>
        <v>1467.2708298</v>
      </c>
      <c r="CT14" s="35">
        <f t="shared" si="96"/>
        <v>809.0095</v>
      </c>
      <c r="CU14" s="35">
        <f t="shared" si="54"/>
        <v>325.1956993</v>
      </c>
      <c r="CV14" s="5">
        <f t="shared" si="55"/>
        <v>1134.2051993</v>
      </c>
      <c r="CW14" s="35">
        <f t="shared" si="56"/>
        <v>38.5979046</v>
      </c>
      <c r="CY14" s="35">
        <f t="shared" si="97"/>
        <v>23958.7725</v>
      </c>
      <c r="CZ14" s="35">
        <f t="shared" si="57"/>
        <v>9630.6530115</v>
      </c>
      <c r="DA14" s="5">
        <f t="shared" si="58"/>
        <v>33589.4255115</v>
      </c>
      <c r="DB14" s="35">
        <f t="shared" si="59"/>
        <v>1143.074853</v>
      </c>
      <c r="DD14" s="35">
        <f t="shared" si="98"/>
        <v>22411.8245</v>
      </c>
      <c r="DE14" s="35">
        <f t="shared" si="60"/>
        <v>9008.8298603</v>
      </c>
      <c r="DF14" s="5">
        <f t="shared" si="61"/>
        <v>31420.6543603</v>
      </c>
      <c r="DG14" s="35">
        <f t="shared" si="62"/>
        <v>1069.2698466</v>
      </c>
      <c r="DI14" s="35">
        <f t="shared" si="99"/>
        <v>34193.919499999996</v>
      </c>
      <c r="DJ14" s="35">
        <f t="shared" si="63"/>
        <v>13744.8516533</v>
      </c>
      <c r="DK14" s="5">
        <f t="shared" si="64"/>
        <v>47938.7711533</v>
      </c>
      <c r="DL14" s="35">
        <f t="shared" si="65"/>
        <v>1631.3944926</v>
      </c>
      <c r="DN14" s="35">
        <f t="shared" si="100"/>
        <v>39174.4275</v>
      </c>
      <c r="DO14" s="35">
        <f t="shared" si="66"/>
        <v>15746.8550685</v>
      </c>
      <c r="DP14" s="5">
        <f t="shared" si="67"/>
        <v>54921.2825685</v>
      </c>
      <c r="DQ14" s="35">
        <f t="shared" si="68"/>
        <v>1869.014907</v>
      </c>
      <c r="DS14" s="35">
        <f t="shared" si="101"/>
        <v>21342.0675</v>
      </c>
      <c r="DT14" s="35">
        <f t="shared" si="69"/>
        <v>8578.8220845</v>
      </c>
      <c r="DU14" s="35">
        <f t="shared" si="70"/>
        <v>29920.8895845</v>
      </c>
      <c r="DV14" s="35">
        <f t="shared" si="71"/>
        <v>1018.231659</v>
      </c>
      <c r="DX14" s="35">
        <f t="shared" si="102"/>
        <v>32402.838</v>
      </c>
      <c r="DY14" s="35">
        <f t="shared" si="72"/>
        <v>13024.8947172</v>
      </c>
      <c r="DZ14" s="35">
        <f t="shared" si="73"/>
        <v>45427.7327172</v>
      </c>
      <c r="EA14" s="35">
        <f t="shared" si="74"/>
        <v>1545.9418584</v>
      </c>
      <c r="EC14" s="35">
        <f t="shared" si="103"/>
        <v>9589.046999999999</v>
      </c>
      <c r="ED14" s="35">
        <f t="shared" si="75"/>
        <v>3854.4873018</v>
      </c>
      <c r="EE14" s="35">
        <f t="shared" si="76"/>
        <v>13443.534301799999</v>
      </c>
      <c r="EF14" s="35">
        <f t="shared" si="77"/>
        <v>457.4941596</v>
      </c>
    </row>
    <row r="15" spans="1:136" ht="12.75">
      <c r="A15" s="36">
        <v>45566</v>
      </c>
      <c r="D15" s="3">
        <v>1739706</v>
      </c>
      <c r="E15" s="34">
        <f t="shared" si="0"/>
        <v>1739706</v>
      </c>
      <c r="F15" s="34">
        <v>220182</v>
      </c>
      <c r="H15" s="43"/>
      <c r="I15" s="35">
        <f t="shared" si="1"/>
        <v>501196.94668739993</v>
      </c>
      <c r="J15" s="35">
        <f t="shared" si="2"/>
        <v>501196.94668739993</v>
      </c>
      <c r="K15" s="35">
        <f t="shared" si="1"/>
        <v>63432.870907799996</v>
      </c>
      <c r="M15" s="35"/>
      <c r="N15" s="35">
        <f t="shared" si="3"/>
        <v>177461.1461184</v>
      </c>
      <c r="O15" s="5">
        <f t="shared" si="4"/>
        <v>177461.1461184</v>
      </c>
      <c r="P15" s="35">
        <f t="shared" si="5"/>
        <v>22459.973164799998</v>
      </c>
      <c r="R15" s="35"/>
      <c r="S15" s="35">
        <f t="shared" si="6"/>
        <v>13247.86119</v>
      </c>
      <c r="T15" s="5">
        <f t="shared" si="7"/>
        <v>13247.86119</v>
      </c>
      <c r="U15" s="35">
        <f t="shared" si="8"/>
        <v>1676.68593</v>
      </c>
      <c r="W15" s="35"/>
      <c r="X15" s="35">
        <f t="shared" si="9"/>
        <v>136022.393022</v>
      </c>
      <c r="Y15" s="5">
        <f t="shared" si="10"/>
        <v>136022.393022</v>
      </c>
      <c r="Z15" s="35">
        <f t="shared" si="11"/>
        <v>17215.370034000003</v>
      </c>
      <c r="AB15" s="35"/>
      <c r="AC15" s="35">
        <f t="shared" si="12"/>
        <v>7081.8212142</v>
      </c>
      <c r="AD15" s="5">
        <f t="shared" si="13"/>
        <v>7081.8212142</v>
      </c>
      <c r="AE15" s="35">
        <f t="shared" si="14"/>
        <v>896.2948674</v>
      </c>
      <c r="AG15" s="35"/>
      <c r="AH15" s="35">
        <f t="shared" si="15"/>
        <v>430.0553232</v>
      </c>
      <c r="AI15" s="5">
        <f t="shared" si="16"/>
        <v>430.0553232</v>
      </c>
      <c r="AJ15" s="35">
        <f t="shared" si="17"/>
        <v>54.428990399999996</v>
      </c>
      <c r="AL15" s="35"/>
      <c r="AM15" s="35">
        <f t="shared" si="18"/>
        <v>591.3260694</v>
      </c>
      <c r="AN15" s="5">
        <f t="shared" si="19"/>
        <v>591.3260694</v>
      </c>
      <c r="AO15" s="35">
        <f t="shared" si="20"/>
        <v>74.83986180000001</v>
      </c>
      <c r="AQ15" s="35"/>
      <c r="AR15" s="35">
        <f t="shared" si="21"/>
        <v>31212.935199</v>
      </c>
      <c r="AS15" s="5">
        <f t="shared" si="22"/>
        <v>31212.935199</v>
      </c>
      <c r="AT15" s="35">
        <f t="shared" si="23"/>
        <v>3950.395353</v>
      </c>
      <c r="AV15" s="35"/>
      <c r="AW15" s="35">
        <f t="shared" si="24"/>
        <v>48.363826800000005</v>
      </c>
      <c r="AX15" s="5">
        <f t="shared" si="25"/>
        <v>48.363826800000005</v>
      </c>
      <c r="AY15" s="35">
        <f t="shared" si="26"/>
        <v>6.121059600000001</v>
      </c>
      <c r="BA15" s="35"/>
      <c r="BB15" s="35">
        <f t="shared" si="27"/>
        <v>721.8040194</v>
      </c>
      <c r="BC15" s="5">
        <f t="shared" si="28"/>
        <v>721.8040194</v>
      </c>
      <c r="BD15" s="35">
        <f t="shared" si="29"/>
        <v>91.3535118</v>
      </c>
      <c r="BF15" s="35"/>
      <c r="BG15" s="35">
        <f t="shared" si="30"/>
        <v>159.8789814</v>
      </c>
      <c r="BH15" s="5">
        <f t="shared" si="31"/>
        <v>159.8789814</v>
      </c>
      <c r="BI15" s="35">
        <f t="shared" si="32"/>
        <v>20.2347258</v>
      </c>
      <c r="BK15" s="35"/>
      <c r="BL15" s="35">
        <f t="shared" si="33"/>
        <v>25202.9468514</v>
      </c>
      <c r="BM15" s="5">
        <f t="shared" si="34"/>
        <v>25202.9468514</v>
      </c>
      <c r="BN15" s="35">
        <f t="shared" si="35"/>
        <v>3189.7546158</v>
      </c>
      <c r="BP15" s="35"/>
      <c r="BQ15" s="35">
        <f t="shared" si="36"/>
        <v>84.2017704</v>
      </c>
      <c r="BR15" s="5">
        <f t="shared" si="37"/>
        <v>84.2017704</v>
      </c>
      <c r="BS15" s="35">
        <f t="shared" si="38"/>
        <v>10.6568088</v>
      </c>
      <c r="BU15" s="35"/>
      <c r="BV15" s="35">
        <f t="shared" si="39"/>
        <v>21361.849974</v>
      </c>
      <c r="BW15" s="5">
        <f t="shared" si="40"/>
        <v>21361.849974</v>
      </c>
      <c r="BX15" s="35">
        <f t="shared" si="41"/>
        <v>2703.614778</v>
      </c>
      <c r="BZ15" s="35"/>
      <c r="CA15" s="35">
        <f t="shared" si="42"/>
        <v>6297.3877788</v>
      </c>
      <c r="CB15" s="5">
        <f t="shared" si="43"/>
        <v>6297.3877788</v>
      </c>
      <c r="CC15" s="35">
        <f t="shared" si="44"/>
        <v>797.0148035999999</v>
      </c>
      <c r="CE15" s="35"/>
      <c r="CF15" s="35">
        <f t="shared" si="45"/>
        <v>345.6795822</v>
      </c>
      <c r="CG15" s="5">
        <f t="shared" si="46"/>
        <v>345.6795822</v>
      </c>
      <c r="CH15" s="35">
        <f t="shared" si="47"/>
        <v>43.7501634</v>
      </c>
      <c r="CJ15" s="35"/>
      <c r="CK15" s="35">
        <f t="shared" si="48"/>
        <v>16.527207</v>
      </c>
      <c r="CL15" s="5">
        <f t="shared" si="49"/>
        <v>16.527207</v>
      </c>
      <c r="CM15" s="35">
        <f t="shared" si="50"/>
        <v>2.091729</v>
      </c>
      <c r="CO15" s="35"/>
      <c r="CP15" s="35">
        <f t="shared" si="51"/>
        <v>11593.2268134</v>
      </c>
      <c r="CQ15" s="5">
        <f t="shared" si="52"/>
        <v>11593.2268134</v>
      </c>
      <c r="CR15" s="35">
        <f t="shared" si="53"/>
        <v>1467.2708298</v>
      </c>
      <c r="CT15" s="35"/>
      <c r="CU15" s="35">
        <f t="shared" si="54"/>
        <v>304.9704618</v>
      </c>
      <c r="CV15" s="5">
        <f t="shared" si="55"/>
        <v>304.9704618</v>
      </c>
      <c r="CW15" s="35">
        <f t="shared" si="56"/>
        <v>38.5979046</v>
      </c>
      <c r="CY15" s="35"/>
      <c r="CZ15" s="35">
        <f t="shared" si="57"/>
        <v>9031.683699</v>
      </c>
      <c r="DA15" s="5">
        <f t="shared" si="58"/>
        <v>9031.683699</v>
      </c>
      <c r="DB15" s="35">
        <f t="shared" si="59"/>
        <v>1143.074853</v>
      </c>
      <c r="DD15" s="35"/>
      <c r="DE15" s="35">
        <f t="shared" si="60"/>
        <v>8448.5342478</v>
      </c>
      <c r="DF15" s="5">
        <f t="shared" si="61"/>
        <v>8448.5342478</v>
      </c>
      <c r="DG15" s="35">
        <f t="shared" si="62"/>
        <v>1069.2698466</v>
      </c>
      <c r="DI15" s="35"/>
      <c r="DJ15" s="35">
        <f t="shared" si="63"/>
        <v>12890.003665799999</v>
      </c>
      <c r="DK15" s="5">
        <f t="shared" si="64"/>
        <v>12890.003665799999</v>
      </c>
      <c r="DL15" s="35">
        <f t="shared" si="65"/>
        <v>1631.3944926</v>
      </c>
      <c r="DN15" s="35"/>
      <c r="DO15" s="35">
        <f t="shared" si="66"/>
        <v>14767.494380999999</v>
      </c>
      <c r="DP15" s="5">
        <f t="shared" si="67"/>
        <v>14767.494380999999</v>
      </c>
      <c r="DQ15" s="35">
        <f t="shared" si="68"/>
        <v>1869.014907</v>
      </c>
      <c r="DS15" s="35"/>
      <c r="DT15" s="35">
        <f t="shared" si="69"/>
        <v>8045.270397</v>
      </c>
      <c r="DU15" s="35">
        <f t="shared" si="70"/>
        <v>8045.270397</v>
      </c>
      <c r="DV15" s="35">
        <f t="shared" si="71"/>
        <v>1018.231659</v>
      </c>
      <c r="DX15" s="35"/>
      <c r="DY15" s="35">
        <f t="shared" si="72"/>
        <v>12214.8237672</v>
      </c>
      <c r="DZ15" s="35">
        <f t="shared" si="73"/>
        <v>12214.8237672</v>
      </c>
      <c r="EA15" s="35">
        <f t="shared" si="74"/>
        <v>1545.9418584</v>
      </c>
      <c r="EC15" s="35"/>
      <c r="ED15" s="35">
        <f t="shared" si="75"/>
        <v>3614.7611267999996</v>
      </c>
      <c r="EE15" s="35">
        <f t="shared" si="76"/>
        <v>3614.7611267999996</v>
      </c>
      <c r="EF15" s="35">
        <f t="shared" si="77"/>
        <v>457.4941596</v>
      </c>
    </row>
    <row r="16" spans="1:136" ht="12.75">
      <c r="A16" s="36">
        <v>45748</v>
      </c>
      <c r="C16" s="3">
        <v>4845000</v>
      </c>
      <c r="D16" s="3">
        <v>1739706</v>
      </c>
      <c r="E16" s="34">
        <f t="shared" si="0"/>
        <v>6584706</v>
      </c>
      <c r="F16" s="34">
        <v>220182</v>
      </c>
      <c r="H16" s="43">
        <f t="shared" si="78"/>
        <v>1395810.1005</v>
      </c>
      <c r="I16" s="35">
        <f t="shared" si="1"/>
        <v>501196.94668739993</v>
      </c>
      <c r="J16" s="35">
        <f t="shared" si="2"/>
        <v>1897007.0471873998</v>
      </c>
      <c r="K16" s="35">
        <f t="shared" si="1"/>
        <v>63432.870907799996</v>
      </c>
      <c r="M16" s="35">
        <f t="shared" si="79"/>
        <v>494221.008</v>
      </c>
      <c r="N16" s="35">
        <f t="shared" si="3"/>
        <v>177461.1461184</v>
      </c>
      <c r="O16" s="5">
        <f t="shared" si="4"/>
        <v>671682.1541184</v>
      </c>
      <c r="P16" s="35">
        <f t="shared" si="5"/>
        <v>22459.973164799998</v>
      </c>
      <c r="R16" s="35">
        <f t="shared" si="80"/>
        <v>36894.675</v>
      </c>
      <c r="S16" s="35">
        <f t="shared" si="6"/>
        <v>13247.86119</v>
      </c>
      <c r="T16" s="5">
        <f t="shared" si="7"/>
        <v>50142.53619</v>
      </c>
      <c r="U16" s="35">
        <f t="shared" si="8"/>
        <v>1676.68593</v>
      </c>
      <c r="W16" s="35">
        <f t="shared" si="81"/>
        <v>378816.015</v>
      </c>
      <c r="X16" s="35">
        <f t="shared" si="9"/>
        <v>136022.393022</v>
      </c>
      <c r="Y16" s="5">
        <f t="shared" si="10"/>
        <v>514838.408022</v>
      </c>
      <c r="Z16" s="35">
        <f t="shared" si="11"/>
        <v>17215.370034000003</v>
      </c>
      <c r="AB16" s="35">
        <f t="shared" si="82"/>
        <v>19722.5415</v>
      </c>
      <c r="AC16" s="35">
        <f t="shared" si="12"/>
        <v>7081.8212142</v>
      </c>
      <c r="AD16" s="5">
        <f t="shared" si="13"/>
        <v>26804.3627142</v>
      </c>
      <c r="AE16" s="35">
        <f t="shared" si="14"/>
        <v>896.2948674</v>
      </c>
      <c r="AG16" s="35">
        <f t="shared" si="83"/>
        <v>1197.684</v>
      </c>
      <c r="AH16" s="35">
        <f t="shared" si="15"/>
        <v>430.0553232</v>
      </c>
      <c r="AI16" s="5">
        <f t="shared" si="16"/>
        <v>1627.7393232</v>
      </c>
      <c r="AJ16" s="35">
        <f t="shared" si="17"/>
        <v>54.428990399999996</v>
      </c>
      <c r="AL16" s="35">
        <f t="shared" si="84"/>
        <v>1646.8155000000002</v>
      </c>
      <c r="AM16" s="35">
        <f t="shared" si="18"/>
        <v>591.3260694</v>
      </c>
      <c r="AN16" s="5">
        <f t="shared" si="19"/>
        <v>2238.1415694</v>
      </c>
      <c r="AO16" s="35">
        <f t="shared" si="20"/>
        <v>74.83986180000001</v>
      </c>
      <c r="AQ16" s="35">
        <f t="shared" si="85"/>
        <v>86926.56749999999</v>
      </c>
      <c r="AR16" s="35">
        <f t="shared" si="21"/>
        <v>31212.935199</v>
      </c>
      <c r="AS16" s="5">
        <f t="shared" si="22"/>
        <v>118139.50269899999</v>
      </c>
      <c r="AT16" s="35">
        <f t="shared" si="23"/>
        <v>3950.395353</v>
      </c>
      <c r="AV16" s="35">
        <f t="shared" si="86"/>
        <v>134.691</v>
      </c>
      <c r="AW16" s="35">
        <f t="shared" si="24"/>
        <v>48.363826800000005</v>
      </c>
      <c r="AX16" s="5">
        <f t="shared" si="25"/>
        <v>183.0548268</v>
      </c>
      <c r="AY16" s="35">
        <f t="shared" si="26"/>
        <v>6.121059600000001</v>
      </c>
      <c r="BA16" s="35">
        <f t="shared" si="87"/>
        <v>2010.1905</v>
      </c>
      <c r="BB16" s="35">
        <f t="shared" si="27"/>
        <v>721.8040194</v>
      </c>
      <c r="BC16" s="5">
        <f t="shared" si="28"/>
        <v>2731.9945194</v>
      </c>
      <c r="BD16" s="35">
        <f t="shared" si="29"/>
        <v>91.3535118</v>
      </c>
      <c r="BF16" s="35">
        <f t="shared" si="88"/>
        <v>445.2555</v>
      </c>
      <c r="BG16" s="35">
        <f t="shared" si="30"/>
        <v>159.8789814</v>
      </c>
      <c r="BH16" s="5">
        <f t="shared" si="31"/>
        <v>605.1344813999999</v>
      </c>
      <c r="BI16" s="35">
        <f t="shared" si="32"/>
        <v>20.2347258</v>
      </c>
      <c r="BK16" s="35">
        <f t="shared" si="89"/>
        <v>70189.03050000001</v>
      </c>
      <c r="BL16" s="35">
        <f t="shared" si="33"/>
        <v>25202.9468514</v>
      </c>
      <c r="BM16" s="5">
        <f t="shared" si="34"/>
        <v>95391.97735140001</v>
      </c>
      <c r="BN16" s="35">
        <f t="shared" si="35"/>
        <v>3189.7546158</v>
      </c>
      <c r="BP16" s="35">
        <f t="shared" si="90"/>
        <v>234.498</v>
      </c>
      <c r="BQ16" s="35">
        <f t="shared" si="36"/>
        <v>84.2017704</v>
      </c>
      <c r="BR16" s="5">
        <f t="shared" si="37"/>
        <v>318.6997704</v>
      </c>
      <c r="BS16" s="35">
        <f t="shared" si="38"/>
        <v>10.6568088</v>
      </c>
      <c r="BU16" s="35">
        <f t="shared" si="91"/>
        <v>59491.755</v>
      </c>
      <c r="BV16" s="35">
        <f t="shared" si="39"/>
        <v>21361.849974</v>
      </c>
      <c r="BW16" s="5">
        <f t="shared" si="40"/>
        <v>80853.604974</v>
      </c>
      <c r="BX16" s="35">
        <f t="shared" si="41"/>
        <v>2703.614778</v>
      </c>
      <c r="BZ16" s="35">
        <f t="shared" si="92"/>
        <v>17537.931</v>
      </c>
      <c r="CA16" s="35">
        <f t="shared" si="42"/>
        <v>6297.3877788</v>
      </c>
      <c r="CB16" s="5">
        <f t="shared" si="43"/>
        <v>23835.3187788</v>
      </c>
      <c r="CC16" s="35">
        <f t="shared" si="44"/>
        <v>797.0148035999999</v>
      </c>
      <c r="CE16" s="35">
        <f t="shared" si="93"/>
        <v>962.7015</v>
      </c>
      <c r="CF16" s="35">
        <f t="shared" si="45"/>
        <v>345.6795822</v>
      </c>
      <c r="CG16" s="5">
        <f t="shared" si="46"/>
        <v>1308.3810822</v>
      </c>
      <c r="CH16" s="35">
        <f t="shared" si="47"/>
        <v>43.7501634</v>
      </c>
      <c r="CJ16" s="35">
        <f t="shared" si="94"/>
        <v>46.0275</v>
      </c>
      <c r="CK16" s="35">
        <f t="shared" si="48"/>
        <v>16.527207</v>
      </c>
      <c r="CL16" s="5">
        <f t="shared" si="49"/>
        <v>62.55470700000001</v>
      </c>
      <c r="CM16" s="35">
        <f t="shared" si="50"/>
        <v>2.091729</v>
      </c>
      <c r="CO16" s="35">
        <f t="shared" si="95"/>
        <v>32286.595500000003</v>
      </c>
      <c r="CP16" s="35">
        <f t="shared" si="51"/>
        <v>11593.2268134</v>
      </c>
      <c r="CQ16" s="5">
        <f t="shared" si="52"/>
        <v>43879.8223134</v>
      </c>
      <c r="CR16" s="35">
        <f t="shared" si="53"/>
        <v>1467.2708298</v>
      </c>
      <c r="CT16" s="35">
        <f t="shared" si="96"/>
        <v>849.3285000000001</v>
      </c>
      <c r="CU16" s="35">
        <f t="shared" si="54"/>
        <v>304.9704618</v>
      </c>
      <c r="CV16" s="5">
        <f t="shared" si="55"/>
        <v>1154.2989618000001</v>
      </c>
      <c r="CW16" s="35">
        <f t="shared" si="56"/>
        <v>38.5979046</v>
      </c>
      <c r="CY16" s="35">
        <f t="shared" si="97"/>
        <v>25152.8175</v>
      </c>
      <c r="CZ16" s="35">
        <f t="shared" si="57"/>
        <v>9031.683699</v>
      </c>
      <c r="DA16" s="5">
        <f t="shared" si="58"/>
        <v>34184.501199</v>
      </c>
      <c r="DB16" s="35">
        <f t="shared" si="59"/>
        <v>1143.074853</v>
      </c>
      <c r="DD16" s="35">
        <f t="shared" si="98"/>
        <v>23528.7735</v>
      </c>
      <c r="DE16" s="35">
        <f t="shared" si="60"/>
        <v>8448.5342478</v>
      </c>
      <c r="DF16" s="5">
        <f t="shared" si="61"/>
        <v>31977.307747799998</v>
      </c>
      <c r="DG16" s="35">
        <f t="shared" si="62"/>
        <v>1069.2698466</v>
      </c>
      <c r="DI16" s="35">
        <f t="shared" si="99"/>
        <v>35898.0585</v>
      </c>
      <c r="DJ16" s="35">
        <f t="shared" si="63"/>
        <v>12890.003665799999</v>
      </c>
      <c r="DK16" s="5">
        <f t="shared" si="64"/>
        <v>48788.0621658</v>
      </c>
      <c r="DL16" s="35">
        <f t="shared" si="65"/>
        <v>1631.3944926</v>
      </c>
      <c r="DN16" s="35">
        <f t="shared" si="100"/>
        <v>41126.7825</v>
      </c>
      <c r="DO16" s="35">
        <f t="shared" si="66"/>
        <v>14767.494380999999</v>
      </c>
      <c r="DP16" s="5">
        <f t="shared" si="67"/>
        <v>55894.276881</v>
      </c>
      <c r="DQ16" s="35">
        <f t="shared" si="68"/>
        <v>1869.014907</v>
      </c>
      <c r="DS16" s="35">
        <f t="shared" si="101"/>
        <v>22405.7025</v>
      </c>
      <c r="DT16" s="35">
        <f t="shared" si="69"/>
        <v>8045.270397</v>
      </c>
      <c r="DU16" s="35">
        <f t="shared" si="70"/>
        <v>30450.972897</v>
      </c>
      <c r="DV16" s="35">
        <f t="shared" si="71"/>
        <v>1018.231659</v>
      </c>
      <c r="DX16" s="35">
        <f t="shared" si="102"/>
        <v>34017.714</v>
      </c>
      <c r="DY16" s="35">
        <f t="shared" si="72"/>
        <v>12214.8237672</v>
      </c>
      <c r="DZ16" s="35">
        <f t="shared" si="73"/>
        <v>46232.5377672</v>
      </c>
      <c r="EA16" s="35">
        <f t="shared" si="74"/>
        <v>1545.9418584</v>
      </c>
      <c r="EC16" s="35">
        <f t="shared" si="103"/>
        <v>10066.940999999999</v>
      </c>
      <c r="ED16" s="35">
        <f t="shared" si="75"/>
        <v>3614.7611267999996</v>
      </c>
      <c r="EE16" s="35">
        <f t="shared" si="76"/>
        <v>13681.702126799999</v>
      </c>
      <c r="EF16" s="35">
        <f t="shared" si="77"/>
        <v>457.4941596</v>
      </c>
    </row>
    <row r="17" spans="1:136" ht="12.75">
      <c r="A17" s="36">
        <v>45931</v>
      </c>
      <c r="D17" s="3">
        <v>1618581</v>
      </c>
      <c r="E17" s="34">
        <f t="shared" si="0"/>
        <v>1618581</v>
      </c>
      <c r="F17" s="34">
        <v>220182</v>
      </c>
      <c r="H17" s="43"/>
      <c r="I17" s="35">
        <f t="shared" si="1"/>
        <v>466301.6941749</v>
      </c>
      <c r="J17" s="35">
        <f t="shared" si="2"/>
        <v>466301.6941749</v>
      </c>
      <c r="K17" s="35">
        <f t="shared" si="1"/>
        <v>63432.870907799996</v>
      </c>
      <c r="M17" s="35"/>
      <c r="N17" s="35">
        <f t="shared" si="3"/>
        <v>165105.6209184</v>
      </c>
      <c r="O17" s="5">
        <f t="shared" si="4"/>
        <v>165105.6209184</v>
      </c>
      <c r="P17" s="35">
        <f t="shared" si="5"/>
        <v>22459.973164799998</v>
      </c>
      <c r="R17" s="35"/>
      <c r="S17" s="35">
        <f t="shared" si="6"/>
        <v>12325.494315</v>
      </c>
      <c r="T17" s="5">
        <f t="shared" si="7"/>
        <v>12325.494315</v>
      </c>
      <c r="U17" s="35">
        <f t="shared" si="8"/>
        <v>1676.68593</v>
      </c>
      <c r="W17" s="35"/>
      <c r="X17" s="35">
        <f t="shared" si="9"/>
        <v>126551.992647</v>
      </c>
      <c r="Y17" s="5">
        <f t="shared" si="10"/>
        <v>126551.992647</v>
      </c>
      <c r="Z17" s="35">
        <f t="shared" si="11"/>
        <v>17215.370034000003</v>
      </c>
      <c r="AB17" s="35"/>
      <c r="AC17" s="35">
        <f t="shared" si="12"/>
        <v>6588.7576767</v>
      </c>
      <c r="AD17" s="5">
        <f t="shared" si="13"/>
        <v>6588.7576767</v>
      </c>
      <c r="AE17" s="35">
        <f t="shared" si="14"/>
        <v>896.2948674</v>
      </c>
      <c r="AG17" s="35"/>
      <c r="AH17" s="35">
        <f t="shared" si="15"/>
        <v>400.1132232</v>
      </c>
      <c r="AI17" s="5">
        <f t="shared" si="16"/>
        <v>400.1132232</v>
      </c>
      <c r="AJ17" s="35">
        <f t="shared" si="17"/>
        <v>54.428990399999996</v>
      </c>
      <c r="AL17" s="35"/>
      <c r="AM17" s="35">
        <f t="shared" si="18"/>
        <v>550.1556819</v>
      </c>
      <c r="AN17" s="5">
        <f t="shared" si="19"/>
        <v>550.1556819</v>
      </c>
      <c r="AO17" s="35">
        <f t="shared" si="20"/>
        <v>74.83986180000001</v>
      </c>
      <c r="AQ17" s="35"/>
      <c r="AR17" s="35">
        <f t="shared" si="21"/>
        <v>29039.771011499997</v>
      </c>
      <c r="AS17" s="5">
        <f t="shared" si="22"/>
        <v>29039.771011499997</v>
      </c>
      <c r="AT17" s="35">
        <f t="shared" si="23"/>
        <v>3950.395353</v>
      </c>
      <c r="AV17" s="35"/>
      <c r="AW17" s="35">
        <f t="shared" si="24"/>
        <v>44.9965518</v>
      </c>
      <c r="AX17" s="5">
        <f t="shared" si="25"/>
        <v>44.9965518</v>
      </c>
      <c r="AY17" s="35">
        <f t="shared" si="26"/>
        <v>6.121059600000001</v>
      </c>
      <c r="BA17" s="35"/>
      <c r="BB17" s="35">
        <f t="shared" si="27"/>
        <v>671.5492569</v>
      </c>
      <c r="BC17" s="5">
        <f t="shared" si="28"/>
        <v>671.5492569</v>
      </c>
      <c r="BD17" s="35">
        <f t="shared" si="29"/>
        <v>91.3535118</v>
      </c>
      <c r="BF17" s="35"/>
      <c r="BG17" s="35">
        <f t="shared" si="30"/>
        <v>148.7475939</v>
      </c>
      <c r="BH17" s="5">
        <f t="shared" si="31"/>
        <v>148.7475939</v>
      </c>
      <c r="BI17" s="35">
        <f t="shared" si="32"/>
        <v>20.2347258</v>
      </c>
      <c r="BK17" s="35"/>
      <c r="BL17" s="35">
        <f t="shared" si="33"/>
        <v>23448.2210889</v>
      </c>
      <c r="BM17" s="5">
        <f t="shared" si="34"/>
        <v>23448.2210889</v>
      </c>
      <c r="BN17" s="35">
        <f t="shared" si="35"/>
        <v>3189.7546158</v>
      </c>
      <c r="BP17" s="35"/>
      <c r="BQ17" s="35">
        <f t="shared" si="36"/>
        <v>78.33932039999999</v>
      </c>
      <c r="BR17" s="5">
        <f t="shared" si="37"/>
        <v>78.33932039999999</v>
      </c>
      <c r="BS17" s="35">
        <f t="shared" si="38"/>
        <v>10.6568088</v>
      </c>
      <c r="BU17" s="35"/>
      <c r="BV17" s="35">
        <f t="shared" si="39"/>
        <v>19874.556099</v>
      </c>
      <c r="BW17" s="5">
        <f t="shared" si="40"/>
        <v>19874.556099</v>
      </c>
      <c r="BX17" s="35">
        <f t="shared" si="41"/>
        <v>2703.614778</v>
      </c>
      <c r="BZ17" s="35"/>
      <c r="CA17" s="35">
        <f t="shared" si="42"/>
        <v>5858.939503799999</v>
      </c>
      <c r="CB17" s="5">
        <f t="shared" si="43"/>
        <v>5858.939503799999</v>
      </c>
      <c r="CC17" s="35">
        <f t="shared" si="44"/>
        <v>797.0148035999999</v>
      </c>
      <c r="CE17" s="35"/>
      <c r="CF17" s="35">
        <f t="shared" si="45"/>
        <v>321.6120447</v>
      </c>
      <c r="CG17" s="5">
        <f t="shared" si="46"/>
        <v>321.6120447</v>
      </c>
      <c r="CH17" s="35">
        <f t="shared" si="47"/>
        <v>43.7501634</v>
      </c>
      <c r="CJ17" s="35"/>
      <c r="CK17" s="35">
        <f t="shared" si="48"/>
        <v>15.3765195</v>
      </c>
      <c r="CL17" s="5">
        <f t="shared" si="49"/>
        <v>15.3765195</v>
      </c>
      <c r="CM17" s="35">
        <f t="shared" si="50"/>
        <v>2.091729</v>
      </c>
      <c r="CO17" s="35"/>
      <c r="CP17" s="35">
        <f t="shared" si="51"/>
        <v>10786.061925900001</v>
      </c>
      <c r="CQ17" s="5">
        <f t="shared" si="52"/>
        <v>10786.061925900001</v>
      </c>
      <c r="CR17" s="35">
        <f t="shared" si="53"/>
        <v>1467.2708298</v>
      </c>
      <c r="CT17" s="35"/>
      <c r="CU17" s="35">
        <f t="shared" si="54"/>
        <v>283.73724930000003</v>
      </c>
      <c r="CV17" s="5">
        <f t="shared" si="55"/>
        <v>283.73724930000003</v>
      </c>
      <c r="CW17" s="35">
        <f t="shared" si="56"/>
        <v>38.5979046</v>
      </c>
      <c r="CY17" s="35"/>
      <c r="CZ17" s="35">
        <f t="shared" si="57"/>
        <v>8402.8632615</v>
      </c>
      <c r="DA17" s="5">
        <f t="shared" si="58"/>
        <v>8402.8632615</v>
      </c>
      <c r="DB17" s="35">
        <f t="shared" si="59"/>
        <v>1143.074853</v>
      </c>
      <c r="DD17" s="35"/>
      <c r="DE17" s="35">
        <f t="shared" si="60"/>
        <v>7860.3149103</v>
      </c>
      <c r="DF17" s="5">
        <f t="shared" si="61"/>
        <v>7860.3149103</v>
      </c>
      <c r="DG17" s="35">
        <f t="shared" si="62"/>
        <v>1069.2698466</v>
      </c>
      <c r="DI17" s="35"/>
      <c r="DJ17" s="35">
        <f t="shared" si="63"/>
        <v>11992.5522033</v>
      </c>
      <c r="DK17" s="5">
        <f t="shared" si="64"/>
        <v>11992.5522033</v>
      </c>
      <c r="DL17" s="35">
        <f t="shared" si="65"/>
        <v>1631.3944926</v>
      </c>
      <c r="DN17" s="35"/>
      <c r="DO17" s="35">
        <f t="shared" si="66"/>
        <v>13739.3248185</v>
      </c>
      <c r="DP17" s="5">
        <f t="shared" si="67"/>
        <v>13739.3248185</v>
      </c>
      <c r="DQ17" s="35">
        <f t="shared" si="68"/>
        <v>1869.014907</v>
      </c>
      <c r="DS17" s="35"/>
      <c r="DT17" s="35">
        <f t="shared" si="69"/>
        <v>7485.1278345</v>
      </c>
      <c r="DU17" s="35">
        <f t="shared" si="70"/>
        <v>7485.1278345</v>
      </c>
      <c r="DV17" s="35">
        <f t="shared" si="71"/>
        <v>1018.231659</v>
      </c>
      <c r="DX17" s="35"/>
      <c r="DY17" s="35">
        <f t="shared" si="72"/>
        <v>11364.3809172</v>
      </c>
      <c r="DZ17" s="35">
        <f t="shared" si="73"/>
        <v>11364.3809172</v>
      </c>
      <c r="EA17" s="35">
        <f t="shared" si="74"/>
        <v>1545.9418584</v>
      </c>
      <c r="EC17" s="35"/>
      <c r="ED17" s="35">
        <f t="shared" si="75"/>
        <v>3363.0876018</v>
      </c>
      <c r="EE17" s="35">
        <f t="shared" si="76"/>
        <v>3363.0876018</v>
      </c>
      <c r="EF17" s="35">
        <f t="shared" si="77"/>
        <v>457.4941596</v>
      </c>
    </row>
    <row r="18" spans="1:136" ht="12.75">
      <c r="A18" s="36">
        <v>46113</v>
      </c>
      <c r="C18" s="3">
        <v>5085000</v>
      </c>
      <c r="D18" s="3">
        <v>1618581</v>
      </c>
      <c r="E18" s="34">
        <f t="shared" si="0"/>
        <v>6703581</v>
      </c>
      <c r="F18" s="34">
        <v>220182</v>
      </c>
      <c r="H18" s="43">
        <f t="shared" si="78"/>
        <v>1464952.3965</v>
      </c>
      <c r="I18" s="35">
        <f t="shared" si="1"/>
        <v>466301.6941749</v>
      </c>
      <c r="J18" s="35">
        <f t="shared" si="2"/>
        <v>1931254.0906749</v>
      </c>
      <c r="K18" s="35">
        <f t="shared" si="1"/>
        <v>63432.870907799996</v>
      </c>
      <c r="M18" s="35">
        <f t="shared" si="79"/>
        <v>518702.544</v>
      </c>
      <c r="N18" s="35">
        <f t="shared" si="3"/>
        <v>165105.6209184</v>
      </c>
      <c r="O18" s="5">
        <f t="shared" si="4"/>
        <v>683808.1649184</v>
      </c>
      <c r="P18" s="35">
        <f t="shared" si="5"/>
        <v>22459.973164799998</v>
      </c>
      <c r="R18" s="35">
        <f t="shared" si="80"/>
        <v>38722.275</v>
      </c>
      <c r="S18" s="35">
        <f t="shared" si="6"/>
        <v>12325.494315</v>
      </c>
      <c r="T18" s="5">
        <f t="shared" si="7"/>
        <v>51047.769315</v>
      </c>
      <c r="U18" s="35">
        <f t="shared" si="8"/>
        <v>1676.68593</v>
      </c>
      <c r="W18" s="35">
        <f t="shared" si="81"/>
        <v>397580.895</v>
      </c>
      <c r="X18" s="35">
        <f t="shared" si="9"/>
        <v>126551.992647</v>
      </c>
      <c r="Y18" s="5">
        <f t="shared" si="10"/>
        <v>524132.887647</v>
      </c>
      <c r="Z18" s="35">
        <f t="shared" si="11"/>
        <v>17215.370034000003</v>
      </c>
      <c r="AB18" s="35">
        <f t="shared" si="82"/>
        <v>20699.5095</v>
      </c>
      <c r="AC18" s="35">
        <f t="shared" si="12"/>
        <v>6588.7576767</v>
      </c>
      <c r="AD18" s="5">
        <f t="shared" si="13"/>
        <v>27288.2671767</v>
      </c>
      <c r="AE18" s="35">
        <f t="shared" si="14"/>
        <v>896.2948674</v>
      </c>
      <c r="AG18" s="35">
        <f t="shared" si="83"/>
        <v>1257.012</v>
      </c>
      <c r="AH18" s="35">
        <f t="shared" si="15"/>
        <v>400.1132232</v>
      </c>
      <c r="AI18" s="5">
        <f t="shared" si="16"/>
        <v>1657.1252232</v>
      </c>
      <c r="AJ18" s="35">
        <f t="shared" si="17"/>
        <v>54.428990399999996</v>
      </c>
      <c r="AL18" s="35">
        <f t="shared" si="84"/>
        <v>1728.3915000000002</v>
      </c>
      <c r="AM18" s="35">
        <f t="shared" si="18"/>
        <v>550.1556819</v>
      </c>
      <c r="AN18" s="5">
        <f t="shared" si="19"/>
        <v>2278.5471819000004</v>
      </c>
      <c r="AO18" s="35">
        <f t="shared" si="20"/>
        <v>74.83986180000001</v>
      </c>
      <c r="AQ18" s="35">
        <f t="shared" si="85"/>
        <v>91232.5275</v>
      </c>
      <c r="AR18" s="35">
        <f t="shared" si="21"/>
        <v>29039.771011499997</v>
      </c>
      <c r="AS18" s="5">
        <f t="shared" si="22"/>
        <v>120272.29851149999</v>
      </c>
      <c r="AT18" s="35">
        <f t="shared" si="23"/>
        <v>3950.395353</v>
      </c>
      <c r="AV18" s="35">
        <f t="shared" si="86"/>
        <v>141.363</v>
      </c>
      <c r="AW18" s="35">
        <f t="shared" si="24"/>
        <v>44.9965518</v>
      </c>
      <c r="AX18" s="5">
        <f t="shared" si="25"/>
        <v>186.3595518</v>
      </c>
      <c r="AY18" s="35">
        <f t="shared" si="26"/>
        <v>6.121059600000001</v>
      </c>
      <c r="BA18" s="35">
        <f t="shared" si="87"/>
        <v>2109.7665</v>
      </c>
      <c r="BB18" s="35">
        <f t="shared" si="27"/>
        <v>671.5492569</v>
      </c>
      <c r="BC18" s="5">
        <f t="shared" si="28"/>
        <v>2781.3157569000005</v>
      </c>
      <c r="BD18" s="35">
        <f t="shared" si="29"/>
        <v>91.3535118</v>
      </c>
      <c r="BF18" s="35">
        <f t="shared" si="88"/>
        <v>467.31149999999997</v>
      </c>
      <c r="BG18" s="35">
        <f t="shared" si="30"/>
        <v>148.7475939</v>
      </c>
      <c r="BH18" s="5">
        <f t="shared" si="31"/>
        <v>616.0590939</v>
      </c>
      <c r="BI18" s="35">
        <f t="shared" si="32"/>
        <v>20.2347258</v>
      </c>
      <c r="BK18" s="35">
        <f t="shared" si="89"/>
        <v>73665.88650000001</v>
      </c>
      <c r="BL18" s="35">
        <f t="shared" si="33"/>
        <v>23448.2210889</v>
      </c>
      <c r="BM18" s="5">
        <f t="shared" si="34"/>
        <v>97114.1075889</v>
      </c>
      <c r="BN18" s="35">
        <f t="shared" si="35"/>
        <v>3189.7546158</v>
      </c>
      <c r="BP18" s="35">
        <f t="shared" si="90"/>
        <v>246.11399999999998</v>
      </c>
      <c r="BQ18" s="35">
        <f t="shared" si="36"/>
        <v>78.33932039999999</v>
      </c>
      <c r="BR18" s="5">
        <f t="shared" si="37"/>
        <v>324.45332039999994</v>
      </c>
      <c r="BS18" s="35">
        <f t="shared" si="38"/>
        <v>10.6568088</v>
      </c>
      <c r="BU18" s="35">
        <f t="shared" si="91"/>
        <v>62438.715</v>
      </c>
      <c r="BV18" s="35">
        <f t="shared" si="39"/>
        <v>19874.556099</v>
      </c>
      <c r="BW18" s="5">
        <f t="shared" si="40"/>
        <v>82313.271099</v>
      </c>
      <c r="BX18" s="35">
        <f t="shared" si="41"/>
        <v>2703.614778</v>
      </c>
      <c r="BZ18" s="35">
        <f t="shared" si="92"/>
        <v>18406.683</v>
      </c>
      <c r="CA18" s="35">
        <f t="shared" si="42"/>
        <v>5858.939503799999</v>
      </c>
      <c r="CB18" s="5">
        <f t="shared" si="43"/>
        <v>24265.6225038</v>
      </c>
      <c r="CC18" s="35">
        <f t="shared" si="44"/>
        <v>797.0148035999999</v>
      </c>
      <c r="CE18" s="35">
        <f t="shared" si="93"/>
        <v>1010.3895</v>
      </c>
      <c r="CF18" s="35">
        <f t="shared" si="45"/>
        <v>321.6120447</v>
      </c>
      <c r="CG18" s="5">
        <f t="shared" si="46"/>
        <v>1332.0015447</v>
      </c>
      <c r="CH18" s="35">
        <f t="shared" si="47"/>
        <v>43.7501634</v>
      </c>
      <c r="CJ18" s="35">
        <f t="shared" si="94"/>
        <v>48.307500000000005</v>
      </c>
      <c r="CK18" s="35">
        <f t="shared" si="48"/>
        <v>15.3765195</v>
      </c>
      <c r="CL18" s="5">
        <f t="shared" si="49"/>
        <v>63.684019500000005</v>
      </c>
      <c r="CM18" s="35">
        <f t="shared" si="50"/>
        <v>2.091729</v>
      </c>
      <c r="CO18" s="35">
        <f t="shared" si="95"/>
        <v>33885.9315</v>
      </c>
      <c r="CP18" s="35">
        <f t="shared" si="51"/>
        <v>10786.061925900001</v>
      </c>
      <c r="CQ18" s="5">
        <f t="shared" si="52"/>
        <v>44671.9934259</v>
      </c>
      <c r="CR18" s="35">
        <f t="shared" si="53"/>
        <v>1467.2708298</v>
      </c>
      <c r="CT18" s="35">
        <f t="shared" si="96"/>
        <v>891.4005000000001</v>
      </c>
      <c r="CU18" s="35">
        <f t="shared" si="54"/>
        <v>283.73724930000003</v>
      </c>
      <c r="CV18" s="5">
        <f t="shared" si="55"/>
        <v>1175.1377493</v>
      </c>
      <c r="CW18" s="35">
        <f t="shared" si="56"/>
        <v>38.5979046</v>
      </c>
      <c r="CY18" s="35">
        <f t="shared" si="97"/>
        <v>26398.7775</v>
      </c>
      <c r="CZ18" s="35">
        <f t="shared" si="57"/>
        <v>8402.8632615</v>
      </c>
      <c r="DA18" s="5">
        <f t="shared" si="58"/>
        <v>34801.6407615</v>
      </c>
      <c r="DB18" s="35">
        <f t="shared" si="59"/>
        <v>1143.074853</v>
      </c>
      <c r="DD18" s="35">
        <f t="shared" si="98"/>
        <v>24694.2855</v>
      </c>
      <c r="DE18" s="35">
        <f t="shared" si="60"/>
        <v>7860.3149103</v>
      </c>
      <c r="DF18" s="5">
        <f t="shared" si="61"/>
        <v>32554.6004103</v>
      </c>
      <c r="DG18" s="35">
        <f t="shared" si="62"/>
        <v>1069.2698466</v>
      </c>
      <c r="DI18" s="35">
        <f t="shared" si="99"/>
        <v>37676.290499999996</v>
      </c>
      <c r="DJ18" s="35">
        <f t="shared" si="63"/>
        <v>11992.5522033</v>
      </c>
      <c r="DK18" s="5">
        <f t="shared" si="64"/>
        <v>49668.8427033</v>
      </c>
      <c r="DL18" s="35">
        <f t="shared" si="65"/>
        <v>1631.3944926</v>
      </c>
      <c r="DN18" s="35">
        <f t="shared" si="100"/>
        <v>43164.0225</v>
      </c>
      <c r="DO18" s="35">
        <f t="shared" si="66"/>
        <v>13739.3248185</v>
      </c>
      <c r="DP18" s="5">
        <f t="shared" si="67"/>
        <v>56903.3473185</v>
      </c>
      <c r="DQ18" s="35">
        <f t="shared" si="68"/>
        <v>1869.014907</v>
      </c>
      <c r="DS18" s="35">
        <f t="shared" si="101"/>
        <v>23515.5825</v>
      </c>
      <c r="DT18" s="35">
        <f t="shared" si="69"/>
        <v>7485.1278345</v>
      </c>
      <c r="DU18" s="35">
        <f t="shared" si="70"/>
        <v>31000.7103345</v>
      </c>
      <c r="DV18" s="35">
        <f t="shared" si="71"/>
        <v>1018.231659</v>
      </c>
      <c r="DX18" s="35">
        <f t="shared" si="102"/>
        <v>35702.802</v>
      </c>
      <c r="DY18" s="35">
        <f t="shared" si="72"/>
        <v>11364.3809172</v>
      </c>
      <c r="DZ18" s="35">
        <f t="shared" si="73"/>
        <v>47067.1829172</v>
      </c>
      <c r="EA18" s="35">
        <f t="shared" si="74"/>
        <v>1545.9418584</v>
      </c>
      <c r="EC18" s="35">
        <f t="shared" si="103"/>
        <v>10565.613</v>
      </c>
      <c r="ED18" s="35">
        <f t="shared" si="75"/>
        <v>3363.0876018</v>
      </c>
      <c r="EE18" s="35">
        <f t="shared" si="76"/>
        <v>13928.7006018</v>
      </c>
      <c r="EF18" s="35">
        <f t="shared" si="77"/>
        <v>457.4941596</v>
      </c>
    </row>
    <row r="19" spans="1:136" ht="12.75">
      <c r="A19" s="36">
        <v>46296</v>
      </c>
      <c r="D19" s="3">
        <v>1491456</v>
      </c>
      <c r="E19" s="34">
        <f t="shared" si="0"/>
        <v>1491456</v>
      </c>
      <c r="F19" s="34">
        <v>220182</v>
      </c>
      <c r="H19" s="43"/>
      <c r="I19" s="35">
        <f t="shared" si="1"/>
        <v>429677.8842624001</v>
      </c>
      <c r="J19" s="35">
        <f t="shared" si="2"/>
        <v>429677.8842624001</v>
      </c>
      <c r="K19" s="35">
        <f t="shared" si="1"/>
        <v>63432.870907799996</v>
      </c>
      <c r="M19" s="35"/>
      <c r="N19" s="35">
        <f t="shared" si="3"/>
        <v>152138.0573184</v>
      </c>
      <c r="O19" s="5">
        <f t="shared" si="4"/>
        <v>152138.0573184</v>
      </c>
      <c r="P19" s="35">
        <f t="shared" si="5"/>
        <v>22459.973164799998</v>
      </c>
      <c r="R19" s="35"/>
      <c r="S19" s="35">
        <f t="shared" si="6"/>
        <v>11357.43744</v>
      </c>
      <c r="T19" s="5">
        <f t="shared" si="7"/>
        <v>11357.43744</v>
      </c>
      <c r="U19" s="35">
        <f t="shared" si="8"/>
        <v>1676.68593</v>
      </c>
      <c r="W19" s="35"/>
      <c r="X19" s="35">
        <f t="shared" si="9"/>
        <v>116612.470272</v>
      </c>
      <c r="Y19" s="5">
        <f t="shared" si="10"/>
        <v>116612.470272</v>
      </c>
      <c r="Z19" s="35">
        <f t="shared" si="11"/>
        <v>17215.370034000003</v>
      </c>
      <c r="AB19" s="35"/>
      <c r="AC19" s="35">
        <f t="shared" si="12"/>
        <v>6071.2699392</v>
      </c>
      <c r="AD19" s="5">
        <f t="shared" si="13"/>
        <v>6071.2699392</v>
      </c>
      <c r="AE19" s="35">
        <f t="shared" si="14"/>
        <v>896.2948674</v>
      </c>
      <c r="AG19" s="35"/>
      <c r="AH19" s="35">
        <f t="shared" si="15"/>
        <v>368.6879232</v>
      </c>
      <c r="AI19" s="5">
        <f t="shared" si="16"/>
        <v>368.6879232</v>
      </c>
      <c r="AJ19" s="35">
        <f t="shared" si="17"/>
        <v>54.428990399999996</v>
      </c>
      <c r="AL19" s="35"/>
      <c r="AM19" s="35">
        <f t="shared" si="18"/>
        <v>506.94589440000004</v>
      </c>
      <c r="AN19" s="5">
        <f t="shared" si="19"/>
        <v>506.94589440000004</v>
      </c>
      <c r="AO19" s="35">
        <f t="shared" si="20"/>
        <v>74.83986180000001</v>
      </c>
      <c r="AQ19" s="35"/>
      <c r="AR19" s="35">
        <f t="shared" si="21"/>
        <v>26758.957823999997</v>
      </c>
      <c r="AS19" s="5">
        <f t="shared" si="22"/>
        <v>26758.957823999997</v>
      </c>
      <c r="AT19" s="35">
        <f t="shared" si="23"/>
        <v>3950.395353</v>
      </c>
      <c r="AV19" s="35"/>
      <c r="AW19" s="35">
        <f t="shared" si="24"/>
        <v>41.462476800000005</v>
      </c>
      <c r="AX19" s="5">
        <f t="shared" si="25"/>
        <v>41.462476800000005</v>
      </c>
      <c r="AY19" s="35">
        <f t="shared" si="26"/>
        <v>6.121059600000001</v>
      </c>
      <c r="BA19" s="35"/>
      <c r="BB19" s="35">
        <f t="shared" si="27"/>
        <v>618.8050944</v>
      </c>
      <c r="BC19" s="5">
        <f t="shared" si="28"/>
        <v>618.8050944</v>
      </c>
      <c r="BD19" s="35">
        <f t="shared" si="29"/>
        <v>91.3535118</v>
      </c>
      <c r="BF19" s="35"/>
      <c r="BG19" s="35">
        <f t="shared" si="30"/>
        <v>137.0648064</v>
      </c>
      <c r="BH19" s="5">
        <f t="shared" si="31"/>
        <v>137.0648064</v>
      </c>
      <c r="BI19" s="35">
        <f t="shared" si="32"/>
        <v>20.2347258</v>
      </c>
      <c r="BK19" s="35"/>
      <c r="BL19" s="35">
        <f t="shared" si="33"/>
        <v>21606.5739264</v>
      </c>
      <c r="BM19" s="5">
        <f t="shared" si="34"/>
        <v>21606.5739264</v>
      </c>
      <c r="BN19" s="35">
        <f t="shared" si="35"/>
        <v>3189.7546158</v>
      </c>
      <c r="BP19" s="35"/>
      <c r="BQ19" s="35">
        <f t="shared" si="36"/>
        <v>72.18647039999999</v>
      </c>
      <c r="BR19" s="5">
        <f t="shared" si="37"/>
        <v>72.18647039999999</v>
      </c>
      <c r="BS19" s="35">
        <f t="shared" si="38"/>
        <v>10.6568088</v>
      </c>
      <c r="BU19" s="35"/>
      <c r="BV19" s="35">
        <f t="shared" si="39"/>
        <v>18313.588224</v>
      </c>
      <c r="BW19" s="5">
        <f t="shared" si="40"/>
        <v>18313.588224</v>
      </c>
      <c r="BX19" s="35">
        <f t="shared" si="41"/>
        <v>2703.614778</v>
      </c>
      <c r="BZ19" s="35"/>
      <c r="CA19" s="35">
        <f t="shared" si="42"/>
        <v>5398.7724288</v>
      </c>
      <c r="CB19" s="5">
        <f t="shared" si="43"/>
        <v>5398.7724288</v>
      </c>
      <c r="CC19" s="35">
        <f t="shared" si="44"/>
        <v>797.0148035999999</v>
      </c>
      <c r="CE19" s="35"/>
      <c r="CF19" s="35">
        <f t="shared" si="45"/>
        <v>296.3523072</v>
      </c>
      <c r="CG19" s="5">
        <f t="shared" si="46"/>
        <v>296.3523072</v>
      </c>
      <c r="CH19" s="35">
        <f t="shared" si="47"/>
        <v>43.7501634</v>
      </c>
      <c r="CJ19" s="35"/>
      <c r="CK19" s="35">
        <f t="shared" si="48"/>
        <v>14.168832</v>
      </c>
      <c r="CL19" s="5">
        <f t="shared" si="49"/>
        <v>14.168832</v>
      </c>
      <c r="CM19" s="35">
        <f t="shared" si="50"/>
        <v>2.091729</v>
      </c>
      <c r="CO19" s="35"/>
      <c r="CP19" s="35">
        <f t="shared" si="51"/>
        <v>9938.913638400001</v>
      </c>
      <c r="CQ19" s="5">
        <f t="shared" si="52"/>
        <v>9938.913638400001</v>
      </c>
      <c r="CR19" s="35">
        <f t="shared" si="53"/>
        <v>1467.2708298</v>
      </c>
      <c r="CT19" s="35"/>
      <c r="CU19" s="35">
        <f t="shared" si="54"/>
        <v>261.4522368</v>
      </c>
      <c r="CV19" s="5">
        <f t="shared" si="55"/>
        <v>261.4522368</v>
      </c>
      <c r="CW19" s="35">
        <f t="shared" si="56"/>
        <v>38.5979046</v>
      </c>
      <c r="CY19" s="35"/>
      <c r="CZ19" s="35">
        <f t="shared" si="57"/>
        <v>7742.893824</v>
      </c>
      <c r="DA19" s="5">
        <f t="shared" si="58"/>
        <v>7742.893824</v>
      </c>
      <c r="DB19" s="35">
        <f t="shared" si="59"/>
        <v>1143.074853</v>
      </c>
      <c r="DD19" s="35"/>
      <c r="DE19" s="35">
        <f t="shared" si="60"/>
        <v>7242.9577728</v>
      </c>
      <c r="DF19" s="5">
        <f t="shared" si="61"/>
        <v>7242.9577728</v>
      </c>
      <c r="DG19" s="35">
        <f t="shared" si="62"/>
        <v>1069.2698466</v>
      </c>
      <c r="DI19" s="35"/>
      <c r="DJ19" s="35">
        <f t="shared" si="63"/>
        <v>11050.644940799999</v>
      </c>
      <c r="DK19" s="5">
        <f t="shared" si="64"/>
        <v>11050.644940799999</v>
      </c>
      <c r="DL19" s="35">
        <f t="shared" si="65"/>
        <v>1631.3944926</v>
      </c>
      <c r="DN19" s="35"/>
      <c r="DO19" s="35">
        <f t="shared" si="66"/>
        <v>12660.224256</v>
      </c>
      <c r="DP19" s="5">
        <f t="shared" si="67"/>
        <v>12660.224256</v>
      </c>
      <c r="DQ19" s="35">
        <f t="shared" si="68"/>
        <v>1869.014907</v>
      </c>
      <c r="DS19" s="35"/>
      <c r="DT19" s="35">
        <f t="shared" si="69"/>
        <v>6897.2382720000005</v>
      </c>
      <c r="DU19" s="35">
        <f t="shared" si="70"/>
        <v>6897.2382720000005</v>
      </c>
      <c r="DV19" s="35">
        <f t="shared" si="71"/>
        <v>1018.231659</v>
      </c>
      <c r="DX19" s="35"/>
      <c r="DY19" s="35">
        <f t="shared" si="72"/>
        <v>10471.8108672</v>
      </c>
      <c r="DZ19" s="35">
        <f t="shared" si="73"/>
        <v>10471.8108672</v>
      </c>
      <c r="EA19" s="35">
        <f t="shared" si="74"/>
        <v>1545.9418584</v>
      </c>
      <c r="EC19" s="35"/>
      <c r="ED19" s="35">
        <f t="shared" si="75"/>
        <v>3098.9472767999996</v>
      </c>
      <c r="EE19" s="35">
        <f t="shared" si="76"/>
        <v>3098.9472767999996</v>
      </c>
      <c r="EF19" s="35">
        <f t="shared" si="77"/>
        <v>457.4941596</v>
      </c>
    </row>
    <row r="20" spans="1:136" ht="12.75">
      <c r="A20" s="36">
        <v>46478</v>
      </c>
      <c r="C20" s="3">
        <v>5340000</v>
      </c>
      <c r="D20" s="3">
        <v>1491456</v>
      </c>
      <c r="E20" s="34">
        <f t="shared" si="0"/>
        <v>6831456</v>
      </c>
      <c r="F20" s="34">
        <v>220182</v>
      </c>
      <c r="H20" s="43">
        <f t="shared" si="78"/>
        <v>1538416.0860000006</v>
      </c>
      <c r="I20" s="35">
        <f t="shared" si="1"/>
        <v>429677.8842624001</v>
      </c>
      <c r="J20" s="35">
        <f t="shared" si="2"/>
        <v>1968093.9702624008</v>
      </c>
      <c r="K20" s="35">
        <f t="shared" si="1"/>
        <v>63432.870907799996</v>
      </c>
      <c r="M20" s="35">
        <f t="shared" si="79"/>
        <v>544714.176</v>
      </c>
      <c r="N20" s="35">
        <f t="shared" si="3"/>
        <v>152138.0573184</v>
      </c>
      <c r="O20" s="5">
        <f t="shared" si="4"/>
        <v>696852.2333184</v>
      </c>
      <c r="P20" s="35">
        <f t="shared" si="5"/>
        <v>22459.973164799998</v>
      </c>
      <c r="R20" s="35">
        <f t="shared" si="80"/>
        <v>40664.1</v>
      </c>
      <c r="S20" s="35">
        <f t="shared" si="6"/>
        <v>11357.43744</v>
      </c>
      <c r="T20" s="5">
        <f t="shared" si="7"/>
        <v>52021.53744</v>
      </c>
      <c r="U20" s="35">
        <f t="shared" si="8"/>
        <v>1676.68593</v>
      </c>
      <c r="W20" s="35">
        <f t="shared" si="81"/>
        <v>417518.58</v>
      </c>
      <c r="X20" s="35">
        <f t="shared" si="9"/>
        <v>116612.470272</v>
      </c>
      <c r="Y20" s="5">
        <f t="shared" si="10"/>
        <v>534131.050272</v>
      </c>
      <c r="Z20" s="35">
        <f t="shared" si="11"/>
        <v>17215.370034000003</v>
      </c>
      <c r="AB20" s="35">
        <f t="shared" si="82"/>
        <v>21737.538</v>
      </c>
      <c r="AC20" s="35">
        <f t="shared" si="12"/>
        <v>6071.2699392</v>
      </c>
      <c r="AD20" s="5">
        <f t="shared" si="13"/>
        <v>27808.8079392</v>
      </c>
      <c r="AE20" s="35">
        <f t="shared" si="14"/>
        <v>896.2948674</v>
      </c>
      <c r="AG20" s="35">
        <f t="shared" si="83"/>
        <v>1320.048</v>
      </c>
      <c r="AH20" s="35">
        <f t="shared" si="15"/>
        <v>368.6879232</v>
      </c>
      <c r="AI20" s="5">
        <f t="shared" si="16"/>
        <v>1688.7359232</v>
      </c>
      <c r="AJ20" s="35">
        <f t="shared" si="17"/>
        <v>54.428990399999996</v>
      </c>
      <c r="AL20" s="35">
        <f t="shared" si="84"/>
        <v>1815.066</v>
      </c>
      <c r="AM20" s="35">
        <f t="shared" si="18"/>
        <v>506.94589440000004</v>
      </c>
      <c r="AN20" s="5">
        <f t="shared" si="19"/>
        <v>2322.0118944</v>
      </c>
      <c r="AO20" s="35">
        <f t="shared" si="20"/>
        <v>74.83986180000001</v>
      </c>
      <c r="AQ20" s="35">
        <f t="shared" si="85"/>
        <v>95807.61</v>
      </c>
      <c r="AR20" s="35">
        <f t="shared" si="21"/>
        <v>26758.957823999997</v>
      </c>
      <c r="AS20" s="5">
        <f t="shared" si="22"/>
        <v>122566.567824</v>
      </c>
      <c r="AT20" s="35">
        <f t="shared" si="23"/>
        <v>3950.395353</v>
      </c>
      <c r="AV20" s="35">
        <f t="shared" si="86"/>
        <v>148.452</v>
      </c>
      <c r="AW20" s="35">
        <f t="shared" si="24"/>
        <v>41.462476800000005</v>
      </c>
      <c r="AX20" s="5">
        <f t="shared" si="25"/>
        <v>189.9144768</v>
      </c>
      <c r="AY20" s="35">
        <f t="shared" si="26"/>
        <v>6.121059600000001</v>
      </c>
      <c r="BA20" s="35">
        <f t="shared" si="87"/>
        <v>2215.566</v>
      </c>
      <c r="BB20" s="35">
        <f t="shared" si="27"/>
        <v>618.8050944</v>
      </c>
      <c r="BC20" s="5">
        <f t="shared" si="28"/>
        <v>2834.3710944</v>
      </c>
      <c r="BD20" s="35">
        <f t="shared" si="29"/>
        <v>91.3535118</v>
      </c>
      <c r="BF20" s="35">
        <f t="shared" si="88"/>
        <v>490.746</v>
      </c>
      <c r="BG20" s="35">
        <f t="shared" si="30"/>
        <v>137.0648064</v>
      </c>
      <c r="BH20" s="5">
        <f t="shared" si="31"/>
        <v>627.8108064</v>
      </c>
      <c r="BI20" s="35">
        <f t="shared" si="32"/>
        <v>20.2347258</v>
      </c>
      <c r="BK20" s="35">
        <f t="shared" si="89"/>
        <v>77360.046</v>
      </c>
      <c r="BL20" s="35">
        <f t="shared" si="33"/>
        <v>21606.5739264</v>
      </c>
      <c r="BM20" s="5">
        <f t="shared" si="34"/>
        <v>98966.6199264</v>
      </c>
      <c r="BN20" s="35">
        <f t="shared" si="35"/>
        <v>3189.7546158</v>
      </c>
      <c r="BP20" s="35">
        <f t="shared" si="90"/>
        <v>258.45599999999996</v>
      </c>
      <c r="BQ20" s="35">
        <f t="shared" si="36"/>
        <v>72.18647039999999</v>
      </c>
      <c r="BR20" s="5">
        <f t="shared" si="37"/>
        <v>330.6424704</v>
      </c>
      <c r="BS20" s="35">
        <f t="shared" si="38"/>
        <v>10.6568088</v>
      </c>
      <c r="BU20" s="35">
        <f t="shared" si="91"/>
        <v>65569.86</v>
      </c>
      <c r="BV20" s="35">
        <f t="shared" si="39"/>
        <v>18313.588224</v>
      </c>
      <c r="BW20" s="5">
        <f t="shared" si="40"/>
        <v>83883.44822399999</v>
      </c>
      <c r="BX20" s="35">
        <f t="shared" si="41"/>
        <v>2703.614778</v>
      </c>
      <c r="BZ20" s="35">
        <f t="shared" si="92"/>
        <v>19329.732</v>
      </c>
      <c r="CA20" s="35">
        <f t="shared" si="42"/>
        <v>5398.7724288</v>
      </c>
      <c r="CB20" s="5">
        <f t="shared" si="43"/>
        <v>24728.5044288</v>
      </c>
      <c r="CC20" s="35">
        <f t="shared" si="44"/>
        <v>797.0148035999999</v>
      </c>
      <c r="CE20" s="35">
        <f t="shared" si="93"/>
        <v>1061.058</v>
      </c>
      <c r="CF20" s="35">
        <f t="shared" si="45"/>
        <v>296.3523072</v>
      </c>
      <c r="CG20" s="5">
        <f t="shared" si="46"/>
        <v>1357.4103072</v>
      </c>
      <c r="CH20" s="35">
        <f t="shared" si="47"/>
        <v>43.7501634</v>
      </c>
      <c r="CJ20" s="35">
        <f t="shared" si="94"/>
        <v>50.730000000000004</v>
      </c>
      <c r="CK20" s="35">
        <f t="shared" si="48"/>
        <v>14.168832</v>
      </c>
      <c r="CL20" s="5">
        <f t="shared" si="49"/>
        <v>64.898832</v>
      </c>
      <c r="CM20" s="35">
        <f t="shared" si="50"/>
        <v>2.091729</v>
      </c>
      <c r="CO20" s="35">
        <f t="shared" si="95"/>
        <v>35585.226</v>
      </c>
      <c r="CP20" s="35">
        <f t="shared" si="51"/>
        <v>9938.913638400001</v>
      </c>
      <c r="CQ20" s="5">
        <f t="shared" si="52"/>
        <v>45524.1396384</v>
      </c>
      <c r="CR20" s="35">
        <f t="shared" si="53"/>
        <v>1467.2708298</v>
      </c>
      <c r="CT20" s="35">
        <f t="shared" si="96"/>
        <v>936.102</v>
      </c>
      <c r="CU20" s="35">
        <f t="shared" si="54"/>
        <v>261.4522368</v>
      </c>
      <c r="CV20" s="5">
        <f t="shared" si="55"/>
        <v>1197.5542368</v>
      </c>
      <c r="CW20" s="35">
        <f t="shared" si="56"/>
        <v>38.5979046</v>
      </c>
      <c r="CY20" s="35">
        <f t="shared" si="97"/>
        <v>27722.61</v>
      </c>
      <c r="CZ20" s="35">
        <f t="shared" si="57"/>
        <v>7742.893824</v>
      </c>
      <c r="DA20" s="5">
        <f t="shared" si="58"/>
        <v>35465.503824</v>
      </c>
      <c r="DB20" s="35">
        <f t="shared" si="59"/>
        <v>1143.074853</v>
      </c>
      <c r="DD20" s="35">
        <f t="shared" si="98"/>
        <v>25932.642</v>
      </c>
      <c r="DE20" s="35">
        <f t="shared" si="60"/>
        <v>7242.9577728</v>
      </c>
      <c r="DF20" s="5">
        <f t="shared" si="61"/>
        <v>33175.5997728</v>
      </c>
      <c r="DG20" s="35">
        <f t="shared" si="62"/>
        <v>1069.2698466</v>
      </c>
      <c r="DI20" s="35">
        <f t="shared" si="99"/>
        <v>39565.662</v>
      </c>
      <c r="DJ20" s="35">
        <f t="shared" si="63"/>
        <v>11050.644940799999</v>
      </c>
      <c r="DK20" s="5">
        <f t="shared" si="64"/>
        <v>50616.306940799994</v>
      </c>
      <c r="DL20" s="35">
        <f t="shared" si="65"/>
        <v>1631.3944926</v>
      </c>
      <c r="DN20" s="35">
        <f t="shared" si="100"/>
        <v>45328.59</v>
      </c>
      <c r="DO20" s="35">
        <f t="shared" si="66"/>
        <v>12660.224256</v>
      </c>
      <c r="DP20" s="5">
        <f t="shared" si="67"/>
        <v>57988.814256</v>
      </c>
      <c r="DQ20" s="35">
        <f t="shared" si="68"/>
        <v>1869.014907</v>
      </c>
      <c r="DS20" s="35">
        <f t="shared" si="101"/>
        <v>24694.83</v>
      </c>
      <c r="DT20" s="35">
        <f t="shared" si="69"/>
        <v>6897.2382720000005</v>
      </c>
      <c r="DU20" s="35">
        <f t="shared" si="70"/>
        <v>31592.068272000004</v>
      </c>
      <c r="DV20" s="35">
        <f t="shared" si="71"/>
        <v>1018.231659</v>
      </c>
      <c r="DX20" s="35">
        <f t="shared" si="102"/>
        <v>37493.208</v>
      </c>
      <c r="DY20" s="35">
        <f t="shared" si="72"/>
        <v>10471.8108672</v>
      </c>
      <c r="DZ20" s="35">
        <f t="shared" si="73"/>
        <v>47965.0188672</v>
      </c>
      <c r="EA20" s="35">
        <f t="shared" si="74"/>
        <v>1545.9418584</v>
      </c>
      <c r="EC20" s="35">
        <f t="shared" si="103"/>
        <v>11095.452</v>
      </c>
      <c r="ED20" s="35">
        <f t="shared" si="75"/>
        <v>3098.9472767999996</v>
      </c>
      <c r="EE20" s="35">
        <f t="shared" si="76"/>
        <v>14194.399276799999</v>
      </c>
      <c r="EF20" s="35">
        <f t="shared" si="77"/>
        <v>457.4941596</v>
      </c>
    </row>
    <row r="21" spans="1:136" ht="12.75">
      <c r="A21" s="36">
        <v>46661</v>
      </c>
      <c r="D21" s="3">
        <v>1357956</v>
      </c>
      <c r="E21" s="34">
        <f t="shared" si="0"/>
        <v>1357956</v>
      </c>
      <c r="F21" s="34">
        <v>220182</v>
      </c>
      <c r="H21" s="43"/>
      <c r="I21" s="35">
        <f t="shared" si="1"/>
        <v>391217.4821123998</v>
      </c>
      <c r="J21" s="35">
        <f t="shared" si="2"/>
        <v>391217.4821123998</v>
      </c>
      <c r="K21" s="35">
        <f t="shared" si="1"/>
        <v>63432.870907799996</v>
      </c>
      <c r="M21" s="35"/>
      <c r="N21" s="35">
        <f t="shared" si="3"/>
        <v>138520.2029184</v>
      </c>
      <c r="O21" s="5">
        <f t="shared" si="4"/>
        <v>138520.2029184</v>
      </c>
      <c r="P21" s="35">
        <f t="shared" si="5"/>
        <v>22459.973164799998</v>
      </c>
      <c r="R21" s="35"/>
      <c r="S21" s="35">
        <f t="shared" si="6"/>
        <v>10340.83494</v>
      </c>
      <c r="T21" s="5">
        <f t="shared" si="7"/>
        <v>10340.83494</v>
      </c>
      <c r="U21" s="35">
        <f t="shared" si="8"/>
        <v>1676.68593</v>
      </c>
      <c r="W21" s="35"/>
      <c r="X21" s="35">
        <f t="shared" si="9"/>
        <v>106174.505772</v>
      </c>
      <c r="Y21" s="5">
        <f t="shared" si="10"/>
        <v>106174.505772</v>
      </c>
      <c r="Z21" s="35">
        <f t="shared" si="11"/>
        <v>17215.370034000003</v>
      </c>
      <c r="AB21" s="35"/>
      <c r="AC21" s="35">
        <f t="shared" si="12"/>
        <v>5527.8314892</v>
      </c>
      <c r="AD21" s="5">
        <f t="shared" si="13"/>
        <v>5527.8314892</v>
      </c>
      <c r="AE21" s="35">
        <f t="shared" si="14"/>
        <v>896.2948674</v>
      </c>
      <c r="AG21" s="35"/>
      <c r="AH21" s="35">
        <f t="shared" si="15"/>
        <v>335.68672319999996</v>
      </c>
      <c r="AI21" s="5">
        <f t="shared" si="16"/>
        <v>335.68672319999996</v>
      </c>
      <c r="AJ21" s="35">
        <f t="shared" si="17"/>
        <v>54.428990399999996</v>
      </c>
      <c r="AL21" s="35"/>
      <c r="AM21" s="35">
        <f t="shared" si="18"/>
        <v>461.5692444</v>
      </c>
      <c r="AN21" s="5">
        <f t="shared" si="19"/>
        <v>461.5692444</v>
      </c>
      <c r="AO21" s="35">
        <f t="shared" si="20"/>
        <v>74.83986180000001</v>
      </c>
      <c r="AQ21" s="35"/>
      <c r="AR21" s="35">
        <f t="shared" si="21"/>
        <v>24363.767573999998</v>
      </c>
      <c r="AS21" s="5">
        <f t="shared" si="22"/>
        <v>24363.767573999998</v>
      </c>
      <c r="AT21" s="35">
        <f t="shared" si="23"/>
        <v>3950.395353</v>
      </c>
      <c r="AV21" s="35"/>
      <c r="AW21" s="35">
        <f t="shared" si="24"/>
        <v>37.7511768</v>
      </c>
      <c r="AX21" s="5">
        <f t="shared" si="25"/>
        <v>37.7511768</v>
      </c>
      <c r="AY21" s="35">
        <f t="shared" si="26"/>
        <v>6.121059600000001</v>
      </c>
      <c r="BA21" s="35"/>
      <c r="BB21" s="35">
        <f t="shared" si="27"/>
        <v>563.4159444000001</v>
      </c>
      <c r="BC21" s="5">
        <f t="shared" si="28"/>
        <v>563.4159444000001</v>
      </c>
      <c r="BD21" s="35">
        <f t="shared" si="29"/>
        <v>91.3535118</v>
      </c>
      <c r="BF21" s="35"/>
      <c r="BG21" s="35">
        <f t="shared" si="30"/>
        <v>124.7961564</v>
      </c>
      <c r="BH21" s="5">
        <f t="shared" si="31"/>
        <v>124.7961564</v>
      </c>
      <c r="BI21" s="35">
        <f t="shared" si="32"/>
        <v>20.2347258</v>
      </c>
      <c r="BK21" s="35"/>
      <c r="BL21" s="35">
        <f t="shared" si="33"/>
        <v>19672.5727764</v>
      </c>
      <c r="BM21" s="5">
        <f t="shared" si="34"/>
        <v>19672.5727764</v>
      </c>
      <c r="BN21" s="35">
        <f t="shared" si="35"/>
        <v>3189.7546158</v>
      </c>
      <c r="BP21" s="35"/>
      <c r="BQ21" s="35">
        <f t="shared" si="36"/>
        <v>65.72507039999999</v>
      </c>
      <c r="BR21" s="5">
        <f t="shared" si="37"/>
        <v>65.72507039999999</v>
      </c>
      <c r="BS21" s="35">
        <f t="shared" si="38"/>
        <v>10.6568088</v>
      </c>
      <c r="BU21" s="35"/>
      <c r="BV21" s="35">
        <f t="shared" si="39"/>
        <v>16674.341724</v>
      </c>
      <c r="BW21" s="5">
        <f t="shared" si="40"/>
        <v>16674.341724</v>
      </c>
      <c r="BX21" s="35">
        <f t="shared" si="41"/>
        <v>2703.614778</v>
      </c>
      <c r="BZ21" s="35"/>
      <c r="CA21" s="35">
        <f t="shared" si="42"/>
        <v>4915.5291288</v>
      </c>
      <c r="CB21" s="5">
        <f t="shared" si="43"/>
        <v>4915.5291288</v>
      </c>
      <c r="CC21" s="35">
        <f t="shared" si="44"/>
        <v>797.0148035999999</v>
      </c>
      <c r="CE21" s="35"/>
      <c r="CF21" s="35">
        <f t="shared" si="45"/>
        <v>269.82585720000003</v>
      </c>
      <c r="CG21" s="5">
        <f t="shared" si="46"/>
        <v>269.82585720000003</v>
      </c>
      <c r="CH21" s="35">
        <f t="shared" si="47"/>
        <v>43.7501634</v>
      </c>
      <c r="CJ21" s="35"/>
      <c r="CK21" s="35">
        <f t="shared" si="48"/>
        <v>12.900582</v>
      </c>
      <c r="CL21" s="5">
        <f t="shared" si="49"/>
        <v>12.900582</v>
      </c>
      <c r="CM21" s="35">
        <f t="shared" si="50"/>
        <v>2.091729</v>
      </c>
      <c r="CO21" s="35"/>
      <c r="CP21" s="35">
        <f t="shared" si="51"/>
        <v>9049.2829884</v>
      </c>
      <c r="CQ21" s="5">
        <f t="shared" si="52"/>
        <v>9049.2829884</v>
      </c>
      <c r="CR21" s="35">
        <f t="shared" si="53"/>
        <v>1467.2708298</v>
      </c>
      <c r="CT21" s="35"/>
      <c r="CU21" s="35">
        <f t="shared" si="54"/>
        <v>238.04968680000002</v>
      </c>
      <c r="CV21" s="5">
        <f t="shared" si="55"/>
        <v>238.04968680000002</v>
      </c>
      <c r="CW21" s="35">
        <f t="shared" si="56"/>
        <v>38.5979046</v>
      </c>
      <c r="CY21" s="35"/>
      <c r="CZ21" s="35">
        <f t="shared" si="57"/>
        <v>7049.828574</v>
      </c>
      <c r="DA21" s="5">
        <f t="shared" si="58"/>
        <v>7049.828574</v>
      </c>
      <c r="DB21" s="35">
        <f t="shared" si="59"/>
        <v>1143.074853</v>
      </c>
      <c r="DD21" s="35"/>
      <c r="DE21" s="35">
        <f t="shared" si="60"/>
        <v>6594.6417228</v>
      </c>
      <c r="DF21" s="5">
        <f t="shared" si="61"/>
        <v>6594.6417228</v>
      </c>
      <c r="DG21" s="35">
        <f t="shared" si="62"/>
        <v>1069.2698466</v>
      </c>
      <c r="DI21" s="35"/>
      <c r="DJ21" s="35">
        <f t="shared" si="63"/>
        <v>10061.5033908</v>
      </c>
      <c r="DK21" s="5">
        <f t="shared" si="64"/>
        <v>10061.5033908</v>
      </c>
      <c r="DL21" s="35">
        <f t="shared" si="65"/>
        <v>1631.3944926</v>
      </c>
      <c r="DN21" s="35"/>
      <c r="DO21" s="35">
        <f t="shared" si="66"/>
        <v>11527.009505999999</v>
      </c>
      <c r="DP21" s="5">
        <f t="shared" si="67"/>
        <v>11527.009505999999</v>
      </c>
      <c r="DQ21" s="35">
        <f t="shared" si="68"/>
        <v>1869.014907</v>
      </c>
      <c r="DS21" s="35"/>
      <c r="DT21" s="35">
        <f t="shared" si="69"/>
        <v>6279.8675220000005</v>
      </c>
      <c r="DU21" s="35">
        <f t="shared" si="70"/>
        <v>6279.8675220000005</v>
      </c>
      <c r="DV21" s="35">
        <f t="shared" si="71"/>
        <v>1018.231659</v>
      </c>
      <c r="DX21" s="35"/>
      <c r="DY21" s="35">
        <f t="shared" si="72"/>
        <v>9534.4806672</v>
      </c>
      <c r="DZ21" s="35">
        <f t="shared" si="73"/>
        <v>9534.4806672</v>
      </c>
      <c r="EA21" s="35">
        <f t="shared" si="74"/>
        <v>1545.9418584</v>
      </c>
      <c r="EC21" s="35"/>
      <c r="ED21" s="35">
        <f t="shared" si="75"/>
        <v>2821.5609768</v>
      </c>
      <c r="EE21" s="35">
        <f t="shared" si="76"/>
        <v>2821.5609768</v>
      </c>
      <c r="EF21" s="35">
        <f t="shared" si="77"/>
        <v>457.4941596</v>
      </c>
    </row>
    <row r="22" spans="1:136" ht="12.75">
      <c r="A22" s="36">
        <v>46844</v>
      </c>
      <c r="C22" s="3">
        <v>5610000</v>
      </c>
      <c r="D22" s="3">
        <v>1357956</v>
      </c>
      <c r="E22" s="34">
        <f t="shared" si="0"/>
        <v>6967956</v>
      </c>
      <c r="F22" s="34">
        <v>220182</v>
      </c>
      <c r="H22" s="43">
        <f t="shared" si="78"/>
        <v>1616201.169</v>
      </c>
      <c r="I22" s="35">
        <f t="shared" si="1"/>
        <v>391217.4821123998</v>
      </c>
      <c r="J22" s="35">
        <f t="shared" si="2"/>
        <v>2007418.6511123998</v>
      </c>
      <c r="K22" s="35">
        <f t="shared" si="1"/>
        <v>63432.870907799996</v>
      </c>
      <c r="M22" s="35">
        <f t="shared" si="79"/>
        <v>572255.904</v>
      </c>
      <c r="N22" s="35">
        <f t="shared" si="3"/>
        <v>138520.2029184</v>
      </c>
      <c r="O22" s="5">
        <f t="shared" si="4"/>
        <v>710776.1069183999</v>
      </c>
      <c r="P22" s="35">
        <f t="shared" si="5"/>
        <v>22459.973164799998</v>
      </c>
      <c r="R22" s="35">
        <f t="shared" si="80"/>
        <v>42720.15</v>
      </c>
      <c r="S22" s="35">
        <f t="shared" si="6"/>
        <v>10340.83494</v>
      </c>
      <c r="T22" s="5">
        <f t="shared" si="7"/>
        <v>53060.98494</v>
      </c>
      <c r="U22" s="35">
        <f t="shared" si="8"/>
        <v>1676.68593</v>
      </c>
      <c r="W22" s="35">
        <f t="shared" si="81"/>
        <v>438629.07000000007</v>
      </c>
      <c r="X22" s="35">
        <f t="shared" si="9"/>
        <v>106174.505772</v>
      </c>
      <c r="Y22" s="5">
        <f t="shared" si="10"/>
        <v>544803.575772</v>
      </c>
      <c r="Z22" s="35">
        <f t="shared" si="11"/>
        <v>17215.370034000003</v>
      </c>
      <c r="AB22" s="35">
        <f t="shared" si="82"/>
        <v>22836.627</v>
      </c>
      <c r="AC22" s="35">
        <f t="shared" si="12"/>
        <v>5527.8314892</v>
      </c>
      <c r="AD22" s="5">
        <f t="shared" si="13"/>
        <v>28364.4584892</v>
      </c>
      <c r="AE22" s="35">
        <f t="shared" si="14"/>
        <v>896.2948674</v>
      </c>
      <c r="AG22" s="35">
        <f t="shared" si="83"/>
        <v>1386.792</v>
      </c>
      <c r="AH22" s="35">
        <f t="shared" si="15"/>
        <v>335.68672319999996</v>
      </c>
      <c r="AI22" s="5">
        <f t="shared" si="16"/>
        <v>1722.4787231999999</v>
      </c>
      <c r="AJ22" s="35">
        <f t="shared" si="17"/>
        <v>54.428990399999996</v>
      </c>
      <c r="AL22" s="35">
        <f t="shared" si="84"/>
        <v>1906.8390000000002</v>
      </c>
      <c r="AM22" s="35">
        <f t="shared" si="18"/>
        <v>461.5692444</v>
      </c>
      <c r="AN22" s="5">
        <f t="shared" si="19"/>
        <v>2368.4082444</v>
      </c>
      <c r="AO22" s="35">
        <f t="shared" si="20"/>
        <v>74.83986180000001</v>
      </c>
      <c r="AQ22" s="35">
        <f t="shared" si="85"/>
        <v>100651.81499999999</v>
      </c>
      <c r="AR22" s="35">
        <f t="shared" si="21"/>
        <v>24363.767573999998</v>
      </c>
      <c r="AS22" s="5">
        <f t="shared" si="22"/>
        <v>125015.58257399999</v>
      </c>
      <c r="AT22" s="35">
        <f t="shared" si="23"/>
        <v>3950.395353</v>
      </c>
      <c r="AV22" s="35">
        <f t="shared" si="86"/>
        <v>155.958</v>
      </c>
      <c r="AW22" s="35">
        <f t="shared" si="24"/>
        <v>37.7511768</v>
      </c>
      <c r="AX22" s="5">
        <f t="shared" si="25"/>
        <v>193.7091768</v>
      </c>
      <c r="AY22" s="35">
        <f t="shared" si="26"/>
        <v>6.121059600000001</v>
      </c>
      <c r="BA22" s="35">
        <f t="shared" si="87"/>
        <v>2327.589</v>
      </c>
      <c r="BB22" s="35">
        <f t="shared" si="27"/>
        <v>563.4159444000001</v>
      </c>
      <c r="BC22" s="5">
        <f t="shared" si="28"/>
        <v>2891.0049444</v>
      </c>
      <c r="BD22" s="35">
        <f t="shared" si="29"/>
        <v>91.3535118</v>
      </c>
      <c r="BF22" s="35">
        <f t="shared" si="88"/>
        <v>515.559</v>
      </c>
      <c r="BG22" s="35">
        <f t="shared" si="30"/>
        <v>124.7961564</v>
      </c>
      <c r="BH22" s="5">
        <f t="shared" si="31"/>
        <v>640.3551563999999</v>
      </c>
      <c r="BI22" s="35">
        <f t="shared" si="32"/>
        <v>20.2347258</v>
      </c>
      <c r="BK22" s="35">
        <f t="shared" si="89"/>
        <v>81271.509</v>
      </c>
      <c r="BL22" s="35">
        <f t="shared" si="33"/>
        <v>19672.5727764</v>
      </c>
      <c r="BM22" s="5">
        <f t="shared" si="34"/>
        <v>100944.08177640001</v>
      </c>
      <c r="BN22" s="35">
        <f t="shared" si="35"/>
        <v>3189.7546158</v>
      </c>
      <c r="BP22" s="35">
        <f t="shared" si="90"/>
        <v>271.524</v>
      </c>
      <c r="BQ22" s="35">
        <f t="shared" si="36"/>
        <v>65.72507039999999</v>
      </c>
      <c r="BR22" s="5">
        <f t="shared" si="37"/>
        <v>337.2490704</v>
      </c>
      <c r="BS22" s="35">
        <f t="shared" si="38"/>
        <v>10.6568088</v>
      </c>
      <c r="BU22" s="35">
        <f t="shared" si="91"/>
        <v>68885.19</v>
      </c>
      <c r="BV22" s="35">
        <f t="shared" si="39"/>
        <v>16674.341724</v>
      </c>
      <c r="BW22" s="5">
        <f t="shared" si="40"/>
        <v>85559.531724</v>
      </c>
      <c r="BX22" s="35">
        <f t="shared" si="41"/>
        <v>2703.614778</v>
      </c>
      <c r="BZ22" s="35">
        <f t="shared" si="92"/>
        <v>20307.077999999998</v>
      </c>
      <c r="CA22" s="35">
        <f t="shared" si="42"/>
        <v>4915.5291288</v>
      </c>
      <c r="CB22" s="5">
        <f t="shared" si="43"/>
        <v>25222.6071288</v>
      </c>
      <c r="CC22" s="35">
        <f t="shared" si="44"/>
        <v>797.0148035999999</v>
      </c>
      <c r="CE22" s="35">
        <f t="shared" si="93"/>
        <v>1114.707</v>
      </c>
      <c r="CF22" s="35">
        <f t="shared" si="45"/>
        <v>269.82585720000003</v>
      </c>
      <c r="CG22" s="5">
        <f t="shared" si="46"/>
        <v>1384.5328572</v>
      </c>
      <c r="CH22" s="35">
        <f t="shared" si="47"/>
        <v>43.7501634</v>
      </c>
      <c r="CJ22" s="35">
        <f t="shared" si="94"/>
        <v>53.295</v>
      </c>
      <c r="CK22" s="35">
        <f t="shared" si="48"/>
        <v>12.900582</v>
      </c>
      <c r="CL22" s="5">
        <f t="shared" si="49"/>
        <v>66.195582</v>
      </c>
      <c r="CM22" s="35">
        <f t="shared" si="50"/>
        <v>2.091729</v>
      </c>
      <c r="CO22" s="35">
        <f t="shared" si="95"/>
        <v>37384.479</v>
      </c>
      <c r="CP22" s="35">
        <f t="shared" si="51"/>
        <v>9049.2829884</v>
      </c>
      <c r="CQ22" s="5">
        <f t="shared" si="52"/>
        <v>46433.7619884</v>
      </c>
      <c r="CR22" s="35">
        <f t="shared" si="53"/>
        <v>1467.2708298</v>
      </c>
      <c r="CT22" s="35">
        <f t="shared" si="96"/>
        <v>983.433</v>
      </c>
      <c r="CU22" s="35">
        <f t="shared" si="54"/>
        <v>238.04968680000002</v>
      </c>
      <c r="CV22" s="5">
        <f t="shared" si="55"/>
        <v>1221.4826868</v>
      </c>
      <c r="CW22" s="35">
        <f t="shared" si="56"/>
        <v>38.5979046</v>
      </c>
      <c r="CY22" s="35">
        <f t="shared" si="97"/>
        <v>29124.315</v>
      </c>
      <c r="CZ22" s="35">
        <f t="shared" si="57"/>
        <v>7049.828574</v>
      </c>
      <c r="DA22" s="5">
        <f t="shared" si="58"/>
        <v>36174.143574</v>
      </c>
      <c r="DB22" s="35">
        <f t="shared" si="59"/>
        <v>1143.074853</v>
      </c>
      <c r="DD22" s="35">
        <f t="shared" si="98"/>
        <v>27243.843</v>
      </c>
      <c r="DE22" s="35">
        <f t="shared" si="60"/>
        <v>6594.6417228</v>
      </c>
      <c r="DF22" s="5">
        <f t="shared" si="61"/>
        <v>33838.4847228</v>
      </c>
      <c r="DG22" s="35">
        <f t="shared" si="62"/>
        <v>1069.2698466</v>
      </c>
      <c r="DI22" s="35">
        <f t="shared" si="99"/>
        <v>41566.172999999995</v>
      </c>
      <c r="DJ22" s="35">
        <f t="shared" si="63"/>
        <v>10061.5033908</v>
      </c>
      <c r="DK22" s="5">
        <f t="shared" si="64"/>
        <v>51627.6763908</v>
      </c>
      <c r="DL22" s="35">
        <f t="shared" si="65"/>
        <v>1631.3944926</v>
      </c>
      <c r="DN22" s="35">
        <f t="shared" si="100"/>
        <v>47620.485</v>
      </c>
      <c r="DO22" s="35">
        <f t="shared" si="66"/>
        <v>11527.009505999999</v>
      </c>
      <c r="DP22" s="5">
        <f t="shared" si="67"/>
        <v>59147.494506</v>
      </c>
      <c r="DQ22" s="35">
        <f t="shared" si="68"/>
        <v>1869.014907</v>
      </c>
      <c r="DS22" s="35">
        <f t="shared" si="101"/>
        <v>25943.445</v>
      </c>
      <c r="DT22" s="35">
        <f t="shared" si="69"/>
        <v>6279.8675220000005</v>
      </c>
      <c r="DU22" s="35">
        <f t="shared" si="70"/>
        <v>32223.312522</v>
      </c>
      <c r="DV22" s="35">
        <f t="shared" si="71"/>
        <v>1018.231659</v>
      </c>
      <c r="DX22" s="35">
        <f t="shared" si="102"/>
        <v>39388.932</v>
      </c>
      <c r="DY22" s="35">
        <f t="shared" si="72"/>
        <v>9534.4806672</v>
      </c>
      <c r="DZ22" s="35">
        <f t="shared" si="73"/>
        <v>48923.4126672</v>
      </c>
      <c r="EA22" s="35">
        <f t="shared" si="74"/>
        <v>1545.9418584</v>
      </c>
      <c r="EC22" s="35">
        <f t="shared" si="103"/>
        <v>11656.457999999999</v>
      </c>
      <c r="ED22" s="35">
        <f t="shared" si="75"/>
        <v>2821.5609768</v>
      </c>
      <c r="EE22" s="35">
        <f t="shared" si="76"/>
        <v>14478.018976799998</v>
      </c>
      <c r="EF22" s="35">
        <f t="shared" si="77"/>
        <v>457.4941596</v>
      </c>
    </row>
    <row r="23" spans="1:136" ht="12.75">
      <c r="A23" s="36">
        <v>47027</v>
      </c>
      <c r="D23" s="3">
        <v>1217706</v>
      </c>
      <c r="E23" s="34">
        <f t="shared" si="0"/>
        <v>1217706</v>
      </c>
      <c r="F23" s="34">
        <v>220182</v>
      </c>
      <c r="H23" s="43"/>
      <c r="I23" s="35">
        <f t="shared" si="1"/>
        <v>350812.45288739994</v>
      </c>
      <c r="J23" s="35">
        <f t="shared" si="2"/>
        <v>350812.45288739994</v>
      </c>
      <c r="K23" s="35">
        <f t="shared" si="1"/>
        <v>63432.870907799996</v>
      </c>
      <c r="M23" s="35"/>
      <c r="N23" s="35">
        <f t="shared" si="3"/>
        <v>124213.8053184</v>
      </c>
      <c r="O23" s="5">
        <f t="shared" si="4"/>
        <v>124213.8053184</v>
      </c>
      <c r="P23" s="35">
        <f t="shared" si="5"/>
        <v>22459.973164799998</v>
      </c>
      <c r="R23" s="35"/>
      <c r="S23" s="35">
        <f t="shared" si="6"/>
        <v>9272.83119</v>
      </c>
      <c r="T23" s="5">
        <f t="shared" si="7"/>
        <v>9272.83119</v>
      </c>
      <c r="U23" s="35">
        <f t="shared" si="8"/>
        <v>1676.68593</v>
      </c>
      <c r="W23" s="35"/>
      <c r="X23" s="35">
        <f t="shared" si="9"/>
        <v>95208.779022</v>
      </c>
      <c r="Y23" s="5">
        <f t="shared" si="10"/>
        <v>95208.779022</v>
      </c>
      <c r="Z23" s="35">
        <f t="shared" si="11"/>
        <v>17215.370034000003</v>
      </c>
      <c r="AB23" s="35"/>
      <c r="AC23" s="35">
        <f t="shared" si="12"/>
        <v>4956.9158142</v>
      </c>
      <c r="AD23" s="5">
        <f t="shared" si="13"/>
        <v>4956.9158142</v>
      </c>
      <c r="AE23" s="35">
        <f t="shared" si="14"/>
        <v>896.2948674</v>
      </c>
      <c r="AG23" s="35"/>
      <c r="AH23" s="35">
        <f t="shared" si="15"/>
        <v>301.0169232</v>
      </c>
      <c r="AI23" s="5">
        <f t="shared" si="16"/>
        <v>301.0169232</v>
      </c>
      <c r="AJ23" s="35">
        <f t="shared" si="17"/>
        <v>54.428990399999996</v>
      </c>
      <c r="AL23" s="35"/>
      <c r="AM23" s="35">
        <f t="shared" si="18"/>
        <v>413.8982694</v>
      </c>
      <c r="AN23" s="5">
        <f t="shared" si="19"/>
        <v>413.8982694</v>
      </c>
      <c r="AO23" s="35">
        <f t="shared" si="20"/>
        <v>74.83986180000001</v>
      </c>
      <c r="AQ23" s="35"/>
      <c r="AR23" s="35">
        <f t="shared" si="21"/>
        <v>21847.472199</v>
      </c>
      <c r="AS23" s="5">
        <f t="shared" si="22"/>
        <v>21847.472199</v>
      </c>
      <c r="AT23" s="35">
        <f t="shared" si="23"/>
        <v>3950.395353</v>
      </c>
      <c r="AV23" s="35"/>
      <c r="AW23" s="35">
        <f t="shared" si="24"/>
        <v>33.852226800000004</v>
      </c>
      <c r="AX23" s="5">
        <f t="shared" si="25"/>
        <v>33.852226800000004</v>
      </c>
      <c r="AY23" s="35">
        <f t="shared" si="26"/>
        <v>6.121059600000001</v>
      </c>
      <c r="BA23" s="35"/>
      <c r="BB23" s="35">
        <f t="shared" si="27"/>
        <v>505.2262194</v>
      </c>
      <c r="BC23" s="5">
        <f t="shared" si="28"/>
        <v>505.2262194</v>
      </c>
      <c r="BD23" s="35">
        <f t="shared" si="29"/>
        <v>91.3535118</v>
      </c>
      <c r="BF23" s="35"/>
      <c r="BG23" s="35">
        <f t="shared" si="30"/>
        <v>111.9071814</v>
      </c>
      <c r="BH23" s="5">
        <f t="shared" si="31"/>
        <v>111.9071814</v>
      </c>
      <c r="BI23" s="35">
        <f t="shared" si="32"/>
        <v>20.2347258</v>
      </c>
      <c r="BK23" s="35"/>
      <c r="BL23" s="35">
        <f t="shared" si="33"/>
        <v>17640.785051400002</v>
      </c>
      <c r="BM23" s="5">
        <f t="shared" si="34"/>
        <v>17640.785051400002</v>
      </c>
      <c r="BN23" s="35">
        <f t="shared" si="35"/>
        <v>3189.7546158</v>
      </c>
      <c r="BP23" s="35"/>
      <c r="BQ23" s="35">
        <f t="shared" si="36"/>
        <v>58.9369704</v>
      </c>
      <c r="BR23" s="5">
        <f t="shared" si="37"/>
        <v>58.9369704</v>
      </c>
      <c r="BS23" s="35">
        <f t="shared" si="38"/>
        <v>10.6568088</v>
      </c>
      <c r="BU23" s="35"/>
      <c r="BV23" s="35">
        <f t="shared" si="39"/>
        <v>14952.211974</v>
      </c>
      <c r="BW23" s="5">
        <f t="shared" si="40"/>
        <v>14952.211974</v>
      </c>
      <c r="BX23" s="35">
        <f t="shared" si="41"/>
        <v>2703.614778</v>
      </c>
      <c r="BZ23" s="35"/>
      <c r="CA23" s="35">
        <f t="shared" si="42"/>
        <v>4407.8521788</v>
      </c>
      <c r="CB23" s="5">
        <f t="shared" si="43"/>
        <v>4407.8521788</v>
      </c>
      <c r="CC23" s="35">
        <f t="shared" si="44"/>
        <v>797.0148035999999</v>
      </c>
      <c r="CE23" s="35"/>
      <c r="CF23" s="35">
        <f t="shared" si="45"/>
        <v>241.9581822</v>
      </c>
      <c r="CG23" s="5">
        <f t="shared" si="46"/>
        <v>241.9581822</v>
      </c>
      <c r="CH23" s="35">
        <f t="shared" si="47"/>
        <v>43.7501634</v>
      </c>
      <c r="CJ23" s="35"/>
      <c r="CK23" s="35">
        <f t="shared" si="48"/>
        <v>11.568207000000001</v>
      </c>
      <c r="CL23" s="5">
        <f t="shared" si="49"/>
        <v>11.568207000000001</v>
      </c>
      <c r="CM23" s="35">
        <f t="shared" si="50"/>
        <v>2.091729</v>
      </c>
      <c r="CO23" s="35"/>
      <c r="CP23" s="35">
        <f t="shared" si="51"/>
        <v>8114.6710134</v>
      </c>
      <c r="CQ23" s="5">
        <f t="shared" si="52"/>
        <v>8114.6710134</v>
      </c>
      <c r="CR23" s="35">
        <f t="shared" si="53"/>
        <v>1467.2708298</v>
      </c>
      <c r="CT23" s="35"/>
      <c r="CU23" s="35">
        <f t="shared" si="54"/>
        <v>213.46386180000002</v>
      </c>
      <c r="CV23" s="5">
        <f t="shared" si="55"/>
        <v>213.46386180000002</v>
      </c>
      <c r="CW23" s="35">
        <f t="shared" si="56"/>
        <v>38.5979046</v>
      </c>
      <c r="CY23" s="35"/>
      <c r="CZ23" s="35">
        <f t="shared" si="57"/>
        <v>6321.7206989999995</v>
      </c>
      <c r="DA23" s="5">
        <f t="shared" si="58"/>
        <v>6321.7206989999995</v>
      </c>
      <c r="DB23" s="35">
        <f t="shared" si="59"/>
        <v>1143.074853</v>
      </c>
      <c r="DD23" s="35"/>
      <c r="DE23" s="35">
        <f t="shared" si="60"/>
        <v>5913.5456478</v>
      </c>
      <c r="DF23" s="5">
        <f t="shared" si="61"/>
        <v>5913.5456478</v>
      </c>
      <c r="DG23" s="35">
        <f t="shared" si="62"/>
        <v>1069.2698466</v>
      </c>
      <c r="DI23" s="35"/>
      <c r="DJ23" s="35">
        <f t="shared" si="63"/>
        <v>9022.3490658</v>
      </c>
      <c r="DK23" s="5">
        <f t="shared" si="64"/>
        <v>9022.3490658</v>
      </c>
      <c r="DL23" s="35">
        <f t="shared" si="65"/>
        <v>1631.3944926</v>
      </c>
      <c r="DN23" s="35"/>
      <c r="DO23" s="35">
        <f t="shared" si="66"/>
        <v>10336.497381</v>
      </c>
      <c r="DP23" s="5">
        <f t="shared" si="67"/>
        <v>10336.497381</v>
      </c>
      <c r="DQ23" s="35">
        <f t="shared" si="68"/>
        <v>1869.014907</v>
      </c>
      <c r="DS23" s="35"/>
      <c r="DT23" s="35">
        <f t="shared" si="69"/>
        <v>5631.281397</v>
      </c>
      <c r="DU23" s="35">
        <f t="shared" si="70"/>
        <v>5631.281397</v>
      </c>
      <c r="DV23" s="35">
        <f t="shared" si="71"/>
        <v>1018.231659</v>
      </c>
      <c r="DX23" s="35"/>
      <c r="DY23" s="35">
        <f t="shared" si="72"/>
        <v>8549.7573672</v>
      </c>
      <c r="DZ23" s="35">
        <f t="shared" si="73"/>
        <v>8549.7573672</v>
      </c>
      <c r="EA23" s="35">
        <f t="shared" si="74"/>
        <v>1545.9418584</v>
      </c>
      <c r="EC23" s="35"/>
      <c r="ED23" s="35">
        <f t="shared" si="75"/>
        <v>2530.1495268</v>
      </c>
      <c r="EE23" s="35">
        <f t="shared" si="76"/>
        <v>2530.1495268</v>
      </c>
      <c r="EF23" s="35">
        <f t="shared" si="77"/>
        <v>457.4941596</v>
      </c>
    </row>
    <row r="24" spans="1:136" ht="12.75">
      <c r="A24" s="36">
        <v>47209</v>
      </c>
      <c r="C24" s="3">
        <v>5890000</v>
      </c>
      <c r="D24" s="3">
        <v>1217706</v>
      </c>
      <c r="E24" s="34">
        <f t="shared" si="0"/>
        <v>7107706</v>
      </c>
      <c r="F24" s="34">
        <v>220182</v>
      </c>
      <c r="H24" s="43">
        <f t="shared" si="78"/>
        <v>1696867.181</v>
      </c>
      <c r="I24" s="35">
        <f t="shared" si="1"/>
        <v>350812.45288739994</v>
      </c>
      <c r="J24" s="35">
        <f t="shared" si="2"/>
        <v>2047679.6338874</v>
      </c>
      <c r="K24" s="35">
        <f t="shared" si="1"/>
        <v>63432.870907799996</v>
      </c>
      <c r="M24" s="35">
        <f t="shared" si="79"/>
        <v>600817.696</v>
      </c>
      <c r="N24" s="35">
        <f t="shared" si="3"/>
        <v>124213.8053184</v>
      </c>
      <c r="O24" s="5">
        <f t="shared" si="4"/>
        <v>725031.5013184</v>
      </c>
      <c r="P24" s="35">
        <f t="shared" si="5"/>
        <v>22459.973164799998</v>
      </c>
      <c r="R24" s="35">
        <f t="shared" si="80"/>
        <v>44852.35</v>
      </c>
      <c r="S24" s="35">
        <f t="shared" si="6"/>
        <v>9272.83119</v>
      </c>
      <c r="T24" s="5">
        <f t="shared" si="7"/>
        <v>54125.18119</v>
      </c>
      <c r="U24" s="35">
        <f t="shared" si="8"/>
        <v>1676.68593</v>
      </c>
      <c r="W24" s="35">
        <f t="shared" si="81"/>
        <v>460521.43000000005</v>
      </c>
      <c r="X24" s="35">
        <f t="shared" si="9"/>
        <v>95208.779022</v>
      </c>
      <c r="Y24" s="5">
        <f t="shared" si="10"/>
        <v>555730.2090220001</v>
      </c>
      <c r="Z24" s="35">
        <f t="shared" si="11"/>
        <v>17215.370034000003</v>
      </c>
      <c r="AB24" s="35">
        <f t="shared" si="82"/>
        <v>23976.423</v>
      </c>
      <c r="AC24" s="35">
        <f t="shared" si="12"/>
        <v>4956.9158142</v>
      </c>
      <c r="AD24" s="5">
        <f t="shared" si="13"/>
        <v>28933.338814199997</v>
      </c>
      <c r="AE24" s="35">
        <f t="shared" si="14"/>
        <v>896.2948674</v>
      </c>
      <c r="AG24" s="35">
        <f t="shared" si="83"/>
        <v>1456.008</v>
      </c>
      <c r="AH24" s="35">
        <f t="shared" si="15"/>
        <v>301.0169232</v>
      </c>
      <c r="AI24" s="5">
        <f t="shared" si="16"/>
        <v>1757.0249232</v>
      </c>
      <c r="AJ24" s="35">
        <f t="shared" si="17"/>
        <v>54.428990399999996</v>
      </c>
      <c r="AL24" s="35">
        <f t="shared" si="84"/>
        <v>2002.0110000000002</v>
      </c>
      <c r="AM24" s="35">
        <f t="shared" si="18"/>
        <v>413.8982694</v>
      </c>
      <c r="AN24" s="5">
        <f t="shared" si="19"/>
        <v>2415.9092694</v>
      </c>
      <c r="AO24" s="35">
        <f t="shared" si="20"/>
        <v>74.83986180000001</v>
      </c>
      <c r="AQ24" s="35">
        <f t="shared" si="85"/>
        <v>105675.435</v>
      </c>
      <c r="AR24" s="35">
        <f t="shared" si="21"/>
        <v>21847.472199</v>
      </c>
      <c r="AS24" s="5">
        <f t="shared" si="22"/>
        <v>127522.907199</v>
      </c>
      <c r="AT24" s="35">
        <f t="shared" si="23"/>
        <v>3950.395353</v>
      </c>
      <c r="AV24" s="35">
        <f t="shared" si="86"/>
        <v>163.74200000000002</v>
      </c>
      <c r="AW24" s="35">
        <f t="shared" si="24"/>
        <v>33.852226800000004</v>
      </c>
      <c r="AX24" s="5">
        <f t="shared" si="25"/>
        <v>197.59422680000003</v>
      </c>
      <c r="AY24" s="35">
        <f t="shared" si="26"/>
        <v>6.121059600000001</v>
      </c>
      <c r="BA24" s="35">
        <f t="shared" si="87"/>
        <v>2443.761</v>
      </c>
      <c r="BB24" s="35">
        <f t="shared" si="27"/>
        <v>505.2262194</v>
      </c>
      <c r="BC24" s="5">
        <f t="shared" si="28"/>
        <v>2948.9872194</v>
      </c>
      <c r="BD24" s="35">
        <f t="shared" si="29"/>
        <v>91.3535118</v>
      </c>
      <c r="BF24" s="35">
        <f t="shared" si="88"/>
        <v>541.2909999999999</v>
      </c>
      <c r="BG24" s="35">
        <f t="shared" si="30"/>
        <v>111.9071814</v>
      </c>
      <c r="BH24" s="5">
        <f t="shared" si="31"/>
        <v>653.1981814</v>
      </c>
      <c r="BI24" s="35">
        <f t="shared" si="32"/>
        <v>20.2347258</v>
      </c>
      <c r="BK24" s="35">
        <f t="shared" si="89"/>
        <v>85327.841</v>
      </c>
      <c r="BL24" s="35">
        <f t="shared" si="33"/>
        <v>17640.785051400002</v>
      </c>
      <c r="BM24" s="5">
        <f t="shared" si="34"/>
        <v>102968.6260514</v>
      </c>
      <c r="BN24" s="35">
        <f t="shared" si="35"/>
        <v>3189.7546158</v>
      </c>
      <c r="BP24" s="35">
        <f t="shared" si="90"/>
        <v>285.07599999999996</v>
      </c>
      <c r="BQ24" s="35">
        <f t="shared" si="36"/>
        <v>58.9369704</v>
      </c>
      <c r="BR24" s="5">
        <f t="shared" si="37"/>
        <v>344.0129704</v>
      </c>
      <c r="BS24" s="35">
        <f t="shared" si="38"/>
        <v>10.6568088</v>
      </c>
      <c r="BU24" s="35">
        <f t="shared" si="91"/>
        <v>72323.31</v>
      </c>
      <c r="BV24" s="35">
        <f t="shared" si="39"/>
        <v>14952.211974</v>
      </c>
      <c r="BW24" s="5">
        <f t="shared" si="40"/>
        <v>87275.521974</v>
      </c>
      <c r="BX24" s="35">
        <f t="shared" si="41"/>
        <v>2703.614778</v>
      </c>
      <c r="BZ24" s="35">
        <f t="shared" si="92"/>
        <v>21320.622</v>
      </c>
      <c r="CA24" s="35">
        <f t="shared" si="42"/>
        <v>4407.8521788</v>
      </c>
      <c r="CB24" s="5">
        <f t="shared" si="43"/>
        <v>25728.4741788</v>
      </c>
      <c r="CC24" s="35">
        <f t="shared" si="44"/>
        <v>797.0148035999999</v>
      </c>
      <c r="CE24" s="35">
        <f t="shared" si="93"/>
        <v>1170.343</v>
      </c>
      <c r="CF24" s="35">
        <f t="shared" si="45"/>
        <v>241.9581822</v>
      </c>
      <c r="CG24" s="5">
        <f t="shared" si="46"/>
        <v>1412.3011822</v>
      </c>
      <c r="CH24" s="35">
        <f t="shared" si="47"/>
        <v>43.7501634</v>
      </c>
      <c r="CJ24" s="35">
        <f t="shared" si="94"/>
        <v>55.955000000000005</v>
      </c>
      <c r="CK24" s="35">
        <f t="shared" si="48"/>
        <v>11.568207000000001</v>
      </c>
      <c r="CL24" s="5">
        <f t="shared" si="49"/>
        <v>67.52320700000001</v>
      </c>
      <c r="CM24" s="35">
        <f t="shared" si="50"/>
        <v>2.091729</v>
      </c>
      <c r="CO24" s="35">
        <f t="shared" si="95"/>
        <v>39250.371</v>
      </c>
      <c r="CP24" s="35">
        <f t="shared" si="51"/>
        <v>8114.6710134</v>
      </c>
      <c r="CQ24" s="5">
        <f t="shared" si="52"/>
        <v>47365.0420134</v>
      </c>
      <c r="CR24" s="35">
        <f t="shared" si="53"/>
        <v>1467.2708298</v>
      </c>
      <c r="CT24" s="35">
        <f t="shared" si="96"/>
        <v>1032.517</v>
      </c>
      <c r="CU24" s="35">
        <f t="shared" si="54"/>
        <v>213.46386180000002</v>
      </c>
      <c r="CV24" s="5">
        <f t="shared" si="55"/>
        <v>1245.9808618000002</v>
      </c>
      <c r="CW24" s="35">
        <f t="shared" si="56"/>
        <v>38.5979046</v>
      </c>
      <c r="CY24" s="35">
        <f t="shared" si="97"/>
        <v>30577.935</v>
      </c>
      <c r="CZ24" s="35">
        <f t="shared" si="57"/>
        <v>6321.7206989999995</v>
      </c>
      <c r="DA24" s="5">
        <f t="shared" si="58"/>
        <v>36899.655699</v>
      </c>
      <c r="DB24" s="35">
        <f t="shared" si="59"/>
        <v>1143.074853</v>
      </c>
      <c r="DD24" s="35">
        <f t="shared" si="98"/>
        <v>28603.607</v>
      </c>
      <c r="DE24" s="35">
        <f t="shared" si="60"/>
        <v>5913.5456478</v>
      </c>
      <c r="DF24" s="5">
        <f t="shared" si="61"/>
        <v>34517.1526478</v>
      </c>
      <c r="DG24" s="35">
        <f t="shared" si="62"/>
        <v>1069.2698466</v>
      </c>
      <c r="DI24" s="35">
        <f t="shared" si="99"/>
        <v>43640.777</v>
      </c>
      <c r="DJ24" s="35">
        <f t="shared" si="63"/>
        <v>9022.3490658</v>
      </c>
      <c r="DK24" s="5">
        <f t="shared" si="64"/>
        <v>52663.1260658</v>
      </c>
      <c r="DL24" s="35">
        <f t="shared" si="65"/>
        <v>1631.3944926</v>
      </c>
      <c r="DN24" s="35">
        <f t="shared" si="100"/>
        <v>49997.265</v>
      </c>
      <c r="DO24" s="35">
        <f t="shared" si="66"/>
        <v>10336.497381</v>
      </c>
      <c r="DP24" s="5">
        <f t="shared" si="67"/>
        <v>60333.762381</v>
      </c>
      <c r="DQ24" s="35">
        <f t="shared" si="68"/>
        <v>1869.014907</v>
      </c>
      <c r="DS24" s="35">
        <f t="shared" si="101"/>
        <v>27238.305</v>
      </c>
      <c r="DT24" s="35">
        <f t="shared" si="69"/>
        <v>5631.281397</v>
      </c>
      <c r="DU24" s="35">
        <f t="shared" si="70"/>
        <v>32869.586397</v>
      </c>
      <c r="DV24" s="35">
        <f t="shared" si="71"/>
        <v>1018.231659</v>
      </c>
      <c r="DX24" s="35">
        <f t="shared" si="102"/>
        <v>41354.868</v>
      </c>
      <c r="DY24" s="35">
        <f t="shared" si="72"/>
        <v>8549.7573672</v>
      </c>
      <c r="DZ24" s="35">
        <f t="shared" si="73"/>
        <v>49904.6253672</v>
      </c>
      <c r="EA24" s="35">
        <f t="shared" si="74"/>
        <v>1545.9418584</v>
      </c>
      <c r="EC24" s="35">
        <f t="shared" si="103"/>
        <v>12238.241999999998</v>
      </c>
      <c r="ED24" s="35">
        <f t="shared" si="75"/>
        <v>2530.1495268</v>
      </c>
      <c r="EE24" s="35">
        <f t="shared" si="76"/>
        <v>14768.391526799998</v>
      </c>
      <c r="EF24" s="35">
        <f t="shared" si="77"/>
        <v>457.4941596</v>
      </c>
    </row>
    <row r="25" spans="1:136" ht="12.75">
      <c r="A25" s="36">
        <v>47392</v>
      </c>
      <c r="D25" s="3">
        <v>1070456</v>
      </c>
      <c r="E25" s="34">
        <f t="shared" si="0"/>
        <v>1070456</v>
      </c>
      <c r="F25" s="34">
        <v>220182</v>
      </c>
      <c r="H25" s="43"/>
      <c r="I25" s="35">
        <f t="shared" si="1"/>
        <v>308390.7733624</v>
      </c>
      <c r="J25" s="35">
        <f t="shared" si="2"/>
        <v>308390.7733624</v>
      </c>
      <c r="K25" s="35">
        <f t="shared" si="1"/>
        <v>63432.870907799996</v>
      </c>
      <c r="M25" s="35"/>
      <c r="N25" s="35">
        <f t="shared" si="3"/>
        <v>109193.3629184</v>
      </c>
      <c r="O25" s="5">
        <f t="shared" si="4"/>
        <v>109193.3629184</v>
      </c>
      <c r="P25" s="35">
        <f t="shared" si="5"/>
        <v>22459.973164799998</v>
      </c>
      <c r="R25" s="35"/>
      <c r="S25" s="35">
        <f t="shared" si="6"/>
        <v>8151.522440000001</v>
      </c>
      <c r="T25" s="5">
        <f t="shared" si="7"/>
        <v>8151.522440000001</v>
      </c>
      <c r="U25" s="35">
        <f t="shared" si="8"/>
        <v>1676.68593</v>
      </c>
      <c r="W25" s="35"/>
      <c r="X25" s="35">
        <f t="shared" si="9"/>
        <v>83695.743272</v>
      </c>
      <c r="Y25" s="5">
        <f t="shared" si="10"/>
        <v>83695.743272</v>
      </c>
      <c r="Z25" s="35">
        <f t="shared" si="11"/>
        <v>17215.370034000003</v>
      </c>
      <c r="AB25" s="35"/>
      <c r="AC25" s="35">
        <f t="shared" si="12"/>
        <v>4357.5052392</v>
      </c>
      <c r="AD25" s="5">
        <f t="shared" si="13"/>
        <v>4357.5052392</v>
      </c>
      <c r="AE25" s="35">
        <f t="shared" si="14"/>
        <v>896.2948674</v>
      </c>
      <c r="AG25" s="35"/>
      <c r="AH25" s="35">
        <f t="shared" si="15"/>
        <v>264.61672319999997</v>
      </c>
      <c r="AI25" s="5">
        <f t="shared" si="16"/>
        <v>264.61672319999997</v>
      </c>
      <c r="AJ25" s="35">
        <f t="shared" si="17"/>
        <v>54.428990399999996</v>
      </c>
      <c r="AL25" s="35"/>
      <c r="AM25" s="35">
        <f t="shared" si="18"/>
        <v>363.8479944</v>
      </c>
      <c r="AN25" s="5">
        <f t="shared" si="19"/>
        <v>363.8479944</v>
      </c>
      <c r="AO25" s="35">
        <f t="shared" si="20"/>
        <v>74.83986180000001</v>
      </c>
      <c r="AQ25" s="35"/>
      <c r="AR25" s="35">
        <f t="shared" si="21"/>
        <v>19205.586324</v>
      </c>
      <c r="AS25" s="5">
        <f t="shared" si="22"/>
        <v>19205.586324</v>
      </c>
      <c r="AT25" s="35">
        <f t="shared" si="23"/>
        <v>3950.395353</v>
      </c>
      <c r="AV25" s="35"/>
      <c r="AW25" s="35">
        <f t="shared" si="24"/>
        <v>29.7586768</v>
      </c>
      <c r="AX25" s="5">
        <f t="shared" si="25"/>
        <v>29.7586768</v>
      </c>
      <c r="AY25" s="35">
        <f t="shared" si="26"/>
        <v>6.121059600000001</v>
      </c>
      <c r="BA25" s="35"/>
      <c r="BB25" s="35">
        <f t="shared" si="27"/>
        <v>444.1321944</v>
      </c>
      <c r="BC25" s="5">
        <f t="shared" si="28"/>
        <v>444.1321944</v>
      </c>
      <c r="BD25" s="35">
        <f t="shared" si="29"/>
        <v>91.3535118</v>
      </c>
      <c r="BF25" s="35"/>
      <c r="BG25" s="35">
        <f t="shared" si="30"/>
        <v>98.3749064</v>
      </c>
      <c r="BH25" s="5">
        <f t="shared" si="31"/>
        <v>98.3749064</v>
      </c>
      <c r="BI25" s="35">
        <f t="shared" si="32"/>
        <v>20.2347258</v>
      </c>
      <c r="BK25" s="35"/>
      <c r="BL25" s="35">
        <f t="shared" si="33"/>
        <v>15507.5890264</v>
      </c>
      <c r="BM25" s="5">
        <f t="shared" si="34"/>
        <v>15507.5890264</v>
      </c>
      <c r="BN25" s="35">
        <f t="shared" si="35"/>
        <v>3189.7546158</v>
      </c>
      <c r="BP25" s="35"/>
      <c r="BQ25" s="35">
        <f t="shared" si="36"/>
        <v>51.8100704</v>
      </c>
      <c r="BR25" s="5">
        <f t="shared" si="37"/>
        <v>51.8100704</v>
      </c>
      <c r="BS25" s="35">
        <f t="shared" si="38"/>
        <v>10.6568088</v>
      </c>
      <c r="BU25" s="35"/>
      <c r="BV25" s="35">
        <f t="shared" si="39"/>
        <v>13144.129224</v>
      </c>
      <c r="BW25" s="5">
        <f t="shared" si="40"/>
        <v>13144.129224</v>
      </c>
      <c r="BX25" s="35">
        <f t="shared" si="41"/>
        <v>2703.614778</v>
      </c>
      <c r="BZ25" s="35"/>
      <c r="CA25" s="35">
        <f t="shared" si="42"/>
        <v>3874.8366287999997</v>
      </c>
      <c r="CB25" s="5">
        <f t="shared" si="43"/>
        <v>3874.8366287999997</v>
      </c>
      <c r="CC25" s="35">
        <f t="shared" si="44"/>
        <v>797.0148035999999</v>
      </c>
      <c r="CE25" s="35"/>
      <c r="CF25" s="35">
        <f t="shared" si="45"/>
        <v>212.6996072</v>
      </c>
      <c r="CG25" s="5">
        <f t="shared" si="46"/>
        <v>212.6996072</v>
      </c>
      <c r="CH25" s="35">
        <f t="shared" si="47"/>
        <v>43.7501634</v>
      </c>
      <c r="CJ25" s="35"/>
      <c r="CK25" s="35">
        <f t="shared" si="48"/>
        <v>10.169332</v>
      </c>
      <c r="CL25" s="5">
        <f t="shared" si="49"/>
        <v>10.169332</v>
      </c>
      <c r="CM25" s="35">
        <f t="shared" si="50"/>
        <v>2.091729</v>
      </c>
      <c r="CO25" s="35"/>
      <c r="CP25" s="35">
        <f t="shared" si="51"/>
        <v>7133.4117384</v>
      </c>
      <c r="CQ25" s="5">
        <f t="shared" si="52"/>
        <v>7133.4117384</v>
      </c>
      <c r="CR25" s="35">
        <f t="shared" si="53"/>
        <v>1467.2708298</v>
      </c>
      <c r="CT25" s="35"/>
      <c r="CU25" s="35">
        <f t="shared" si="54"/>
        <v>187.6509368</v>
      </c>
      <c r="CV25" s="5">
        <f t="shared" si="55"/>
        <v>187.6509368</v>
      </c>
      <c r="CW25" s="35">
        <f t="shared" si="56"/>
        <v>38.5979046</v>
      </c>
      <c r="CY25" s="35"/>
      <c r="CZ25" s="35">
        <f t="shared" si="57"/>
        <v>5557.272324</v>
      </c>
      <c r="DA25" s="5">
        <f t="shared" si="58"/>
        <v>5557.272324</v>
      </c>
      <c r="DB25" s="35">
        <f t="shared" si="59"/>
        <v>1143.074853</v>
      </c>
      <c r="DD25" s="35"/>
      <c r="DE25" s="35">
        <f t="shared" si="60"/>
        <v>5198.4554728</v>
      </c>
      <c r="DF25" s="5">
        <f t="shared" si="61"/>
        <v>5198.4554728</v>
      </c>
      <c r="DG25" s="35">
        <f t="shared" si="62"/>
        <v>1069.2698466</v>
      </c>
      <c r="DI25" s="35"/>
      <c r="DJ25" s="35">
        <f t="shared" si="63"/>
        <v>7931.3296408</v>
      </c>
      <c r="DK25" s="5">
        <f t="shared" si="64"/>
        <v>7931.3296408</v>
      </c>
      <c r="DL25" s="35">
        <f t="shared" si="65"/>
        <v>1631.3944926</v>
      </c>
      <c r="DN25" s="35"/>
      <c r="DO25" s="35">
        <f t="shared" si="66"/>
        <v>9086.565756</v>
      </c>
      <c r="DP25" s="5">
        <f t="shared" si="67"/>
        <v>9086.565756</v>
      </c>
      <c r="DQ25" s="35">
        <f t="shared" si="68"/>
        <v>1869.014907</v>
      </c>
      <c r="DS25" s="35"/>
      <c r="DT25" s="35">
        <f t="shared" si="69"/>
        <v>4950.323772</v>
      </c>
      <c r="DU25" s="35">
        <f t="shared" si="70"/>
        <v>4950.323772</v>
      </c>
      <c r="DV25" s="35">
        <f t="shared" si="71"/>
        <v>1018.231659</v>
      </c>
      <c r="DX25" s="35"/>
      <c r="DY25" s="35">
        <f t="shared" si="72"/>
        <v>7515.8856672</v>
      </c>
      <c r="DZ25" s="35">
        <f t="shared" si="73"/>
        <v>7515.8856672</v>
      </c>
      <c r="EA25" s="35">
        <f t="shared" si="74"/>
        <v>1545.9418584</v>
      </c>
      <c r="EC25" s="35"/>
      <c r="ED25" s="35">
        <f t="shared" si="75"/>
        <v>2224.1934767999996</v>
      </c>
      <c r="EE25" s="35">
        <f t="shared" si="76"/>
        <v>2224.1934767999996</v>
      </c>
      <c r="EF25" s="35">
        <f t="shared" si="77"/>
        <v>457.4941596</v>
      </c>
    </row>
    <row r="26" spans="1:136" ht="12.75">
      <c r="A26" s="36">
        <v>11049</v>
      </c>
      <c r="C26" s="3">
        <v>6180000</v>
      </c>
      <c r="D26" s="3">
        <v>1070456</v>
      </c>
      <c r="E26" s="34">
        <f t="shared" si="0"/>
        <v>7250456</v>
      </c>
      <c r="F26" s="34">
        <v>220182</v>
      </c>
      <c r="H26" s="43">
        <f t="shared" si="78"/>
        <v>1780414.1219999995</v>
      </c>
      <c r="I26" s="35">
        <f t="shared" si="1"/>
        <v>308390.7733624</v>
      </c>
      <c r="J26" s="35">
        <f t="shared" si="2"/>
        <v>2088804.8953623995</v>
      </c>
      <c r="K26" s="35">
        <f t="shared" si="1"/>
        <v>63432.870907799996</v>
      </c>
      <c r="L26"/>
      <c r="M26" s="35">
        <f t="shared" si="79"/>
        <v>630399.552</v>
      </c>
      <c r="N26" s="35">
        <f t="shared" si="3"/>
        <v>109193.3629184</v>
      </c>
      <c r="O26" s="5">
        <f t="shared" si="4"/>
        <v>739592.9149184</v>
      </c>
      <c r="P26" s="35">
        <f t="shared" si="5"/>
        <v>22459.973164799998</v>
      </c>
      <c r="Q26"/>
      <c r="R26" s="35">
        <f t="shared" si="80"/>
        <v>47060.700000000004</v>
      </c>
      <c r="S26" s="35">
        <f t="shared" si="6"/>
        <v>8151.522440000001</v>
      </c>
      <c r="T26" s="5">
        <f t="shared" si="7"/>
        <v>55212.222440000005</v>
      </c>
      <c r="U26" s="35">
        <f t="shared" si="8"/>
        <v>1676.68593</v>
      </c>
      <c r="V26"/>
      <c r="W26" s="35">
        <f t="shared" si="81"/>
        <v>483195.66000000003</v>
      </c>
      <c r="X26" s="35">
        <f t="shared" si="9"/>
        <v>83695.743272</v>
      </c>
      <c r="Y26" s="5">
        <f t="shared" si="10"/>
        <v>566891.403272</v>
      </c>
      <c r="Z26" s="35">
        <f t="shared" si="11"/>
        <v>17215.370034000003</v>
      </c>
      <c r="AA26"/>
      <c r="AB26" s="35">
        <f t="shared" si="82"/>
        <v>25156.926</v>
      </c>
      <c r="AC26" s="35">
        <f t="shared" si="12"/>
        <v>4357.5052392</v>
      </c>
      <c r="AD26" s="5">
        <f t="shared" si="13"/>
        <v>29514.4312392</v>
      </c>
      <c r="AE26" s="35">
        <f t="shared" si="14"/>
        <v>896.2948674</v>
      </c>
      <c r="AF26"/>
      <c r="AG26" s="35">
        <f t="shared" si="83"/>
        <v>1527.696</v>
      </c>
      <c r="AH26" s="35">
        <f t="shared" si="15"/>
        <v>264.61672319999997</v>
      </c>
      <c r="AI26" s="5">
        <f t="shared" si="16"/>
        <v>1792.3127232</v>
      </c>
      <c r="AJ26" s="35">
        <f t="shared" si="17"/>
        <v>54.428990399999996</v>
      </c>
      <c r="AK26"/>
      <c r="AL26" s="35">
        <f t="shared" si="84"/>
        <v>2100.5820000000003</v>
      </c>
      <c r="AM26" s="35">
        <f t="shared" si="18"/>
        <v>363.8479944</v>
      </c>
      <c r="AN26" s="5">
        <f t="shared" si="19"/>
        <v>2464.4299944000004</v>
      </c>
      <c r="AO26" s="35">
        <f t="shared" si="20"/>
        <v>74.83986180000001</v>
      </c>
      <c r="AP26"/>
      <c r="AQ26" s="35">
        <f t="shared" si="85"/>
        <v>110878.47</v>
      </c>
      <c r="AR26" s="35">
        <f t="shared" si="21"/>
        <v>19205.586324</v>
      </c>
      <c r="AS26" s="5">
        <f t="shared" si="22"/>
        <v>130084.056324</v>
      </c>
      <c r="AT26" s="35">
        <f t="shared" si="23"/>
        <v>3950.395353</v>
      </c>
      <c r="AU26"/>
      <c r="AV26" s="35">
        <f t="shared" si="86"/>
        <v>171.804</v>
      </c>
      <c r="AW26" s="35">
        <f t="shared" si="24"/>
        <v>29.7586768</v>
      </c>
      <c r="AX26" s="5">
        <f t="shared" si="25"/>
        <v>201.5626768</v>
      </c>
      <c r="AY26" s="35">
        <f t="shared" si="26"/>
        <v>6.121059600000001</v>
      </c>
      <c r="AZ26"/>
      <c r="BA26" s="35">
        <f t="shared" si="87"/>
        <v>2564.082</v>
      </c>
      <c r="BB26" s="35">
        <f t="shared" si="27"/>
        <v>444.1321944</v>
      </c>
      <c r="BC26" s="5">
        <f t="shared" si="28"/>
        <v>3008.2141944</v>
      </c>
      <c r="BD26" s="35">
        <f t="shared" si="29"/>
        <v>91.3535118</v>
      </c>
      <c r="BE26"/>
      <c r="BF26" s="35">
        <f t="shared" si="88"/>
        <v>567.942</v>
      </c>
      <c r="BG26" s="35">
        <f t="shared" si="30"/>
        <v>98.3749064</v>
      </c>
      <c r="BH26" s="5">
        <f t="shared" si="31"/>
        <v>666.3169064</v>
      </c>
      <c r="BI26" s="35">
        <f t="shared" si="32"/>
        <v>20.2347258</v>
      </c>
      <c r="BJ26"/>
      <c r="BK26" s="35">
        <f t="shared" si="89"/>
        <v>89529.042</v>
      </c>
      <c r="BL26" s="35">
        <f t="shared" si="33"/>
        <v>15507.5890264</v>
      </c>
      <c r="BM26" s="5">
        <f t="shared" si="34"/>
        <v>105036.6310264</v>
      </c>
      <c r="BN26" s="35">
        <f t="shared" si="35"/>
        <v>3189.7546158</v>
      </c>
      <c r="BO26"/>
      <c r="BP26" s="35">
        <f t="shared" si="90"/>
        <v>299.11199999999997</v>
      </c>
      <c r="BQ26" s="35">
        <f t="shared" si="36"/>
        <v>51.8100704</v>
      </c>
      <c r="BR26" s="5">
        <f t="shared" si="37"/>
        <v>350.92207039999994</v>
      </c>
      <c r="BS26" s="35">
        <f t="shared" si="38"/>
        <v>10.6568088</v>
      </c>
      <c r="BT26"/>
      <c r="BU26" s="35">
        <f t="shared" si="91"/>
        <v>75884.22</v>
      </c>
      <c r="BV26" s="35">
        <f t="shared" si="39"/>
        <v>13144.129224</v>
      </c>
      <c r="BW26" s="5">
        <f t="shared" si="40"/>
        <v>89028.349224</v>
      </c>
      <c r="BX26" s="35">
        <f t="shared" si="41"/>
        <v>2703.614778</v>
      </c>
      <c r="BY26"/>
      <c r="BZ26" s="35">
        <f t="shared" si="92"/>
        <v>22370.363999999998</v>
      </c>
      <c r="CA26" s="35">
        <f t="shared" si="42"/>
        <v>3874.8366287999997</v>
      </c>
      <c r="CB26" s="5">
        <f t="shared" si="43"/>
        <v>26245.200628799998</v>
      </c>
      <c r="CC26" s="35">
        <f t="shared" si="44"/>
        <v>797.0148035999999</v>
      </c>
      <c r="CD26"/>
      <c r="CE26" s="35">
        <f t="shared" si="93"/>
        <v>1227.9660000000001</v>
      </c>
      <c r="CF26" s="35">
        <f t="shared" si="45"/>
        <v>212.6996072</v>
      </c>
      <c r="CG26" s="5">
        <f t="shared" si="46"/>
        <v>1440.6656072</v>
      </c>
      <c r="CH26" s="35">
        <f t="shared" si="47"/>
        <v>43.7501634</v>
      </c>
      <c r="CI26"/>
      <c r="CJ26" s="35">
        <f t="shared" si="94"/>
        <v>58.71</v>
      </c>
      <c r="CK26" s="35">
        <f t="shared" si="48"/>
        <v>10.169332</v>
      </c>
      <c r="CL26" s="5">
        <f t="shared" si="49"/>
        <v>68.879332</v>
      </c>
      <c r="CM26" s="35">
        <f t="shared" si="50"/>
        <v>2.091729</v>
      </c>
      <c r="CN26"/>
      <c r="CO26" s="35">
        <f t="shared" si="95"/>
        <v>41182.902</v>
      </c>
      <c r="CP26" s="35">
        <f t="shared" si="51"/>
        <v>7133.4117384</v>
      </c>
      <c r="CQ26" s="5">
        <f t="shared" si="52"/>
        <v>48316.3137384</v>
      </c>
      <c r="CR26" s="35">
        <f t="shared" si="53"/>
        <v>1467.2708298</v>
      </c>
      <c r="CT26" s="35">
        <f t="shared" si="96"/>
        <v>1083.354</v>
      </c>
      <c r="CU26" s="35">
        <f t="shared" si="54"/>
        <v>187.6509368</v>
      </c>
      <c r="CV26" s="5">
        <f t="shared" si="55"/>
        <v>1271.0049368</v>
      </c>
      <c r="CW26" s="35">
        <f t="shared" si="56"/>
        <v>38.5979046</v>
      </c>
      <c r="CX26"/>
      <c r="CY26" s="35">
        <f t="shared" si="97"/>
        <v>32083.47</v>
      </c>
      <c r="CZ26" s="35">
        <f t="shared" si="57"/>
        <v>5557.272324</v>
      </c>
      <c r="DA26" s="5">
        <f t="shared" si="58"/>
        <v>37640.742324</v>
      </c>
      <c r="DB26" s="35">
        <f t="shared" si="59"/>
        <v>1143.074853</v>
      </c>
      <c r="DC26"/>
      <c r="DD26" s="35">
        <f t="shared" si="98"/>
        <v>30011.934</v>
      </c>
      <c r="DE26" s="35">
        <f t="shared" si="60"/>
        <v>5198.4554728</v>
      </c>
      <c r="DF26" s="5">
        <f t="shared" si="61"/>
        <v>35210.3894728</v>
      </c>
      <c r="DG26" s="35">
        <f t="shared" si="62"/>
        <v>1069.2698466</v>
      </c>
      <c r="DH26"/>
      <c r="DI26" s="35">
        <f t="shared" si="99"/>
        <v>45789.474</v>
      </c>
      <c r="DJ26" s="35">
        <f t="shared" si="63"/>
        <v>7931.3296408</v>
      </c>
      <c r="DK26" s="5">
        <f t="shared" si="64"/>
        <v>53720.803640800004</v>
      </c>
      <c r="DL26" s="35">
        <f t="shared" si="65"/>
        <v>1631.3944926</v>
      </c>
      <c r="DM26"/>
      <c r="DN26" s="35">
        <f t="shared" si="100"/>
        <v>52458.93</v>
      </c>
      <c r="DO26" s="35">
        <f t="shared" si="66"/>
        <v>9086.565756</v>
      </c>
      <c r="DP26" s="5">
        <f t="shared" si="67"/>
        <v>61545.495756000004</v>
      </c>
      <c r="DQ26" s="35">
        <f t="shared" si="68"/>
        <v>1869.014907</v>
      </c>
      <c r="DR26"/>
      <c r="DS26" s="35">
        <f t="shared" si="101"/>
        <v>28579.41</v>
      </c>
      <c r="DT26" s="35">
        <f t="shared" si="69"/>
        <v>4950.323772</v>
      </c>
      <c r="DU26" s="35">
        <f t="shared" si="70"/>
        <v>33529.733772</v>
      </c>
      <c r="DV26" s="35">
        <f t="shared" si="71"/>
        <v>1018.231659</v>
      </c>
      <c r="DW26"/>
      <c r="DX26" s="35">
        <f t="shared" si="102"/>
        <v>43391.016</v>
      </c>
      <c r="DY26" s="35">
        <f t="shared" si="72"/>
        <v>7515.8856672</v>
      </c>
      <c r="DZ26" s="35">
        <f t="shared" si="73"/>
        <v>50906.9016672</v>
      </c>
      <c r="EA26" s="35">
        <f t="shared" si="74"/>
        <v>1545.9418584</v>
      </c>
      <c r="EC26" s="35">
        <f t="shared" si="103"/>
        <v>12840.804</v>
      </c>
      <c r="ED26" s="35">
        <f t="shared" si="75"/>
        <v>2224.1934767999996</v>
      </c>
      <c r="EE26" s="35">
        <f t="shared" si="76"/>
        <v>15064.9974768</v>
      </c>
      <c r="EF26" s="35">
        <f t="shared" si="77"/>
        <v>457.4941596</v>
      </c>
    </row>
    <row r="27" spans="1:136" ht="12.75">
      <c r="A27" s="36">
        <v>11232</v>
      </c>
      <c r="D27" s="3">
        <v>915956</v>
      </c>
      <c r="E27" s="34">
        <f t="shared" si="0"/>
        <v>915956</v>
      </c>
      <c r="F27" s="34">
        <v>220182</v>
      </c>
      <c r="H27" s="43"/>
      <c r="I27" s="35">
        <f t="shared" si="1"/>
        <v>263880.4203124</v>
      </c>
      <c r="J27" s="35">
        <f t="shared" si="2"/>
        <v>263880.4203124</v>
      </c>
      <c r="K27" s="35">
        <f t="shared" si="1"/>
        <v>63432.870907799996</v>
      </c>
      <c r="L27"/>
      <c r="M27" s="35"/>
      <c r="N27" s="35">
        <f t="shared" si="3"/>
        <v>93433.3741184</v>
      </c>
      <c r="O27" s="5">
        <f t="shared" si="4"/>
        <v>93433.3741184</v>
      </c>
      <c r="P27" s="35">
        <f t="shared" si="5"/>
        <v>22459.973164799998</v>
      </c>
      <c r="Q27"/>
      <c r="R27" s="35"/>
      <c r="S27" s="35">
        <f t="shared" si="6"/>
        <v>6975.00494</v>
      </c>
      <c r="T27" s="5">
        <f t="shared" si="7"/>
        <v>6975.00494</v>
      </c>
      <c r="U27" s="35">
        <f t="shared" si="8"/>
        <v>1676.68593</v>
      </c>
      <c r="V27"/>
      <c r="W27" s="35"/>
      <c r="X27" s="35">
        <f t="shared" si="9"/>
        <v>71615.85177200001</v>
      </c>
      <c r="Y27" s="5">
        <f t="shared" si="10"/>
        <v>71615.85177200001</v>
      </c>
      <c r="Z27" s="35">
        <f t="shared" si="11"/>
        <v>17215.370034000003</v>
      </c>
      <c r="AA27"/>
      <c r="AB27" s="35"/>
      <c r="AC27" s="35">
        <f t="shared" si="12"/>
        <v>3728.5820892</v>
      </c>
      <c r="AD27" s="5">
        <f t="shared" si="13"/>
        <v>3728.5820892</v>
      </c>
      <c r="AE27" s="35">
        <f t="shared" si="14"/>
        <v>896.2948674</v>
      </c>
      <c r="AF27"/>
      <c r="AG27" s="35"/>
      <c r="AH27" s="35">
        <f t="shared" si="15"/>
        <v>226.4243232</v>
      </c>
      <c r="AI27" s="5">
        <f t="shared" si="16"/>
        <v>226.4243232</v>
      </c>
      <c r="AJ27" s="35">
        <f t="shared" si="17"/>
        <v>54.428990399999996</v>
      </c>
      <c r="AK27"/>
      <c r="AL27" s="35"/>
      <c r="AM27" s="35">
        <f t="shared" si="18"/>
        <v>311.3334444</v>
      </c>
      <c r="AN27" s="5">
        <f t="shared" si="19"/>
        <v>311.3334444</v>
      </c>
      <c r="AO27" s="35">
        <f t="shared" si="20"/>
        <v>74.83986180000001</v>
      </c>
      <c r="AP27"/>
      <c r="AQ27" s="35"/>
      <c r="AR27" s="35">
        <f t="shared" si="21"/>
        <v>16433.624573999998</v>
      </c>
      <c r="AS27" s="5">
        <f t="shared" si="22"/>
        <v>16433.624573999998</v>
      </c>
      <c r="AT27" s="35">
        <f t="shared" si="23"/>
        <v>3950.395353</v>
      </c>
      <c r="AU27"/>
      <c r="AV27" s="35"/>
      <c r="AW27" s="35">
        <f t="shared" si="24"/>
        <v>25.463576800000002</v>
      </c>
      <c r="AX27" s="5">
        <f t="shared" si="25"/>
        <v>25.463576800000002</v>
      </c>
      <c r="AY27" s="35">
        <f t="shared" si="26"/>
        <v>6.121059600000001</v>
      </c>
      <c r="AZ27"/>
      <c r="BA27" s="35"/>
      <c r="BB27" s="35">
        <f t="shared" si="27"/>
        <v>380.0301444</v>
      </c>
      <c r="BC27" s="5">
        <f t="shared" si="28"/>
        <v>380.0301444</v>
      </c>
      <c r="BD27" s="35">
        <f t="shared" si="29"/>
        <v>91.3535118</v>
      </c>
      <c r="BE27"/>
      <c r="BF27" s="35"/>
      <c r="BG27" s="35">
        <f t="shared" si="30"/>
        <v>84.1763564</v>
      </c>
      <c r="BH27" s="5">
        <f t="shared" si="31"/>
        <v>84.1763564</v>
      </c>
      <c r="BI27" s="35">
        <f t="shared" si="32"/>
        <v>20.2347258</v>
      </c>
      <c r="BJ27"/>
      <c r="BK27" s="35"/>
      <c r="BL27" s="35">
        <f t="shared" si="33"/>
        <v>13269.3629764</v>
      </c>
      <c r="BM27" s="5">
        <f t="shared" si="34"/>
        <v>13269.3629764</v>
      </c>
      <c r="BN27" s="35">
        <f t="shared" si="35"/>
        <v>3189.7546158</v>
      </c>
      <c r="BO27"/>
      <c r="BP27" s="35"/>
      <c r="BQ27" s="35">
        <f t="shared" si="36"/>
        <v>44.3322704</v>
      </c>
      <c r="BR27" s="5">
        <f t="shared" si="37"/>
        <v>44.3322704</v>
      </c>
      <c r="BS27" s="35">
        <f t="shared" si="38"/>
        <v>10.6568088</v>
      </c>
      <c r="BT27"/>
      <c r="BU27" s="35"/>
      <c r="BV27" s="35">
        <f t="shared" si="39"/>
        <v>11247.023724</v>
      </c>
      <c r="BW27" s="5">
        <f t="shared" si="40"/>
        <v>11247.023724</v>
      </c>
      <c r="BX27" s="35">
        <f t="shared" si="41"/>
        <v>2703.614778</v>
      </c>
      <c r="BY27"/>
      <c r="BZ27" s="35"/>
      <c r="CA27" s="35">
        <f t="shared" si="42"/>
        <v>3315.5775288</v>
      </c>
      <c r="CB27" s="5">
        <f t="shared" si="43"/>
        <v>3315.5775288</v>
      </c>
      <c r="CC27" s="35">
        <f t="shared" si="44"/>
        <v>797.0148035999999</v>
      </c>
      <c r="CD27"/>
      <c r="CE27" s="35"/>
      <c r="CF27" s="35">
        <f t="shared" si="45"/>
        <v>182.0004572</v>
      </c>
      <c r="CG27" s="5">
        <f t="shared" si="46"/>
        <v>182.0004572</v>
      </c>
      <c r="CH27" s="35">
        <f t="shared" si="47"/>
        <v>43.7501634</v>
      </c>
      <c r="CI27"/>
      <c r="CJ27" s="35"/>
      <c r="CK27" s="35">
        <f t="shared" si="48"/>
        <v>8.701582</v>
      </c>
      <c r="CL27" s="5">
        <f t="shared" si="49"/>
        <v>8.701582</v>
      </c>
      <c r="CM27" s="35">
        <f t="shared" si="50"/>
        <v>2.091729</v>
      </c>
      <c r="CN27"/>
      <c r="CO27" s="35"/>
      <c r="CP27" s="35">
        <f t="shared" si="51"/>
        <v>6103.8391884</v>
      </c>
      <c r="CQ27" s="5">
        <f t="shared" si="52"/>
        <v>6103.8391884</v>
      </c>
      <c r="CR27" s="35">
        <f t="shared" si="53"/>
        <v>1467.2708298</v>
      </c>
      <c r="CT27" s="35"/>
      <c r="CU27" s="35">
        <f t="shared" si="54"/>
        <v>160.5670868</v>
      </c>
      <c r="CV27" s="5">
        <f t="shared" si="55"/>
        <v>160.5670868</v>
      </c>
      <c r="CW27" s="35">
        <f t="shared" si="56"/>
        <v>38.5979046</v>
      </c>
      <c r="CX27"/>
      <c r="CY27" s="35"/>
      <c r="CZ27" s="35">
        <f t="shared" si="57"/>
        <v>4755.185574</v>
      </c>
      <c r="DA27" s="5">
        <f t="shared" si="58"/>
        <v>4755.185574</v>
      </c>
      <c r="DB27" s="35">
        <f t="shared" si="59"/>
        <v>1143.074853</v>
      </c>
      <c r="DC27"/>
      <c r="DD27" s="35"/>
      <c r="DE27" s="35">
        <f t="shared" si="60"/>
        <v>4448.1571228</v>
      </c>
      <c r="DF27" s="5">
        <f t="shared" si="61"/>
        <v>4448.1571228</v>
      </c>
      <c r="DG27" s="35">
        <f t="shared" si="62"/>
        <v>1069.2698466</v>
      </c>
      <c r="DH27"/>
      <c r="DI27" s="35"/>
      <c r="DJ27" s="35">
        <f t="shared" si="63"/>
        <v>6786.592790799999</v>
      </c>
      <c r="DK27" s="5">
        <f t="shared" si="64"/>
        <v>6786.592790799999</v>
      </c>
      <c r="DL27" s="35">
        <f t="shared" si="65"/>
        <v>1631.3944926</v>
      </c>
      <c r="DM27"/>
      <c r="DN27" s="35"/>
      <c r="DO27" s="35">
        <f t="shared" si="66"/>
        <v>7775.092506</v>
      </c>
      <c r="DP27" s="5">
        <f t="shared" si="67"/>
        <v>7775.092506</v>
      </c>
      <c r="DQ27" s="35">
        <f t="shared" si="68"/>
        <v>1869.014907</v>
      </c>
      <c r="DR27"/>
      <c r="DS27" s="35"/>
      <c r="DT27" s="35">
        <f t="shared" si="69"/>
        <v>4235.838522</v>
      </c>
      <c r="DU27" s="35">
        <f t="shared" si="70"/>
        <v>4235.838522</v>
      </c>
      <c r="DV27" s="35">
        <f t="shared" si="71"/>
        <v>1018.231659</v>
      </c>
      <c r="DW27"/>
      <c r="DX27" s="35"/>
      <c r="DY27" s="35">
        <f t="shared" si="72"/>
        <v>6431.1102672</v>
      </c>
      <c r="DZ27" s="35">
        <f t="shared" si="73"/>
        <v>6431.1102672</v>
      </c>
      <c r="EA27" s="35">
        <f t="shared" si="74"/>
        <v>1545.9418584</v>
      </c>
      <c r="EC27" s="35"/>
      <c r="ED27" s="35">
        <f t="shared" si="75"/>
        <v>1903.1733768</v>
      </c>
      <c r="EE27" s="35">
        <f t="shared" si="76"/>
        <v>1903.1733768</v>
      </c>
      <c r="EF27" s="35">
        <f t="shared" si="77"/>
        <v>457.4941596</v>
      </c>
    </row>
    <row r="28" spans="1:136" ht="12.75">
      <c r="A28" s="36">
        <v>11414</v>
      </c>
      <c r="C28" s="3">
        <v>6490000</v>
      </c>
      <c r="D28" s="3">
        <v>915956</v>
      </c>
      <c r="E28" s="34">
        <f t="shared" si="0"/>
        <v>7405956</v>
      </c>
      <c r="F28" s="34">
        <v>220182</v>
      </c>
      <c r="H28" s="43">
        <f t="shared" si="78"/>
        <v>1869722.9209999999</v>
      </c>
      <c r="I28" s="35">
        <f t="shared" si="1"/>
        <v>263880.4203124</v>
      </c>
      <c r="J28" s="35">
        <f t="shared" si="2"/>
        <v>2133603.3413124</v>
      </c>
      <c r="K28" s="35">
        <f t="shared" si="1"/>
        <v>63432.870907799996</v>
      </c>
      <c r="L28"/>
      <c r="M28" s="35">
        <f t="shared" si="79"/>
        <v>662021.536</v>
      </c>
      <c r="N28" s="35">
        <f t="shared" si="3"/>
        <v>93433.3741184</v>
      </c>
      <c r="O28" s="5">
        <f t="shared" si="4"/>
        <v>755454.9101184</v>
      </c>
      <c r="P28" s="35">
        <f t="shared" si="5"/>
        <v>22459.973164799998</v>
      </c>
      <c r="Q28"/>
      <c r="R28" s="35">
        <f t="shared" si="80"/>
        <v>49421.35</v>
      </c>
      <c r="S28" s="35">
        <f t="shared" si="6"/>
        <v>6975.00494</v>
      </c>
      <c r="T28" s="5">
        <f t="shared" si="7"/>
        <v>56396.35494</v>
      </c>
      <c r="U28" s="35">
        <f t="shared" si="8"/>
        <v>1676.68593</v>
      </c>
      <c r="V28"/>
      <c r="W28" s="35">
        <f t="shared" si="81"/>
        <v>507433.63000000006</v>
      </c>
      <c r="X28" s="35">
        <f t="shared" si="9"/>
        <v>71615.85177200001</v>
      </c>
      <c r="Y28" s="5">
        <f t="shared" si="10"/>
        <v>579049.4817720001</v>
      </c>
      <c r="Z28" s="35">
        <f t="shared" si="11"/>
        <v>17215.370034000003</v>
      </c>
      <c r="AA28"/>
      <c r="AB28" s="35">
        <f t="shared" si="82"/>
        <v>26418.843</v>
      </c>
      <c r="AC28" s="35">
        <f t="shared" si="12"/>
        <v>3728.5820892</v>
      </c>
      <c r="AD28" s="5">
        <f t="shared" si="13"/>
        <v>30147.425089200002</v>
      </c>
      <c r="AE28" s="35">
        <f t="shared" si="14"/>
        <v>896.2948674</v>
      </c>
      <c r="AF28"/>
      <c r="AG28" s="35">
        <f t="shared" si="83"/>
        <v>1604.328</v>
      </c>
      <c r="AH28" s="35">
        <f t="shared" si="15"/>
        <v>226.4243232</v>
      </c>
      <c r="AI28" s="5">
        <f t="shared" si="16"/>
        <v>1830.7523231999999</v>
      </c>
      <c r="AJ28" s="35">
        <f t="shared" si="17"/>
        <v>54.428990399999996</v>
      </c>
      <c r="AK28"/>
      <c r="AL28" s="35">
        <f t="shared" si="84"/>
        <v>2205.951</v>
      </c>
      <c r="AM28" s="35">
        <f t="shared" si="18"/>
        <v>311.3334444</v>
      </c>
      <c r="AN28" s="5">
        <f t="shared" si="19"/>
        <v>2517.2844444</v>
      </c>
      <c r="AO28" s="35">
        <f t="shared" si="20"/>
        <v>74.83986180000001</v>
      </c>
      <c r="AP28"/>
      <c r="AQ28" s="35">
        <f t="shared" si="85"/>
        <v>116440.33499999999</v>
      </c>
      <c r="AR28" s="35">
        <f t="shared" si="21"/>
        <v>16433.624573999998</v>
      </c>
      <c r="AS28" s="5">
        <f t="shared" si="22"/>
        <v>132873.95957399998</v>
      </c>
      <c r="AT28" s="35">
        <f t="shared" si="23"/>
        <v>3950.395353</v>
      </c>
      <c r="AU28"/>
      <c r="AV28" s="35">
        <f t="shared" si="86"/>
        <v>180.422</v>
      </c>
      <c r="AW28" s="35">
        <f t="shared" si="24"/>
        <v>25.463576800000002</v>
      </c>
      <c r="AX28" s="5">
        <f t="shared" si="25"/>
        <v>205.8855768</v>
      </c>
      <c r="AY28" s="35">
        <f t="shared" si="26"/>
        <v>6.121059600000001</v>
      </c>
      <c r="AZ28"/>
      <c r="BA28" s="35">
        <f t="shared" si="87"/>
        <v>2692.701</v>
      </c>
      <c r="BB28" s="35">
        <f t="shared" si="27"/>
        <v>380.0301444</v>
      </c>
      <c r="BC28" s="5">
        <f t="shared" si="28"/>
        <v>3072.7311444</v>
      </c>
      <c r="BD28" s="35">
        <f t="shared" si="29"/>
        <v>91.3535118</v>
      </c>
      <c r="BE28"/>
      <c r="BF28" s="35">
        <f t="shared" si="88"/>
        <v>596.431</v>
      </c>
      <c r="BG28" s="35">
        <f t="shared" si="30"/>
        <v>84.1763564</v>
      </c>
      <c r="BH28" s="5">
        <f t="shared" si="31"/>
        <v>680.6073564000001</v>
      </c>
      <c r="BI28" s="35">
        <f t="shared" si="32"/>
        <v>20.2347258</v>
      </c>
      <c r="BJ28"/>
      <c r="BK28" s="35">
        <f t="shared" si="89"/>
        <v>94019.981</v>
      </c>
      <c r="BL28" s="35">
        <f t="shared" si="33"/>
        <v>13269.3629764</v>
      </c>
      <c r="BM28" s="5">
        <f t="shared" si="34"/>
        <v>107289.3439764</v>
      </c>
      <c r="BN28" s="35">
        <f t="shared" si="35"/>
        <v>3189.7546158</v>
      </c>
      <c r="BO28"/>
      <c r="BP28" s="35">
        <f t="shared" si="90"/>
        <v>314.116</v>
      </c>
      <c r="BQ28" s="35">
        <f t="shared" si="36"/>
        <v>44.3322704</v>
      </c>
      <c r="BR28" s="5">
        <f t="shared" si="37"/>
        <v>358.44827039999996</v>
      </c>
      <c r="BS28" s="35">
        <f t="shared" si="38"/>
        <v>10.6568088</v>
      </c>
      <c r="BT28"/>
      <c r="BU28" s="35">
        <f t="shared" si="91"/>
        <v>79690.71</v>
      </c>
      <c r="BV28" s="35">
        <f t="shared" si="39"/>
        <v>11247.023724</v>
      </c>
      <c r="BW28" s="5">
        <f t="shared" si="40"/>
        <v>90937.733724</v>
      </c>
      <c r="BX28" s="35">
        <f t="shared" si="41"/>
        <v>2703.614778</v>
      </c>
      <c r="BY28"/>
      <c r="BZ28" s="35">
        <f t="shared" si="92"/>
        <v>23492.502</v>
      </c>
      <c r="CA28" s="35">
        <f t="shared" si="42"/>
        <v>3315.5775288</v>
      </c>
      <c r="CB28" s="5">
        <f t="shared" si="43"/>
        <v>26808.0795288</v>
      </c>
      <c r="CC28" s="35">
        <f t="shared" si="44"/>
        <v>797.0148035999999</v>
      </c>
      <c r="CD28"/>
      <c r="CE28" s="35">
        <f t="shared" si="93"/>
        <v>1289.563</v>
      </c>
      <c r="CF28" s="35">
        <f t="shared" si="45"/>
        <v>182.0004572</v>
      </c>
      <c r="CG28" s="5">
        <f t="shared" si="46"/>
        <v>1471.5634572000001</v>
      </c>
      <c r="CH28" s="35">
        <f t="shared" si="47"/>
        <v>43.7501634</v>
      </c>
      <c r="CI28"/>
      <c r="CJ28" s="35">
        <f t="shared" si="94"/>
        <v>61.655</v>
      </c>
      <c r="CK28" s="35">
        <f t="shared" si="48"/>
        <v>8.701582</v>
      </c>
      <c r="CL28" s="5">
        <f t="shared" si="49"/>
        <v>70.356582</v>
      </c>
      <c r="CM28" s="35">
        <f t="shared" si="50"/>
        <v>2.091729</v>
      </c>
      <c r="CN28"/>
      <c r="CO28" s="35">
        <f t="shared" si="95"/>
        <v>43248.711</v>
      </c>
      <c r="CP28" s="35">
        <f t="shared" si="51"/>
        <v>6103.8391884</v>
      </c>
      <c r="CQ28" s="5">
        <f t="shared" si="52"/>
        <v>49352.550188400004</v>
      </c>
      <c r="CR28" s="35">
        <f t="shared" si="53"/>
        <v>1467.2708298</v>
      </c>
      <c r="CT28" s="35">
        <f t="shared" si="96"/>
        <v>1137.6970000000001</v>
      </c>
      <c r="CU28" s="35">
        <f t="shared" si="54"/>
        <v>160.5670868</v>
      </c>
      <c r="CV28" s="5">
        <f t="shared" si="55"/>
        <v>1298.2640868</v>
      </c>
      <c r="CW28" s="35">
        <f t="shared" si="56"/>
        <v>38.5979046</v>
      </c>
      <c r="CX28"/>
      <c r="CY28" s="35">
        <f t="shared" si="97"/>
        <v>33692.835</v>
      </c>
      <c r="CZ28" s="35">
        <f t="shared" si="57"/>
        <v>4755.185574</v>
      </c>
      <c r="DA28" s="5">
        <f t="shared" si="58"/>
        <v>38448.020574</v>
      </c>
      <c r="DB28" s="35">
        <f t="shared" si="59"/>
        <v>1143.074853</v>
      </c>
      <c r="DC28"/>
      <c r="DD28" s="35">
        <f t="shared" si="98"/>
        <v>31517.387</v>
      </c>
      <c r="DE28" s="35">
        <f t="shared" si="60"/>
        <v>4448.1571228</v>
      </c>
      <c r="DF28" s="5">
        <f t="shared" si="61"/>
        <v>35965.5441228</v>
      </c>
      <c r="DG28" s="35">
        <f t="shared" si="62"/>
        <v>1069.2698466</v>
      </c>
      <c r="DH28"/>
      <c r="DI28" s="35">
        <f t="shared" si="99"/>
        <v>48086.356999999996</v>
      </c>
      <c r="DJ28" s="35">
        <f t="shared" si="63"/>
        <v>6786.592790799999</v>
      </c>
      <c r="DK28" s="5">
        <f t="shared" si="64"/>
        <v>54872.9497908</v>
      </c>
      <c r="DL28" s="35">
        <f t="shared" si="65"/>
        <v>1631.3944926</v>
      </c>
      <c r="DM28"/>
      <c r="DN28" s="35">
        <f t="shared" si="100"/>
        <v>55090.365</v>
      </c>
      <c r="DO28" s="35">
        <f t="shared" si="66"/>
        <v>7775.092506</v>
      </c>
      <c r="DP28" s="5">
        <f t="shared" si="67"/>
        <v>62865.457506</v>
      </c>
      <c r="DQ28" s="35">
        <f t="shared" si="68"/>
        <v>1869.014907</v>
      </c>
      <c r="DR28"/>
      <c r="DS28" s="35">
        <f t="shared" si="101"/>
        <v>30013.005</v>
      </c>
      <c r="DT28" s="35">
        <f t="shared" si="69"/>
        <v>4235.838522</v>
      </c>
      <c r="DU28" s="35">
        <f t="shared" si="70"/>
        <v>34248.843522</v>
      </c>
      <c r="DV28" s="35">
        <f t="shared" si="71"/>
        <v>1018.231659</v>
      </c>
      <c r="DW28"/>
      <c r="DX28" s="35">
        <f t="shared" si="102"/>
        <v>45567.588</v>
      </c>
      <c r="DY28" s="35">
        <f t="shared" si="72"/>
        <v>6431.1102672</v>
      </c>
      <c r="DZ28" s="35">
        <f t="shared" si="73"/>
        <v>51998.6982672</v>
      </c>
      <c r="EA28" s="35">
        <f t="shared" si="74"/>
        <v>1545.9418584</v>
      </c>
      <c r="EC28" s="35">
        <f t="shared" si="103"/>
        <v>13484.921999999999</v>
      </c>
      <c r="ED28" s="35">
        <f t="shared" si="75"/>
        <v>1903.1733768</v>
      </c>
      <c r="EE28" s="35">
        <f t="shared" si="76"/>
        <v>15388.095376799998</v>
      </c>
      <c r="EF28" s="35">
        <f t="shared" si="77"/>
        <v>457.4941596</v>
      </c>
    </row>
    <row r="29" spans="1:136" ht="12.75">
      <c r="A29" s="36">
        <v>11597</v>
      </c>
      <c r="D29" s="3">
        <v>818606</v>
      </c>
      <c r="E29" s="34">
        <f t="shared" si="0"/>
        <v>818606</v>
      </c>
      <c r="F29" s="34">
        <v>220182</v>
      </c>
      <c r="H29" s="43"/>
      <c r="I29" s="35">
        <f t="shared" si="1"/>
        <v>235834.57649740003</v>
      </c>
      <c r="J29" s="35">
        <f t="shared" si="2"/>
        <v>235834.57649740003</v>
      </c>
      <c r="K29" s="35">
        <f t="shared" si="1"/>
        <v>63432.870907799996</v>
      </c>
      <c r="L29"/>
      <c r="M29" s="35"/>
      <c r="N29" s="35">
        <f t="shared" si="3"/>
        <v>83503.05107839999</v>
      </c>
      <c r="O29" s="5">
        <f t="shared" si="4"/>
        <v>83503.05107839999</v>
      </c>
      <c r="P29" s="35">
        <f t="shared" si="5"/>
        <v>22459.973164799998</v>
      </c>
      <c r="Q29"/>
      <c r="R29" s="35"/>
      <c r="S29" s="35">
        <f t="shared" si="6"/>
        <v>6233.68469</v>
      </c>
      <c r="T29" s="5">
        <f t="shared" si="7"/>
        <v>6233.68469</v>
      </c>
      <c r="U29" s="35">
        <f t="shared" si="8"/>
        <v>1676.68593</v>
      </c>
      <c r="V29"/>
      <c r="W29" s="35"/>
      <c r="X29" s="35">
        <f t="shared" si="9"/>
        <v>64004.34732200001</v>
      </c>
      <c r="Y29" s="5">
        <f t="shared" si="10"/>
        <v>64004.34732200001</v>
      </c>
      <c r="Z29" s="35">
        <f t="shared" si="11"/>
        <v>17215.370034000003</v>
      </c>
      <c r="AA29"/>
      <c r="AB29" s="35"/>
      <c r="AC29" s="35">
        <f t="shared" si="12"/>
        <v>3332.2994442</v>
      </c>
      <c r="AD29" s="5">
        <f t="shared" si="13"/>
        <v>3332.2994442</v>
      </c>
      <c r="AE29" s="35">
        <f t="shared" si="14"/>
        <v>896.2948674</v>
      </c>
      <c r="AF29"/>
      <c r="AG29" s="35"/>
      <c r="AH29" s="35">
        <f t="shared" si="15"/>
        <v>202.3594032</v>
      </c>
      <c r="AI29" s="5">
        <f t="shared" si="16"/>
        <v>202.3594032</v>
      </c>
      <c r="AJ29" s="35">
        <f t="shared" si="17"/>
        <v>54.428990399999996</v>
      </c>
      <c r="AK29"/>
      <c r="AL29" s="35"/>
      <c r="AM29" s="35">
        <f t="shared" si="18"/>
        <v>278.2441794</v>
      </c>
      <c r="AN29" s="5">
        <f t="shared" si="19"/>
        <v>278.2441794</v>
      </c>
      <c r="AO29" s="35">
        <f t="shared" si="20"/>
        <v>74.83986180000001</v>
      </c>
      <c r="AP29"/>
      <c r="AQ29" s="35"/>
      <c r="AR29" s="35">
        <f t="shared" si="21"/>
        <v>14687.019548999999</v>
      </c>
      <c r="AS29" s="5">
        <f t="shared" si="22"/>
        <v>14687.019548999999</v>
      </c>
      <c r="AT29" s="35">
        <f t="shared" si="23"/>
        <v>3950.395353</v>
      </c>
      <c r="AU29"/>
      <c r="AV29" s="35"/>
      <c r="AW29" s="35">
        <f t="shared" si="24"/>
        <v>22.7572468</v>
      </c>
      <c r="AX29" s="5">
        <f t="shared" si="25"/>
        <v>22.7572468</v>
      </c>
      <c r="AY29" s="35">
        <f t="shared" si="26"/>
        <v>6.121059600000001</v>
      </c>
      <c r="AZ29"/>
      <c r="BA29" s="35"/>
      <c r="BB29" s="35">
        <f t="shared" si="27"/>
        <v>339.6396294</v>
      </c>
      <c r="BC29" s="5">
        <f t="shared" si="28"/>
        <v>339.6396294</v>
      </c>
      <c r="BD29" s="35">
        <f t="shared" si="29"/>
        <v>91.3535118</v>
      </c>
      <c r="BE29"/>
      <c r="BF29" s="35"/>
      <c r="BG29" s="35">
        <f t="shared" si="30"/>
        <v>75.2298914</v>
      </c>
      <c r="BH29" s="5">
        <f t="shared" si="31"/>
        <v>75.2298914</v>
      </c>
      <c r="BI29" s="35">
        <f t="shared" si="32"/>
        <v>20.2347258</v>
      </c>
      <c r="BJ29"/>
      <c r="BK29" s="35"/>
      <c r="BL29" s="35">
        <f t="shared" si="33"/>
        <v>11859.0632614</v>
      </c>
      <c r="BM29" s="5">
        <f t="shared" si="34"/>
        <v>11859.0632614</v>
      </c>
      <c r="BN29" s="35">
        <f t="shared" si="35"/>
        <v>3189.7546158</v>
      </c>
      <c r="BO29"/>
      <c r="BP29" s="35"/>
      <c r="BQ29" s="35">
        <f t="shared" si="36"/>
        <v>39.6205304</v>
      </c>
      <c r="BR29" s="5">
        <f t="shared" si="37"/>
        <v>39.6205304</v>
      </c>
      <c r="BS29" s="35">
        <f t="shared" si="38"/>
        <v>10.6568088</v>
      </c>
      <c r="BT29"/>
      <c r="BU29" s="35"/>
      <c r="BV29" s="35">
        <f t="shared" si="39"/>
        <v>10051.663074</v>
      </c>
      <c r="BW29" s="5">
        <f t="shared" si="40"/>
        <v>10051.663074</v>
      </c>
      <c r="BX29" s="35">
        <f t="shared" si="41"/>
        <v>2703.614778</v>
      </c>
      <c r="BY29"/>
      <c r="BZ29" s="35"/>
      <c r="CA29" s="35">
        <f t="shared" si="42"/>
        <v>2963.1899988</v>
      </c>
      <c r="CB29" s="5">
        <f t="shared" si="43"/>
        <v>2963.1899988</v>
      </c>
      <c r="CC29" s="35">
        <f t="shared" si="44"/>
        <v>797.0148035999999</v>
      </c>
      <c r="CD29"/>
      <c r="CE29" s="35"/>
      <c r="CF29" s="35">
        <f t="shared" si="45"/>
        <v>162.6570122</v>
      </c>
      <c r="CG29" s="5">
        <f t="shared" si="46"/>
        <v>162.6570122</v>
      </c>
      <c r="CH29" s="35">
        <f t="shared" si="47"/>
        <v>43.7501634</v>
      </c>
      <c r="CI29"/>
      <c r="CJ29" s="35"/>
      <c r="CK29" s="35">
        <f t="shared" si="48"/>
        <v>7.776757000000001</v>
      </c>
      <c r="CL29" s="5">
        <f t="shared" si="49"/>
        <v>7.776757000000001</v>
      </c>
      <c r="CM29" s="35">
        <f t="shared" si="50"/>
        <v>2.091729</v>
      </c>
      <c r="CN29"/>
      <c r="CO29" s="35"/>
      <c r="CP29" s="35">
        <f t="shared" si="51"/>
        <v>5455.1085234</v>
      </c>
      <c r="CQ29" s="5">
        <f t="shared" si="52"/>
        <v>5455.1085234</v>
      </c>
      <c r="CR29" s="35">
        <f t="shared" si="53"/>
        <v>1467.2708298</v>
      </c>
      <c r="CT29" s="35"/>
      <c r="CU29" s="35">
        <f t="shared" si="54"/>
        <v>143.5016318</v>
      </c>
      <c r="CV29" s="5">
        <f t="shared" si="55"/>
        <v>143.5016318</v>
      </c>
      <c r="CW29" s="35">
        <f t="shared" si="56"/>
        <v>38.5979046</v>
      </c>
      <c r="CX29"/>
      <c r="CY29" s="35"/>
      <c r="CZ29" s="35">
        <f t="shared" si="57"/>
        <v>4249.793049</v>
      </c>
      <c r="DA29" s="5">
        <f t="shared" si="58"/>
        <v>4249.793049</v>
      </c>
      <c r="DB29" s="35">
        <f t="shared" si="59"/>
        <v>1143.074853</v>
      </c>
      <c r="DC29"/>
      <c r="DD29" s="35"/>
      <c r="DE29" s="35">
        <f t="shared" si="60"/>
        <v>3975.3963178</v>
      </c>
      <c r="DF29" s="5">
        <f t="shared" si="61"/>
        <v>3975.3963178</v>
      </c>
      <c r="DG29" s="35">
        <f t="shared" si="62"/>
        <v>1069.2698466</v>
      </c>
      <c r="DH29"/>
      <c r="DI29" s="35"/>
      <c r="DJ29" s="35">
        <f t="shared" si="63"/>
        <v>6065.2974358</v>
      </c>
      <c r="DK29" s="5">
        <f t="shared" si="64"/>
        <v>6065.2974358</v>
      </c>
      <c r="DL29" s="35">
        <f t="shared" si="65"/>
        <v>1631.3944926</v>
      </c>
      <c r="DM29"/>
      <c r="DN29" s="35"/>
      <c r="DO29" s="35">
        <f t="shared" si="66"/>
        <v>6948.737031</v>
      </c>
      <c r="DP29" s="5">
        <f t="shared" si="67"/>
        <v>6948.737031</v>
      </c>
      <c r="DQ29" s="35">
        <f t="shared" si="68"/>
        <v>1869.014907</v>
      </c>
      <c r="DR29"/>
      <c r="DS29" s="35"/>
      <c r="DT29" s="35">
        <f t="shared" si="69"/>
        <v>3785.643447</v>
      </c>
      <c r="DU29" s="35">
        <f t="shared" si="70"/>
        <v>3785.643447</v>
      </c>
      <c r="DV29" s="35">
        <f t="shared" si="71"/>
        <v>1018.231659</v>
      </c>
      <c r="DW29"/>
      <c r="DX29" s="35"/>
      <c r="DY29" s="35">
        <f t="shared" si="72"/>
        <v>5747.5964472</v>
      </c>
      <c r="DZ29" s="35">
        <f t="shared" si="73"/>
        <v>5747.5964472</v>
      </c>
      <c r="EA29" s="35">
        <f t="shared" si="74"/>
        <v>1545.9418584</v>
      </c>
      <c r="EC29" s="35"/>
      <c r="ED29" s="35">
        <f t="shared" si="75"/>
        <v>1700.8995467999998</v>
      </c>
      <c r="EE29" s="35">
        <f t="shared" si="76"/>
        <v>1700.8995467999998</v>
      </c>
      <c r="EF29" s="35">
        <f t="shared" si="77"/>
        <v>457.4941596</v>
      </c>
    </row>
    <row r="30" spans="1:136" ht="12.75">
      <c r="A30" s="36">
        <v>11780</v>
      </c>
      <c r="C30" s="3">
        <v>6685000</v>
      </c>
      <c r="D30" s="3">
        <v>818606</v>
      </c>
      <c r="E30" s="34">
        <f t="shared" si="0"/>
        <v>7503606</v>
      </c>
      <c r="F30" s="34">
        <v>220182</v>
      </c>
      <c r="H30" s="43">
        <f t="shared" si="78"/>
        <v>1925901.0365000004</v>
      </c>
      <c r="I30" s="35">
        <f t="shared" si="1"/>
        <v>235834.57649740003</v>
      </c>
      <c r="J30" s="35">
        <f t="shared" si="2"/>
        <v>2161735.6129974006</v>
      </c>
      <c r="K30" s="35">
        <f t="shared" si="1"/>
        <v>63432.870907799996</v>
      </c>
      <c r="L30"/>
      <c r="M30" s="35">
        <f t="shared" si="79"/>
        <v>681912.784</v>
      </c>
      <c r="N30" s="35">
        <f t="shared" si="3"/>
        <v>83503.05107839999</v>
      </c>
      <c r="O30" s="5">
        <f t="shared" si="4"/>
        <v>765415.8350784</v>
      </c>
      <c r="P30" s="35">
        <f t="shared" si="5"/>
        <v>22459.973164799998</v>
      </c>
      <c r="Q30"/>
      <c r="R30" s="35">
        <f t="shared" si="80"/>
        <v>50906.275</v>
      </c>
      <c r="S30" s="35">
        <f t="shared" si="6"/>
        <v>6233.68469</v>
      </c>
      <c r="T30" s="5">
        <f t="shared" si="7"/>
        <v>57139.95969</v>
      </c>
      <c r="U30" s="35">
        <f t="shared" si="8"/>
        <v>1676.68593</v>
      </c>
      <c r="V30"/>
      <c r="W30" s="35">
        <f t="shared" si="81"/>
        <v>522680.09500000003</v>
      </c>
      <c r="X30" s="35">
        <f t="shared" si="9"/>
        <v>64004.34732200001</v>
      </c>
      <c r="Y30" s="5">
        <f t="shared" si="10"/>
        <v>586684.442322</v>
      </c>
      <c r="Z30" s="35">
        <f t="shared" si="11"/>
        <v>17215.370034000003</v>
      </c>
      <c r="AA30"/>
      <c r="AB30" s="35">
        <f t="shared" si="82"/>
        <v>27212.6295</v>
      </c>
      <c r="AC30" s="35">
        <f t="shared" si="12"/>
        <v>3332.2994442</v>
      </c>
      <c r="AD30" s="5">
        <f t="shared" si="13"/>
        <v>30544.9289442</v>
      </c>
      <c r="AE30" s="35">
        <f t="shared" si="14"/>
        <v>896.2948674</v>
      </c>
      <c r="AF30"/>
      <c r="AG30" s="35">
        <f t="shared" si="83"/>
        <v>1652.532</v>
      </c>
      <c r="AH30" s="35">
        <f t="shared" si="15"/>
        <v>202.3594032</v>
      </c>
      <c r="AI30" s="5">
        <f t="shared" si="16"/>
        <v>1854.8914032</v>
      </c>
      <c r="AJ30" s="35">
        <f t="shared" si="17"/>
        <v>54.428990399999996</v>
      </c>
      <c r="AK30"/>
      <c r="AL30" s="35">
        <f t="shared" si="84"/>
        <v>2272.2315000000003</v>
      </c>
      <c r="AM30" s="35">
        <f t="shared" si="18"/>
        <v>278.2441794</v>
      </c>
      <c r="AN30" s="5">
        <f t="shared" si="19"/>
        <v>2550.4756794000004</v>
      </c>
      <c r="AO30" s="35">
        <f t="shared" si="20"/>
        <v>74.83986180000001</v>
      </c>
      <c r="AP30"/>
      <c r="AQ30" s="35">
        <f t="shared" si="85"/>
        <v>119938.92749999999</v>
      </c>
      <c r="AR30" s="35">
        <f t="shared" si="21"/>
        <v>14687.019548999999</v>
      </c>
      <c r="AS30" s="5">
        <f t="shared" si="22"/>
        <v>134625.94704899998</v>
      </c>
      <c r="AT30" s="35">
        <f t="shared" si="23"/>
        <v>3950.395353</v>
      </c>
      <c r="AU30"/>
      <c r="AV30" s="35">
        <f t="shared" si="86"/>
        <v>185.84300000000002</v>
      </c>
      <c r="AW30" s="35">
        <f t="shared" si="24"/>
        <v>22.7572468</v>
      </c>
      <c r="AX30" s="5">
        <f t="shared" si="25"/>
        <v>208.6002468</v>
      </c>
      <c r="AY30" s="35">
        <f t="shared" si="26"/>
        <v>6.121059600000001</v>
      </c>
      <c r="AZ30"/>
      <c r="BA30" s="35">
        <f t="shared" si="87"/>
        <v>2773.6065</v>
      </c>
      <c r="BB30" s="35">
        <f t="shared" si="27"/>
        <v>339.6396294</v>
      </c>
      <c r="BC30" s="5">
        <f t="shared" si="28"/>
        <v>3113.2461294</v>
      </c>
      <c r="BD30" s="35">
        <f t="shared" si="29"/>
        <v>91.3535118</v>
      </c>
      <c r="BE30"/>
      <c r="BF30" s="35">
        <f t="shared" si="88"/>
        <v>614.3515</v>
      </c>
      <c r="BG30" s="35">
        <f t="shared" si="30"/>
        <v>75.2298914</v>
      </c>
      <c r="BH30" s="5">
        <f t="shared" si="31"/>
        <v>689.5813914</v>
      </c>
      <c r="BI30" s="35">
        <f t="shared" si="32"/>
        <v>20.2347258</v>
      </c>
      <c r="BJ30"/>
      <c r="BK30" s="35">
        <f t="shared" si="89"/>
        <v>96844.9265</v>
      </c>
      <c r="BL30" s="35">
        <f t="shared" si="33"/>
        <v>11859.0632614</v>
      </c>
      <c r="BM30" s="5">
        <f t="shared" si="34"/>
        <v>108703.98976140001</v>
      </c>
      <c r="BN30" s="35">
        <f t="shared" si="35"/>
        <v>3189.7546158</v>
      </c>
      <c r="BO30"/>
      <c r="BP30" s="35">
        <f t="shared" si="90"/>
        <v>323.554</v>
      </c>
      <c r="BQ30" s="35">
        <f t="shared" si="36"/>
        <v>39.6205304</v>
      </c>
      <c r="BR30" s="5">
        <f t="shared" si="37"/>
        <v>363.1745304</v>
      </c>
      <c r="BS30" s="35">
        <f t="shared" si="38"/>
        <v>10.6568088</v>
      </c>
      <c r="BT30"/>
      <c r="BU30" s="35">
        <f t="shared" si="91"/>
        <v>82085.115</v>
      </c>
      <c r="BV30" s="35">
        <f t="shared" si="39"/>
        <v>10051.663074</v>
      </c>
      <c r="BW30" s="5">
        <f t="shared" si="40"/>
        <v>92136.778074</v>
      </c>
      <c r="BX30" s="35">
        <f t="shared" si="41"/>
        <v>2703.614778</v>
      </c>
      <c r="BY30"/>
      <c r="BZ30" s="35">
        <f t="shared" si="92"/>
        <v>24198.362999999998</v>
      </c>
      <c r="CA30" s="35">
        <f t="shared" si="42"/>
        <v>2963.1899988</v>
      </c>
      <c r="CB30" s="5">
        <f t="shared" si="43"/>
        <v>27161.552998799998</v>
      </c>
      <c r="CC30" s="35">
        <f t="shared" si="44"/>
        <v>797.0148035999999</v>
      </c>
      <c r="CD30"/>
      <c r="CE30" s="35">
        <f t="shared" si="93"/>
        <v>1328.3095</v>
      </c>
      <c r="CF30" s="35">
        <f t="shared" si="45"/>
        <v>162.6570122</v>
      </c>
      <c r="CG30" s="5">
        <f t="shared" si="46"/>
        <v>1490.9665122000001</v>
      </c>
      <c r="CH30" s="35">
        <f t="shared" si="47"/>
        <v>43.7501634</v>
      </c>
      <c r="CI30"/>
      <c r="CJ30" s="35">
        <f t="shared" si="94"/>
        <v>63.5075</v>
      </c>
      <c r="CK30" s="35">
        <f t="shared" si="48"/>
        <v>7.776757000000001</v>
      </c>
      <c r="CL30" s="5">
        <f t="shared" si="49"/>
        <v>71.284257</v>
      </c>
      <c r="CM30" s="35">
        <f t="shared" si="50"/>
        <v>2.091729</v>
      </c>
      <c r="CN30"/>
      <c r="CO30" s="35">
        <f t="shared" si="95"/>
        <v>44548.171500000004</v>
      </c>
      <c r="CP30" s="35">
        <f t="shared" si="51"/>
        <v>5455.1085234</v>
      </c>
      <c r="CQ30" s="5">
        <f t="shared" si="52"/>
        <v>50003.2800234</v>
      </c>
      <c r="CR30" s="35">
        <f t="shared" si="53"/>
        <v>1467.2708298</v>
      </c>
      <c r="CT30" s="35">
        <f t="shared" si="96"/>
        <v>1171.8805</v>
      </c>
      <c r="CU30" s="35">
        <f t="shared" si="54"/>
        <v>143.5016318</v>
      </c>
      <c r="CV30" s="5">
        <f t="shared" si="55"/>
        <v>1315.3821318</v>
      </c>
      <c r="CW30" s="35">
        <f t="shared" si="56"/>
        <v>38.5979046</v>
      </c>
      <c r="CX30"/>
      <c r="CY30" s="35">
        <f t="shared" si="97"/>
        <v>34705.1775</v>
      </c>
      <c r="CZ30" s="35">
        <f t="shared" si="57"/>
        <v>4249.793049</v>
      </c>
      <c r="DA30" s="5">
        <f t="shared" si="58"/>
        <v>38954.970549</v>
      </c>
      <c r="DB30" s="35">
        <f t="shared" si="59"/>
        <v>1143.074853</v>
      </c>
      <c r="DC30"/>
      <c r="DD30" s="35">
        <f t="shared" si="98"/>
        <v>32464.3655</v>
      </c>
      <c r="DE30" s="35">
        <f t="shared" si="60"/>
        <v>3975.3963178</v>
      </c>
      <c r="DF30" s="5">
        <f t="shared" si="61"/>
        <v>36439.7618178</v>
      </c>
      <c r="DG30" s="35">
        <f t="shared" si="62"/>
        <v>1069.2698466</v>
      </c>
      <c r="DH30"/>
      <c r="DI30" s="35">
        <f t="shared" si="99"/>
        <v>49531.1705</v>
      </c>
      <c r="DJ30" s="35">
        <f t="shared" si="63"/>
        <v>6065.2974358</v>
      </c>
      <c r="DK30" s="5">
        <f t="shared" si="64"/>
        <v>55596.4679358</v>
      </c>
      <c r="DL30" s="35">
        <f t="shared" si="65"/>
        <v>1631.3944926</v>
      </c>
      <c r="DM30"/>
      <c r="DN30" s="35">
        <f t="shared" si="100"/>
        <v>56745.6225</v>
      </c>
      <c r="DO30" s="35">
        <f t="shared" si="66"/>
        <v>6948.737031</v>
      </c>
      <c r="DP30" s="5">
        <f t="shared" si="67"/>
        <v>63694.359530999995</v>
      </c>
      <c r="DQ30" s="35">
        <f t="shared" si="68"/>
        <v>1869.014907</v>
      </c>
      <c r="DR30"/>
      <c r="DS30" s="35">
        <f t="shared" si="101"/>
        <v>30914.7825</v>
      </c>
      <c r="DT30" s="35">
        <f t="shared" si="69"/>
        <v>3785.643447</v>
      </c>
      <c r="DU30" s="35">
        <f t="shared" si="70"/>
        <v>34700.425947</v>
      </c>
      <c r="DV30" s="35">
        <f t="shared" si="71"/>
        <v>1018.231659</v>
      </c>
      <c r="DW30"/>
      <c r="DX30" s="35">
        <f t="shared" si="102"/>
        <v>46936.722</v>
      </c>
      <c r="DY30" s="35">
        <f t="shared" si="72"/>
        <v>5747.5964472</v>
      </c>
      <c r="DZ30" s="35">
        <f t="shared" si="73"/>
        <v>52684.3184472</v>
      </c>
      <c r="EA30" s="35">
        <f t="shared" si="74"/>
        <v>1545.9418584</v>
      </c>
      <c r="EC30" s="35">
        <f t="shared" si="103"/>
        <v>13890.092999999999</v>
      </c>
      <c r="ED30" s="35">
        <f t="shared" si="75"/>
        <v>1700.8995467999998</v>
      </c>
      <c r="EE30" s="35">
        <f t="shared" si="76"/>
        <v>15590.992546799998</v>
      </c>
      <c r="EF30" s="35">
        <f t="shared" si="77"/>
        <v>457.4941596</v>
      </c>
    </row>
    <row r="31" spans="1:136" ht="12.75">
      <c r="A31" s="36">
        <v>11963</v>
      </c>
      <c r="D31" s="3">
        <v>718331</v>
      </c>
      <c r="E31" s="34">
        <f t="shared" si="0"/>
        <v>718331</v>
      </c>
      <c r="F31" s="34">
        <v>220182</v>
      </c>
      <c r="H31" s="43"/>
      <c r="I31" s="35">
        <f t="shared" si="1"/>
        <v>206946.06094990004</v>
      </c>
      <c r="J31" s="35">
        <f t="shared" si="2"/>
        <v>206946.06094990004</v>
      </c>
      <c r="K31" s="35">
        <f t="shared" si="1"/>
        <v>63432.870907799996</v>
      </c>
      <c r="L31"/>
      <c r="M31" s="35"/>
      <c r="N31" s="35">
        <f t="shared" si="3"/>
        <v>73274.35931839999</v>
      </c>
      <c r="O31" s="5">
        <f t="shared" si="4"/>
        <v>73274.35931839999</v>
      </c>
      <c r="P31" s="35">
        <f t="shared" si="5"/>
        <v>22459.973164799998</v>
      </c>
      <c r="Q31"/>
      <c r="R31" s="35"/>
      <c r="S31" s="35">
        <f t="shared" si="6"/>
        <v>5470.090565</v>
      </c>
      <c r="T31" s="5">
        <f t="shared" si="7"/>
        <v>5470.090565</v>
      </c>
      <c r="U31" s="35">
        <f t="shared" si="8"/>
        <v>1676.68593</v>
      </c>
      <c r="V31"/>
      <c r="W31" s="35"/>
      <c r="X31" s="35">
        <f t="shared" si="9"/>
        <v>56164.145897</v>
      </c>
      <c r="Y31" s="5">
        <f t="shared" si="10"/>
        <v>56164.145897</v>
      </c>
      <c r="Z31" s="35">
        <f t="shared" si="11"/>
        <v>17215.370034000003</v>
      </c>
      <c r="AA31"/>
      <c r="AB31" s="35"/>
      <c r="AC31" s="35">
        <f t="shared" si="12"/>
        <v>2924.1100017</v>
      </c>
      <c r="AD31" s="5">
        <f t="shared" si="13"/>
        <v>2924.1100017</v>
      </c>
      <c r="AE31" s="35">
        <f t="shared" si="14"/>
        <v>896.2948674</v>
      </c>
      <c r="AF31"/>
      <c r="AG31" s="35"/>
      <c r="AH31" s="35">
        <f t="shared" si="15"/>
        <v>177.5714232</v>
      </c>
      <c r="AI31" s="5">
        <f t="shared" si="16"/>
        <v>177.5714232</v>
      </c>
      <c r="AJ31" s="35">
        <f t="shared" si="17"/>
        <v>54.428990399999996</v>
      </c>
      <c r="AK31"/>
      <c r="AL31" s="35"/>
      <c r="AM31" s="35">
        <f t="shared" si="18"/>
        <v>244.1607069</v>
      </c>
      <c r="AN31" s="5">
        <f t="shared" si="19"/>
        <v>244.1607069</v>
      </c>
      <c r="AO31" s="35">
        <f t="shared" si="20"/>
        <v>74.83986180000001</v>
      </c>
      <c r="AP31"/>
      <c r="AQ31" s="35"/>
      <c r="AR31" s="35">
        <f t="shared" si="21"/>
        <v>12887.935636499999</v>
      </c>
      <c r="AS31" s="5">
        <f t="shared" si="22"/>
        <v>12887.935636499999</v>
      </c>
      <c r="AT31" s="35">
        <f t="shared" si="23"/>
        <v>3950.395353</v>
      </c>
      <c r="AU31"/>
      <c r="AV31" s="35"/>
      <c r="AW31" s="35">
        <f t="shared" si="24"/>
        <v>19.9696018</v>
      </c>
      <c r="AX31" s="5">
        <f t="shared" si="25"/>
        <v>19.9696018</v>
      </c>
      <c r="AY31" s="35">
        <f t="shared" si="26"/>
        <v>6.121059600000001</v>
      </c>
      <c r="AZ31"/>
      <c r="BA31" s="35"/>
      <c r="BB31" s="35">
        <f t="shared" si="27"/>
        <v>298.0355319</v>
      </c>
      <c r="BC31" s="5">
        <f t="shared" si="28"/>
        <v>298.0355319</v>
      </c>
      <c r="BD31" s="35">
        <f t="shared" si="29"/>
        <v>91.3535118</v>
      </c>
      <c r="BE31"/>
      <c r="BF31" s="35"/>
      <c r="BG31" s="35">
        <f t="shared" si="30"/>
        <v>66.0146189</v>
      </c>
      <c r="BH31" s="5">
        <f t="shared" si="31"/>
        <v>66.0146189</v>
      </c>
      <c r="BI31" s="35">
        <f t="shared" si="32"/>
        <v>20.2347258</v>
      </c>
      <c r="BJ31"/>
      <c r="BK31" s="35"/>
      <c r="BL31" s="35">
        <f t="shared" si="33"/>
        <v>10406.3893639</v>
      </c>
      <c r="BM31" s="5">
        <f t="shared" si="34"/>
        <v>10406.3893639</v>
      </c>
      <c r="BN31" s="35">
        <f t="shared" si="35"/>
        <v>3189.7546158</v>
      </c>
      <c r="BO31"/>
      <c r="BP31" s="35"/>
      <c r="BQ31" s="35">
        <f t="shared" si="36"/>
        <v>34.7672204</v>
      </c>
      <c r="BR31" s="5">
        <f t="shared" si="37"/>
        <v>34.7672204</v>
      </c>
      <c r="BS31" s="35">
        <f t="shared" si="38"/>
        <v>10.6568088</v>
      </c>
      <c r="BT31"/>
      <c r="BU31" s="35"/>
      <c r="BV31" s="35">
        <f t="shared" si="39"/>
        <v>8820.386349</v>
      </c>
      <c r="BW31" s="5">
        <f t="shared" si="40"/>
        <v>8820.386349</v>
      </c>
      <c r="BX31" s="35">
        <f t="shared" si="41"/>
        <v>2703.614778</v>
      </c>
      <c r="BY31"/>
      <c r="BZ31" s="35"/>
      <c r="CA31" s="35">
        <f t="shared" si="42"/>
        <v>2600.2145538</v>
      </c>
      <c r="CB31" s="5">
        <f t="shared" si="43"/>
        <v>2600.2145538</v>
      </c>
      <c r="CC31" s="35">
        <f t="shared" si="44"/>
        <v>797.0148035999999</v>
      </c>
      <c r="CD31"/>
      <c r="CE31" s="35"/>
      <c r="CF31" s="35">
        <f t="shared" si="45"/>
        <v>142.7323697</v>
      </c>
      <c r="CG31" s="5">
        <f t="shared" si="46"/>
        <v>142.7323697</v>
      </c>
      <c r="CH31" s="35">
        <f t="shared" si="47"/>
        <v>43.7501634</v>
      </c>
      <c r="CI31"/>
      <c r="CJ31" s="35"/>
      <c r="CK31" s="35">
        <f t="shared" si="48"/>
        <v>6.8241445</v>
      </c>
      <c r="CL31" s="5">
        <f t="shared" si="49"/>
        <v>6.8241445</v>
      </c>
      <c r="CM31" s="35">
        <f t="shared" si="50"/>
        <v>2.091729</v>
      </c>
      <c r="CN31"/>
      <c r="CO31" s="35"/>
      <c r="CP31" s="35">
        <f t="shared" si="51"/>
        <v>4786.8859509</v>
      </c>
      <c r="CQ31" s="5">
        <f t="shared" si="52"/>
        <v>4786.8859509</v>
      </c>
      <c r="CR31" s="35">
        <f t="shared" si="53"/>
        <v>1467.2708298</v>
      </c>
      <c r="CT31" s="35"/>
      <c r="CU31" s="35">
        <f t="shared" si="54"/>
        <v>125.92342430000001</v>
      </c>
      <c r="CV31" s="5">
        <f t="shared" si="55"/>
        <v>125.92342430000001</v>
      </c>
      <c r="CW31" s="35">
        <f t="shared" si="56"/>
        <v>38.5979046</v>
      </c>
      <c r="CX31"/>
      <c r="CY31" s="35"/>
      <c r="CZ31" s="35">
        <f t="shared" si="57"/>
        <v>3729.2153865</v>
      </c>
      <c r="DA31" s="5">
        <f t="shared" si="58"/>
        <v>3729.2153865</v>
      </c>
      <c r="DB31" s="35">
        <f t="shared" si="59"/>
        <v>1143.074853</v>
      </c>
      <c r="DC31"/>
      <c r="DD31" s="35"/>
      <c r="DE31" s="35">
        <f t="shared" si="60"/>
        <v>3488.4308353</v>
      </c>
      <c r="DF31" s="5">
        <f t="shared" si="61"/>
        <v>3488.4308353</v>
      </c>
      <c r="DG31" s="35">
        <f t="shared" si="62"/>
        <v>1069.2698466</v>
      </c>
      <c r="DH31"/>
      <c r="DI31" s="35"/>
      <c r="DJ31" s="35">
        <f t="shared" si="63"/>
        <v>5322.3298783</v>
      </c>
      <c r="DK31" s="5">
        <f t="shared" si="64"/>
        <v>5322.3298783</v>
      </c>
      <c r="DL31" s="35">
        <f t="shared" si="65"/>
        <v>1631.3944926</v>
      </c>
      <c r="DM31"/>
      <c r="DN31" s="35"/>
      <c r="DO31" s="35">
        <f t="shared" si="66"/>
        <v>6097.5526935</v>
      </c>
      <c r="DP31" s="5">
        <f t="shared" si="67"/>
        <v>6097.5526935</v>
      </c>
      <c r="DQ31" s="35">
        <f t="shared" si="68"/>
        <v>1869.014907</v>
      </c>
      <c r="DR31"/>
      <c r="DS31" s="35"/>
      <c r="DT31" s="35">
        <f t="shared" si="69"/>
        <v>3321.9217095</v>
      </c>
      <c r="DU31" s="35">
        <f t="shared" si="70"/>
        <v>3321.9217095</v>
      </c>
      <c r="DV31" s="35">
        <f t="shared" si="71"/>
        <v>1018.231659</v>
      </c>
      <c r="DW31"/>
      <c r="DX31" s="35"/>
      <c r="DY31" s="35">
        <f t="shared" si="72"/>
        <v>5043.5456172</v>
      </c>
      <c r="DZ31" s="35">
        <f t="shared" si="73"/>
        <v>5043.5456172</v>
      </c>
      <c r="EA31" s="35">
        <f t="shared" si="74"/>
        <v>1545.9418584</v>
      </c>
      <c r="EC31" s="35"/>
      <c r="ED31" s="35">
        <f t="shared" si="75"/>
        <v>1492.5481518</v>
      </c>
      <c r="EE31" s="35">
        <f t="shared" si="76"/>
        <v>1492.5481518</v>
      </c>
      <c r="EF31" s="35">
        <f t="shared" si="77"/>
        <v>457.4941596</v>
      </c>
    </row>
    <row r="32" spans="1:136" ht="12.75">
      <c r="A32" s="36">
        <v>12145</v>
      </c>
      <c r="C32" s="3">
        <v>6885000</v>
      </c>
      <c r="D32" s="3">
        <v>718331</v>
      </c>
      <c r="E32" s="34">
        <f t="shared" si="0"/>
        <v>7603331</v>
      </c>
      <c r="F32" s="34">
        <v>220182</v>
      </c>
      <c r="H32" s="43">
        <f t="shared" si="78"/>
        <v>1983519.6165000002</v>
      </c>
      <c r="I32" s="35">
        <f t="shared" si="1"/>
        <v>206946.06094990004</v>
      </c>
      <c r="J32" s="35">
        <f t="shared" si="2"/>
        <v>2190465.6774499</v>
      </c>
      <c r="K32" s="35">
        <f t="shared" si="1"/>
        <v>63432.870907799996</v>
      </c>
      <c r="L32"/>
      <c r="M32" s="35">
        <f t="shared" si="79"/>
        <v>702314.064</v>
      </c>
      <c r="N32" s="35">
        <f t="shared" si="3"/>
        <v>73274.35931839999</v>
      </c>
      <c r="O32" s="5">
        <f t="shared" si="4"/>
        <v>775588.4233184</v>
      </c>
      <c r="P32" s="35">
        <f t="shared" si="5"/>
        <v>22459.973164799998</v>
      </c>
      <c r="Q32"/>
      <c r="R32" s="35">
        <f t="shared" si="80"/>
        <v>52429.275</v>
      </c>
      <c r="S32" s="35">
        <f t="shared" si="6"/>
        <v>5470.090565</v>
      </c>
      <c r="T32" s="5">
        <f t="shared" si="7"/>
        <v>57899.365565</v>
      </c>
      <c r="U32" s="35">
        <f t="shared" si="8"/>
        <v>1676.68593</v>
      </c>
      <c r="V32"/>
      <c r="W32" s="35">
        <f t="shared" si="81"/>
        <v>538317.495</v>
      </c>
      <c r="X32" s="35">
        <f t="shared" si="9"/>
        <v>56164.145897</v>
      </c>
      <c r="Y32" s="5">
        <f t="shared" si="10"/>
        <v>594481.640897</v>
      </c>
      <c r="Z32" s="35">
        <f t="shared" si="11"/>
        <v>17215.370034000003</v>
      </c>
      <c r="AA32"/>
      <c r="AB32" s="35">
        <f t="shared" si="82"/>
        <v>28026.7695</v>
      </c>
      <c r="AC32" s="35">
        <f t="shared" si="12"/>
        <v>2924.1100017</v>
      </c>
      <c r="AD32" s="5">
        <f t="shared" si="13"/>
        <v>30950.879501699997</v>
      </c>
      <c r="AE32" s="35">
        <f t="shared" si="14"/>
        <v>896.2948674</v>
      </c>
      <c r="AF32"/>
      <c r="AG32" s="35">
        <f t="shared" si="83"/>
        <v>1701.972</v>
      </c>
      <c r="AH32" s="35">
        <f t="shared" si="15"/>
        <v>177.5714232</v>
      </c>
      <c r="AI32" s="5">
        <f t="shared" si="16"/>
        <v>1879.5434232</v>
      </c>
      <c r="AJ32" s="35">
        <f t="shared" si="17"/>
        <v>54.428990399999996</v>
      </c>
      <c r="AK32"/>
      <c r="AL32" s="35">
        <f t="shared" si="84"/>
        <v>2340.2115000000003</v>
      </c>
      <c r="AM32" s="35">
        <f t="shared" si="18"/>
        <v>244.1607069</v>
      </c>
      <c r="AN32" s="5">
        <f t="shared" si="19"/>
        <v>2584.3722069000005</v>
      </c>
      <c r="AO32" s="35">
        <f t="shared" si="20"/>
        <v>74.83986180000001</v>
      </c>
      <c r="AP32"/>
      <c r="AQ32" s="35">
        <f t="shared" si="85"/>
        <v>123527.2275</v>
      </c>
      <c r="AR32" s="35">
        <f t="shared" si="21"/>
        <v>12887.935636499999</v>
      </c>
      <c r="AS32" s="5">
        <f t="shared" si="22"/>
        <v>136415.1631365</v>
      </c>
      <c r="AT32" s="35">
        <f t="shared" si="23"/>
        <v>3950.395353</v>
      </c>
      <c r="AU32"/>
      <c r="AV32" s="35">
        <f t="shared" si="86"/>
        <v>191.40300000000002</v>
      </c>
      <c r="AW32" s="35">
        <f t="shared" si="24"/>
        <v>19.9696018</v>
      </c>
      <c r="AX32" s="5">
        <f t="shared" si="25"/>
        <v>211.3726018</v>
      </c>
      <c r="AY32" s="35">
        <f t="shared" si="26"/>
        <v>6.121059600000001</v>
      </c>
      <c r="AZ32"/>
      <c r="BA32" s="35">
        <f t="shared" si="87"/>
        <v>2856.5865</v>
      </c>
      <c r="BB32" s="35">
        <f t="shared" si="27"/>
        <v>298.0355319</v>
      </c>
      <c r="BC32" s="5">
        <f t="shared" si="28"/>
        <v>3154.6220319</v>
      </c>
      <c r="BD32" s="35">
        <f t="shared" si="29"/>
        <v>91.3535118</v>
      </c>
      <c r="BE32"/>
      <c r="BF32" s="35">
        <f t="shared" si="88"/>
        <v>632.7315</v>
      </c>
      <c r="BG32" s="35">
        <f t="shared" si="30"/>
        <v>66.0146189</v>
      </c>
      <c r="BH32" s="5">
        <f t="shared" si="31"/>
        <v>698.7461188999999</v>
      </c>
      <c r="BI32" s="35">
        <f t="shared" si="32"/>
        <v>20.2347258</v>
      </c>
      <c r="BJ32"/>
      <c r="BK32" s="35">
        <f t="shared" si="89"/>
        <v>99742.3065</v>
      </c>
      <c r="BL32" s="35">
        <f t="shared" si="33"/>
        <v>10406.3893639</v>
      </c>
      <c r="BM32" s="5">
        <f t="shared" si="34"/>
        <v>110148.69586390001</v>
      </c>
      <c r="BN32" s="35">
        <f t="shared" si="35"/>
        <v>3189.7546158</v>
      </c>
      <c r="BO32"/>
      <c r="BP32" s="35">
        <f t="shared" si="90"/>
        <v>333.234</v>
      </c>
      <c r="BQ32" s="35">
        <f t="shared" si="36"/>
        <v>34.7672204</v>
      </c>
      <c r="BR32" s="5">
        <f t="shared" si="37"/>
        <v>368.00122039999997</v>
      </c>
      <c r="BS32" s="35">
        <f t="shared" si="38"/>
        <v>10.6568088</v>
      </c>
      <c r="BT32"/>
      <c r="BU32" s="35">
        <f t="shared" si="91"/>
        <v>84540.915</v>
      </c>
      <c r="BV32" s="35">
        <f t="shared" si="39"/>
        <v>8820.386349</v>
      </c>
      <c r="BW32" s="5">
        <f t="shared" si="40"/>
        <v>93361.30134899999</v>
      </c>
      <c r="BX32" s="35">
        <f t="shared" si="41"/>
        <v>2703.614778</v>
      </c>
      <c r="BY32"/>
      <c r="BZ32" s="35">
        <f t="shared" si="92"/>
        <v>24922.323</v>
      </c>
      <c r="CA32" s="35">
        <f t="shared" si="42"/>
        <v>2600.2145538</v>
      </c>
      <c r="CB32" s="5">
        <f t="shared" si="43"/>
        <v>27522.5375538</v>
      </c>
      <c r="CC32" s="35">
        <f t="shared" si="44"/>
        <v>797.0148035999999</v>
      </c>
      <c r="CD32"/>
      <c r="CE32" s="35">
        <f t="shared" si="93"/>
        <v>1368.0495</v>
      </c>
      <c r="CF32" s="35">
        <f t="shared" si="45"/>
        <v>142.7323697</v>
      </c>
      <c r="CG32" s="5">
        <f t="shared" si="46"/>
        <v>1510.7818697</v>
      </c>
      <c r="CH32" s="35">
        <f t="shared" si="47"/>
        <v>43.7501634</v>
      </c>
      <c r="CI32"/>
      <c r="CJ32" s="35">
        <f t="shared" si="94"/>
        <v>65.4075</v>
      </c>
      <c r="CK32" s="35">
        <f t="shared" si="48"/>
        <v>6.8241445</v>
      </c>
      <c r="CL32" s="5">
        <f t="shared" si="49"/>
        <v>72.2316445</v>
      </c>
      <c r="CM32" s="35">
        <f t="shared" si="50"/>
        <v>2.091729</v>
      </c>
      <c r="CN32"/>
      <c r="CO32" s="35">
        <f t="shared" si="95"/>
        <v>45880.9515</v>
      </c>
      <c r="CP32" s="35">
        <f t="shared" si="51"/>
        <v>4786.8859509</v>
      </c>
      <c r="CQ32" s="5">
        <f t="shared" si="52"/>
        <v>50667.837450900006</v>
      </c>
      <c r="CR32" s="35">
        <f t="shared" si="53"/>
        <v>1467.2708298</v>
      </c>
      <c r="CT32" s="35">
        <f t="shared" si="96"/>
        <v>1206.9405</v>
      </c>
      <c r="CU32" s="35">
        <f t="shared" si="54"/>
        <v>125.92342430000001</v>
      </c>
      <c r="CV32" s="5">
        <f t="shared" si="55"/>
        <v>1332.8639243</v>
      </c>
      <c r="CW32" s="35">
        <f t="shared" si="56"/>
        <v>38.5979046</v>
      </c>
      <c r="CX32"/>
      <c r="CY32" s="35">
        <f t="shared" si="97"/>
        <v>35743.4775</v>
      </c>
      <c r="CZ32" s="35">
        <f t="shared" si="57"/>
        <v>3729.2153865</v>
      </c>
      <c r="DA32" s="5">
        <f t="shared" si="58"/>
        <v>39472.6928865</v>
      </c>
      <c r="DB32" s="35">
        <f t="shared" si="59"/>
        <v>1143.074853</v>
      </c>
      <c r="DC32"/>
      <c r="DD32" s="35">
        <f t="shared" si="98"/>
        <v>33435.6255</v>
      </c>
      <c r="DE32" s="35">
        <f t="shared" si="60"/>
        <v>3488.4308353</v>
      </c>
      <c r="DF32" s="5">
        <f t="shared" si="61"/>
        <v>36924.0563353</v>
      </c>
      <c r="DG32" s="35">
        <f t="shared" si="62"/>
        <v>1069.2698466</v>
      </c>
      <c r="DH32"/>
      <c r="DI32" s="35">
        <f t="shared" si="99"/>
        <v>51013.0305</v>
      </c>
      <c r="DJ32" s="35">
        <f t="shared" si="63"/>
        <v>5322.3298783</v>
      </c>
      <c r="DK32" s="5">
        <f t="shared" si="64"/>
        <v>56335.3603783</v>
      </c>
      <c r="DL32" s="35">
        <f t="shared" si="65"/>
        <v>1631.3944926</v>
      </c>
      <c r="DM32"/>
      <c r="DN32" s="35">
        <f t="shared" si="100"/>
        <v>58443.322499999995</v>
      </c>
      <c r="DO32" s="35">
        <f t="shared" si="66"/>
        <v>6097.5526935</v>
      </c>
      <c r="DP32" s="5">
        <f t="shared" si="67"/>
        <v>64540.8751935</v>
      </c>
      <c r="DQ32" s="35">
        <f t="shared" si="68"/>
        <v>1869.014907</v>
      </c>
      <c r="DR32"/>
      <c r="DS32" s="35">
        <f t="shared" si="101"/>
        <v>31839.682500000003</v>
      </c>
      <c r="DT32" s="35">
        <f t="shared" si="69"/>
        <v>3321.9217095</v>
      </c>
      <c r="DU32" s="35">
        <f t="shared" si="70"/>
        <v>35161.6042095</v>
      </c>
      <c r="DV32" s="35">
        <f t="shared" si="71"/>
        <v>1018.231659</v>
      </c>
      <c r="DW32"/>
      <c r="DX32" s="35">
        <f t="shared" si="102"/>
        <v>48340.962</v>
      </c>
      <c r="DY32" s="35">
        <f t="shared" si="72"/>
        <v>5043.5456172</v>
      </c>
      <c r="DZ32" s="35">
        <f t="shared" si="73"/>
        <v>53384.5076172</v>
      </c>
      <c r="EA32" s="35">
        <f t="shared" si="74"/>
        <v>1545.9418584</v>
      </c>
      <c r="EC32" s="35">
        <f t="shared" si="103"/>
        <v>14305.652999999998</v>
      </c>
      <c r="ED32" s="35">
        <f t="shared" si="75"/>
        <v>1492.5481518</v>
      </c>
      <c r="EE32" s="35">
        <f t="shared" si="76"/>
        <v>15798.201151799998</v>
      </c>
      <c r="EF32" s="35">
        <f t="shared" si="77"/>
        <v>457.4941596</v>
      </c>
    </row>
    <row r="33" spans="1:136" ht="12.75">
      <c r="A33" s="36">
        <v>12328</v>
      </c>
      <c r="D33" s="3">
        <v>610753</v>
      </c>
      <c r="E33" s="34">
        <f t="shared" si="0"/>
        <v>610753</v>
      </c>
      <c r="F33" s="34">
        <v>220182</v>
      </c>
      <c r="H33" s="43"/>
      <c r="I33" s="35">
        <f t="shared" si="1"/>
        <v>175953.60295370003</v>
      </c>
      <c r="J33" s="35">
        <f t="shared" si="2"/>
        <v>175953.60295370003</v>
      </c>
      <c r="K33" s="35">
        <f t="shared" si="1"/>
        <v>63432.870907799996</v>
      </c>
      <c r="L33"/>
      <c r="M33" s="35"/>
      <c r="N33" s="35">
        <f t="shared" si="3"/>
        <v>62300.714819199995</v>
      </c>
      <c r="O33" s="5">
        <f t="shared" si="4"/>
        <v>62300.714819199995</v>
      </c>
      <c r="P33" s="35">
        <f t="shared" si="5"/>
        <v>22459.973164799998</v>
      </c>
      <c r="Q33"/>
      <c r="R33" s="35"/>
      <c r="S33" s="35">
        <f t="shared" si="6"/>
        <v>4650.884095</v>
      </c>
      <c r="T33" s="5">
        <f t="shared" si="7"/>
        <v>4650.884095</v>
      </c>
      <c r="U33" s="35">
        <f t="shared" si="8"/>
        <v>1676.68593</v>
      </c>
      <c r="V33"/>
      <c r="W33" s="35"/>
      <c r="X33" s="35">
        <f t="shared" si="9"/>
        <v>47752.944811</v>
      </c>
      <c r="Y33" s="5">
        <f t="shared" si="10"/>
        <v>47752.944811</v>
      </c>
      <c r="Z33" s="35">
        <f t="shared" si="11"/>
        <v>17215.370034000003</v>
      </c>
      <c r="AA33"/>
      <c r="AB33" s="35"/>
      <c r="AC33" s="35">
        <f t="shared" si="12"/>
        <v>2486.1922371</v>
      </c>
      <c r="AD33" s="5">
        <f t="shared" si="13"/>
        <v>2486.1922371</v>
      </c>
      <c r="AE33" s="35">
        <f t="shared" si="14"/>
        <v>896.2948674</v>
      </c>
      <c r="AF33"/>
      <c r="AG33" s="35"/>
      <c r="AH33" s="35">
        <f t="shared" si="15"/>
        <v>150.9781416</v>
      </c>
      <c r="AI33" s="5">
        <f t="shared" si="16"/>
        <v>150.9781416</v>
      </c>
      <c r="AJ33" s="35">
        <f t="shared" si="17"/>
        <v>54.428990399999996</v>
      </c>
      <c r="AK33"/>
      <c r="AL33" s="35"/>
      <c r="AM33" s="35">
        <f t="shared" si="18"/>
        <v>207.5949447</v>
      </c>
      <c r="AN33" s="5">
        <f t="shared" si="19"/>
        <v>207.5949447</v>
      </c>
      <c r="AO33" s="35">
        <f t="shared" si="20"/>
        <v>74.83986180000001</v>
      </c>
      <c r="AP33"/>
      <c r="AQ33" s="35"/>
      <c r="AR33" s="35">
        <f t="shared" si="21"/>
        <v>10957.8249495</v>
      </c>
      <c r="AS33" s="5">
        <f t="shared" si="22"/>
        <v>10957.8249495</v>
      </c>
      <c r="AT33" s="35">
        <f t="shared" si="23"/>
        <v>3950.395353</v>
      </c>
      <c r="AU33"/>
      <c r="AV33" s="35"/>
      <c r="AW33" s="35">
        <f t="shared" si="24"/>
        <v>16.978933400000003</v>
      </c>
      <c r="AX33" s="5">
        <f t="shared" si="25"/>
        <v>16.978933400000003</v>
      </c>
      <c r="AY33" s="35">
        <f t="shared" si="26"/>
        <v>6.121059600000001</v>
      </c>
      <c r="AZ33"/>
      <c r="BA33" s="35"/>
      <c r="BB33" s="35">
        <f t="shared" si="27"/>
        <v>253.4014197</v>
      </c>
      <c r="BC33" s="5">
        <f t="shared" si="28"/>
        <v>253.4014197</v>
      </c>
      <c r="BD33" s="35">
        <f t="shared" si="29"/>
        <v>91.3535118</v>
      </c>
      <c r="BE33"/>
      <c r="BF33" s="35"/>
      <c r="BG33" s="35">
        <f t="shared" si="30"/>
        <v>56.1282007</v>
      </c>
      <c r="BH33" s="5">
        <f t="shared" si="31"/>
        <v>56.1282007</v>
      </c>
      <c r="BI33" s="35">
        <f t="shared" si="32"/>
        <v>20.2347258</v>
      </c>
      <c r="BJ33"/>
      <c r="BK33" s="35"/>
      <c r="BL33" s="35">
        <f t="shared" si="33"/>
        <v>8847.9176357</v>
      </c>
      <c r="BM33" s="5">
        <f t="shared" si="34"/>
        <v>8847.9176357</v>
      </c>
      <c r="BN33" s="35">
        <f t="shared" si="35"/>
        <v>3189.7546158</v>
      </c>
      <c r="BO33"/>
      <c r="BP33" s="35"/>
      <c r="BQ33" s="35">
        <f t="shared" si="36"/>
        <v>29.560445199999997</v>
      </c>
      <c r="BR33" s="5">
        <f t="shared" si="37"/>
        <v>29.560445199999997</v>
      </c>
      <c r="BS33" s="35">
        <f t="shared" si="38"/>
        <v>10.6568088</v>
      </c>
      <c r="BT33"/>
      <c r="BU33" s="35"/>
      <c r="BV33" s="35">
        <f t="shared" si="39"/>
        <v>7499.436087</v>
      </c>
      <c r="BW33" s="5">
        <f t="shared" si="40"/>
        <v>7499.436087</v>
      </c>
      <c r="BX33" s="35">
        <f t="shared" si="41"/>
        <v>2703.614778</v>
      </c>
      <c r="BY33"/>
      <c r="BZ33" s="35"/>
      <c r="CA33" s="35">
        <f t="shared" si="42"/>
        <v>2210.8037094</v>
      </c>
      <c r="CB33" s="5">
        <f t="shared" si="43"/>
        <v>2210.8037094</v>
      </c>
      <c r="CC33" s="35">
        <f t="shared" si="44"/>
        <v>797.0148035999999</v>
      </c>
      <c r="CD33"/>
      <c r="CE33" s="35"/>
      <c r="CF33" s="35">
        <f t="shared" si="45"/>
        <v>121.3566211</v>
      </c>
      <c r="CG33" s="5">
        <f t="shared" si="46"/>
        <v>121.3566211</v>
      </c>
      <c r="CH33" s="35">
        <f t="shared" si="47"/>
        <v>43.7501634</v>
      </c>
      <c r="CI33"/>
      <c r="CJ33" s="35"/>
      <c r="CK33" s="35">
        <f t="shared" si="48"/>
        <v>5.8021535</v>
      </c>
      <c r="CL33" s="5">
        <f t="shared" si="49"/>
        <v>5.8021535</v>
      </c>
      <c r="CM33" s="35">
        <f t="shared" si="50"/>
        <v>2.091729</v>
      </c>
      <c r="CN33"/>
      <c r="CO33" s="35"/>
      <c r="CP33" s="35">
        <f t="shared" si="51"/>
        <v>4069.9969167000004</v>
      </c>
      <c r="CQ33" s="5">
        <f t="shared" si="52"/>
        <v>4069.9969167000004</v>
      </c>
      <c r="CR33" s="35">
        <f t="shared" si="53"/>
        <v>1467.2708298</v>
      </c>
      <c r="CT33" s="35"/>
      <c r="CU33" s="35">
        <f t="shared" si="54"/>
        <v>107.0650009</v>
      </c>
      <c r="CV33" s="5">
        <f t="shared" si="55"/>
        <v>107.0650009</v>
      </c>
      <c r="CW33" s="35">
        <f t="shared" si="56"/>
        <v>38.5979046</v>
      </c>
      <c r="CX33"/>
      <c r="CY33" s="35"/>
      <c r="CZ33" s="35">
        <f t="shared" si="57"/>
        <v>3170.7241995</v>
      </c>
      <c r="DA33" s="5">
        <f t="shared" si="58"/>
        <v>3170.7241995</v>
      </c>
      <c r="DB33" s="35">
        <f t="shared" si="59"/>
        <v>1143.074853</v>
      </c>
      <c r="DC33"/>
      <c r="DD33" s="35"/>
      <c r="DE33" s="35">
        <f t="shared" si="60"/>
        <v>2965.9997939</v>
      </c>
      <c r="DF33" s="5">
        <f t="shared" si="61"/>
        <v>2965.9997939</v>
      </c>
      <c r="DG33" s="35">
        <f t="shared" si="62"/>
        <v>1069.2698466</v>
      </c>
      <c r="DH33"/>
      <c r="DI33" s="35"/>
      <c r="DJ33" s="35">
        <f t="shared" si="63"/>
        <v>4525.2522029</v>
      </c>
      <c r="DK33" s="5">
        <f t="shared" si="64"/>
        <v>4525.2522029</v>
      </c>
      <c r="DL33" s="35">
        <f t="shared" si="65"/>
        <v>1631.3944926</v>
      </c>
      <c r="DM33"/>
      <c r="DN33" s="35"/>
      <c r="DO33" s="35">
        <f t="shared" si="66"/>
        <v>5184.3768405</v>
      </c>
      <c r="DP33" s="5">
        <f t="shared" si="67"/>
        <v>5184.3768405</v>
      </c>
      <c r="DQ33" s="35">
        <f t="shared" si="68"/>
        <v>1869.014907</v>
      </c>
      <c r="DR33"/>
      <c r="DS33" s="35"/>
      <c r="DT33" s="35">
        <f t="shared" si="69"/>
        <v>2824.4272485</v>
      </c>
      <c r="DU33" s="35">
        <f t="shared" si="70"/>
        <v>2824.4272485</v>
      </c>
      <c r="DV33" s="35">
        <f t="shared" si="71"/>
        <v>1018.231659</v>
      </c>
      <c r="DW33"/>
      <c r="DX33" s="35"/>
      <c r="DY33" s="35">
        <f t="shared" si="72"/>
        <v>4288.2189636</v>
      </c>
      <c r="DZ33" s="35">
        <f t="shared" si="73"/>
        <v>4288.2189636</v>
      </c>
      <c r="EA33" s="35">
        <f t="shared" si="74"/>
        <v>1545.9418584</v>
      </c>
      <c r="EC33" s="35"/>
      <c r="ED33" s="35">
        <f t="shared" si="75"/>
        <v>1269.0225834</v>
      </c>
      <c r="EE33" s="35">
        <f t="shared" si="76"/>
        <v>1269.0225834</v>
      </c>
      <c r="EF33" s="35">
        <f t="shared" si="77"/>
        <v>457.4941596</v>
      </c>
    </row>
    <row r="34" spans="1:136" ht="12.75">
      <c r="A34" s="36">
        <v>12510</v>
      </c>
      <c r="C34" s="3">
        <v>7100000</v>
      </c>
      <c r="D34" s="3">
        <v>610753</v>
      </c>
      <c r="E34" s="34">
        <f t="shared" si="0"/>
        <v>7710753</v>
      </c>
      <c r="F34" s="34">
        <v>220182</v>
      </c>
      <c r="H34" s="43">
        <f t="shared" si="78"/>
        <v>2045459.5899999996</v>
      </c>
      <c r="I34" s="35">
        <f t="shared" si="1"/>
        <v>175953.60295370003</v>
      </c>
      <c r="J34" s="35">
        <f t="shared" si="2"/>
        <v>2221413.1929536997</v>
      </c>
      <c r="K34" s="35">
        <f t="shared" si="1"/>
        <v>63432.870907799996</v>
      </c>
      <c r="L34"/>
      <c r="M34" s="35">
        <f t="shared" si="79"/>
        <v>724245.44</v>
      </c>
      <c r="N34" s="35">
        <f t="shared" si="3"/>
        <v>62300.714819199995</v>
      </c>
      <c r="O34" s="5">
        <f t="shared" si="4"/>
        <v>786546.1548191999</v>
      </c>
      <c r="P34" s="35">
        <f t="shared" si="5"/>
        <v>22459.973164799998</v>
      </c>
      <c r="Q34"/>
      <c r="R34" s="35">
        <f t="shared" si="80"/>
        <v>54066.5</v>
      </c>
      <c r="S34" s="35">
        <f t="shared" si="6"/>
        <v>4650.884095</v>
      </c>
      <c r="T34" s="5">
        <f t="shared" si="7"/>
        <v>58717.384095</v>
      </c>
      <c r="U34" s="35">
        <f t="shared" si="8"/>
        <v>1676.68593</v>
      </c>
      <c r="V34"/>
      <c r="W34" s="35">
        <f t="shared" si="81"/>
        <v>555127.7000000001</v>
      </c>
      <c r="X34" s="35">
        <f t="shared" si="9"/>
        <v>47752.944811</v>
      </c>
      <c r="Y34" s="5">
        <f t="shared" si="10"/>
        <v>602880.6448110001</v>
      </c>
      <c r="Z34" s="35">
        <f t="shared" si="11"/>
        <v>17215.370034000003</v>
      </c>
      <c r="AA34"/>
      <c r="AB34" s="35">
        <f t="shared" si="82"/>
        <v>28901.97</v>
      </c>
      <c r="AC34" s="35">
        <f t="shared" si="12"/>
        <v>2486.1922371</v>
      </c>
      <c r="AD34" s="5">
        <f t="shared" si="13"/>
        <v>31388.1622371</v>
      </c>
      <c r="AE34" s="35">
        <f t="shared" si="14"/>
        <v>896.2948674</v>
      </c>
      <c r="AF34"/>
      <c r="AG34" s="35">
        <f t="shared" si="83"/>
        <v>1755.12</v>
      </c>
      <c r="AH34" s="35">
        <f t="shared" si="15"/>
        <v>150.9781416</v>
      </c>
      <c r="AI34" s="5">
        <f t="shared" si="16"/>
        <v>1906.0981416</v>
      </c>
      <c r="AJ34" s="35">
        <f t="shared" si="17"/>
        <v>54.428990399999996</v>
      </c>
      <c r="AK34"/>
      <c r="AL34" s="35">
        <f t="shared" si="84"/>
        <v>2413.29</v>
      </c>
      <c r="AM34" s="35">
        <f t="shared" si="18"/>
        <v>207.5949447</v>
      </c>
      <c r="AN34" s="5">
        <f t="shared" si="19"/>
        <v>2620.8849447</v>
      </c>
      <c r="AO34" s="35">
        <f t="shared" si="20"/>
        <v>74.83986180000001</v>
      </c>
      <c r="AP34"/>
      <c r="AQ34" s="35">
        <f t="shared" si="85"/>
        <v>127384.65</v>
      </c>
      <c r="AR34" s="35">
        <f t="shared" si="21"/>
        <v>10957.8249495</v>
      </c>
      <c r="AS34" s="5">
        <f t="shared" si="22"/>
        <v>138342.4749495</v>
      </c>
      <c r="AT34" s="35">
        <f t="shared" si="23"/>
        <v>3950.395353</v>
      </c>
      <c r="AU34"/>
      <c r="AV34" s="35">
        <f t="shared" si="86"/>
        <v>197.38000000000002</v>
      </c>
      <c r="AW34" s="35">
        <f t="shared" si="24"/>
        <v>16.978933400000003</v>
      </c>
      <c r="AX34" s="5">
        <f t="shared" si="25"/>
        <v>214.3589334</v>
      </c>
      <c r="AY34" s="35">
        <f t="shared" si="26"/>
        <v>6.121059600000001</v>
      </c>
      <c r="AZ34"/>
      <c r="BA34" s="35">
        <f t="shared" si="87"/>
        <v>2945.79</v>
      </c>
      <c r="BB34" s="35">
        <f t="shared" si="27"/>
        <v>253.4014197</v>
      </c>
      <c r="BC34" s="5">
        <f t="shared" si="28"/>
        <v>3199.1914197</v>
      </c>
      <c r="BD34" s="35">
        <f t="shared" si="29"/>
        <v>91.3535118</v>
      </c>
      <c r="BE34"/>
      <c r="BF34" s="35">
        <f t="shared" si="88"/>
        <v>652.49</v>
      </c>
      <c r="BG34" s="35">
        <f t="shared" si="30"/>
        <v>56.1282007</v>
      </c>
      <c r="BH34" s="5">
        <f t="shared" si="31"/>
        <v>708.6182007</v>
      </c>
      <c r="BI34" s="35">
        <f t="shared" si="32"/>
        <v>20.2347258</v>
      </c>
      <c r="BJ34"/>
      <c r="BK34" s="35">
        <f t="shared" si="89"/>
        <v>102856.99</v>
      </c>
      <c r="BL34" s="35">
        <f t="shared" si="33"/>
        <v>8847.9176357</v>
      </c>
      <c r="BM34" s="5">
        <f t="shared" si="34"/>
        <v>111704.9076357</v>
      </c>
      <c r="BN34" s="35">
        <f t="shared" si="35"/>
        <v>3189.7546158</v>
      </c>
      <c r="BO34"/>
      <c r="BP34" s="35">
        <f t="shared" si="90"/>
        <v>343.64</v>
      </c>
      <c r="BQ34" s="35">
        <f t="shared" si="36"/>
        <v>29.560445199999997</v>
      </c>
      <c r="BR34" s="5">
        <f t="shared" si="37"/>
        <v>373.2004452</v>
      </c>
      <c r="BS34" s="35">
        <f t="shared" si="38"/>
        <v>10.6568088</v>
      </c>
      <c r="BT34"/>
      <c r="BU34" s="35">
        <f t="shared" si="91"/>
        <v>87180.9</v>
      </c>
      <c r="BV34" s="35">
        <f t="shared" si="39"/>
        <v>7499.436087</v>
      </c>
      <c r="BW34" s="5">
        <f t="shared" si="40"/>
        <v>94680.33608699999</v>
      </c>
      <c r="BX34" s="35">
        <f t="shared" si="41"/>
        <v>2703.614778</v>
      </c>
      <c r="BY34"/>
      <c r="BZ34" s="35">
        <f t="shared" si="92"/>
        <v>25700.579999999998</v>
      </c>
      <c r="CA34" s="35">
        <f t="shared" si="42"/>
        <v>2210.8037094</v>
      </c>
      <c r="CB34" s="5">
        <f t="shared" si="43"/>
        <v>27911.383709399997</v>
      </c>
      <c r="CC34" s="35">
        <f t="shared" si="44"/>
        <v>797.0148035999999</v>
      </c>
      <c r="CD34"/>
      <c r="CE34" s="35">
        <f t="shared" si="93"/>
        <v>1410.77</v>
      </c>
      <c r="CF34" s="35">
        <f t="shared" si="45"/>
        <v>121.3566211</v>
      </c>
      <c r="CG34" s="5">
        <f t="shared" si="46"/>
        <v>1532.1266211</v>
      </c>
      <c r="CH34" s="35">
        <f t="shared" si="47"/>
        <v>43.7501634</v>
      </c>
      <c r="CI34"/>
      <c r="CJ34" s="35">
        <f t="shared" si="94"/>
        <v>67.45</v>
      </c>
      <c r="CK34" s="35">
        <f t="shared" si="48"/>
        <v>5.8021535</v>
      </c>
      <c r="CL34" s="5">
        <f t="shared" si="49"/>
        <v>73.2521535</v>
      </c>
      <c r="CM34" s="35">
        <f t="shared" si="50"/>
        <v>2.091729</v>
      </c>
      <c r="CN34"/>
      <c r="CO34" s="35">
        <f t="shared" si="95"/>
        <v>47313.69</v>
      </c>
      <c r="CP34" s="35">
        <f t="shared" si="51"/>
        <v>4069.9969167000004</v>
      </c>
      <c r="CQ34" s="5">
        <f t="shared" si="52"/>
        <v>51383.686916700004</v>
      </c>
      <c r="CR34" s="35">
        <f t="shared" si="53"/>
        <v>1467.2708298</v>
      </c>
      <c r="CT34" s="35">
        <f t="shared" si="96"/>
        <v>1244.63</v>
      </c>
      <c r="CU34" s="35">
        <f t="shared" si="54"/>
        <v>107.0650009</v>
      </c>
      <c r="CV34" s="5">
        <f t="shared" si="55"/>
        <v>1351.6950009000002</v>
      </c>
      <c r="CW34" s="35">
        <f t="shared" si="56"/>
        <v>38.5979046</v>
      </c>
      <c r="CX34"/>
      <c r="CY34" s="35">
        <f t="shared" si="97"/>
        <v>36859.65</v>
      </c>
      <c r="CZ34" s="35">
        <f t="shared" si="57"/>
        <v>3170.7241995</v>
      </c>
      <c r="DA34" s="5">
        <f t="shared" si="58"/>
        <v>40030.3741995</v>
      </c>
      <c r="DB34" s="35">
        <f t="shared" si="59"/>
        <v>1143.074853</v>
      </c>
      <c r="DC34"/>
      <c r="DD34" s="35">
        <f t="shared" si="98"/>
        <v>34479.73</v>
      </c>
      <c r="DE34" s="35">
        <f t="shared" si="60"/>
        <v>2965.9997939</v>
      </c>
      <c r="DF34" s="5">
        <f t="shared" si="61"/>
        <v>37445.729793900005</v>
      </c>
      <c r="DG34" s="35">
        <f t="shared" si="62"/>
        <v>1069.2698466</v>
      </c>
      <c r="DH34"/>
      <c r="DI34" s="35">
        <f t="shared" si="99"/>
        <v>52606.03</v>
      </c>
      <c r="DJ34" s="35">
        <f t="shared" si="63"/>
        <v>4525.2522029</v>
      </c>
      <c r="DK34" s="5">
        <f t="shared" si="64"/>
        <v>57131.2822029</v>
      </c>
      <c r="DL34" s="35">
        <f t="shared" si="65"/>
        <v>1631.3944926</v>
      </c>
      <c r="DM34"/>
      <c r="DN34" s="35">
        <f t="shared" si="100"/>
        <v>60268.35</v>
      </c>
      <c r="DO34" s="35">
        <f t="shared" si="66"/>
        <v>5184.3768405</v>
      </c>
      <c r="DP34" s="5">
        <f t="shared" si="67"/>
        <v>65452.7268405</v>
      </c>
      <c r="DQ34" s="35">
        <f t="shared" si="68"/>
        <v>1869.014907</v>
      </c>
      <c r="DR34"/>
      <c r="DS34" s="35">
        <f t="shared" si="101"/>
        <v>32833.950000000004</v>
      </c>
      <c r="DT34" s="35">
        <f t="shared" si="69"/>
        <v>2824.4272485</v>
      </c>
      <c r="DU34" s="35">
        <f t="shared" si="70"/>
        <v>35658.37724850001</v>
      </c>
      <c r="DV34" s="35">
        <f t="shared" si="71"/>
        <v>1018.231659</v>
      </c>
      <c r="DW34"/>
      <c r="DX34" s="35">
        <f t="shared" si="102"/>
        <v>49850.52</v>
      </c>
      <c r="DY34" s="35">
        <f t="shared" si="72"/>
        <v>4288.2189636</v>
      </c>
      <c r="DZ34" s="35">
        <f t="shared" si="73"/>
        <v>54138.7389636</v>
      </c>
      <c r="EA34" s="35">
        <f t="shared" si="74"/>
        <v>1545.9418584</v>
      </c>
      <c r="EC34" s="35">
        <f t="shared" si="103"/>
        <v>14752.38</v>
      </c>
      <c r="ED34" s="35">
        <f t="shared" si="75"/>
        <v>1269.0225834</v>
      </c>
      <c r="EE34" s="35">
        <f t="shared" si="76"/>
        <v>16021.402583399999</v>
      </c>
      <c r="EF34" s="35">
        <f t="shared" si="77"/>
        <v>457.4941596</v>
      </c>
    </row>
    <row r="35" spans="1:136" ht="12.75">
      <c r="A35" s="36">
        <v>12693</v>
      </c>
      <c r="D35" s="3">
        <v>499816</v>
      </c>
      <c r="E35" s="34">
        <f t="shared" si="0"/>
        <v>499816</v>
      </c>
      <c r="F35" s="34">
        <v>220182</v>
      </c>
      <c r="H35" s="43"/>
      <c r="I35" s="35">
        <f t="shared" si="1"/>
        <v>143993.4409064</v>
      </c>
      <c r="J35" s="35">
        <f t="shared" si="2"/>
        <v>143993.4409064</v>
      </c>
      <c r="K35" s="35">
        <f t="shared" si="1"/>
        <v>63432.870907799996</v>
      </c>
      <c r="L35"/>
      <c r="M35" s="35"/>
      <c r="N35" s="35">
        <f t="shared" si="3"/>
        <v>50984.4308224</v>
      </c>
      <c r="O35" s="5">
        <f t="shared" si="4"/>
        <v>50984.4308224</v>
      </c>
      <c r="P35" s="35">
        <f t="shared" si="5"/>
        <v>22459.973164799998</v>
      </c>
      <c r="Q35"/>
      <c r="R35" s="35"/>
      <c r="S35" s="35">
        <f t="shared" si="6"/>
        <v>3806.09884</v>
      </c>
      <c r="T35" s="5">
        <f t="shared" si="7"/>
        <v>3806.09884</v>
      </c>
      <c r="U35" s="35">
        <f t="shared" si="8"/>
        <v>1676.68593</v>
      </c>
      <c r="V35"/>
      <c r="W35" s="35"/>
      <c r="X35" s="35">
        <f t="shared" si="9"/>
        <v>39079.113592</v>
      </c>
      <c r="Y35" s="5">
        <f t="shared" si="10"/>
        <v>39079.113592</v>
      </c>
      <c r="Z35" s="35">
        <f t="shared" si="11"/>
        <v>17215.370034000003</v>
      </c>
      <c r="AA35"/>
      <c r="AB35" s="35"/>
      <c r="AC35" s="35">
        <f t="shared" si="12"/>
        <v>2034.6009912</v>
      </c>
      <c r="AD35" s="5">
        <f t="shared" si="13"/>
        <v>2034.6009912</v>
      </c>
      <c r="AE35" s="35">
        <f t="shared" si="14"/>
        <v>896.2948674</v>
      </c>
      <c r="AF35"/>
      <c r="AG35" s="35"/>
      <c r="AH35" s="35">
        <f t="shared" si="15"/>
        <v>123.5545152</v>
      </c>
      <c r="AI35" s="5">
        <f t="shared" si="16"/>
        <v>123.5545152</v>
      </c>
      <c r="AJ35" s="35">
        <f t="shared" si="17"/>
        <v>54.428990399999996</v>
      </c>
      <c r="AK35"/>
      <c r="AL35" s="35"/>
      <c r="AM35" s="35">
        <f t="shared" si="18"/>
        <v>169.8874584</v>
      </c>
      <c r="AN35" s="5">
        <f t="shared" si="19"/>
        <v>169.8874584</v>
      </c>
      <c r="AO35" s="35">
        <f t="shared" si="20"/>
        <v>74.83986180000001</v>
      </c>
      <c r="AP35"/>
      <c r="AQ35" s="35"/>
      <c r="AR35" s="35">
        <f t="shared" si="21"/>
        <v>8967.448763999999</v>
      </c>
      <c r="AS35" s="5">
        <f t="shared" si="22"/>
        <v>8967.448763999999</v>
      </c>
      <c r="AT35" s="35">
        <f t="shared" si="23"/>
        <v>3950.395353</v>
      </c>
      <c r="AU35"/>
      <c r="AV35" s="35"/>
      <c r="AW35" s="35">
        <f t="shared" si="24"/>
        <v>13.894884800000002</v>
      </c>
      <c r="AX35" s="5">
        <f t="shared" si="25"/>
        <v>13.894884800000002</v>
      </c>
      <c r="AY35" s="35">
        <f t="shared" si="26"/>
        <v>6.121059600000001</v>
      </c>
      <c r="AZ35"/>
      <c r="BA35" s="35"/>
      <c r="BB35" s="35">
        <f t="shared" si="27"/>
        <v>207.3736584</v>
      </c>
      <c r="BC35" s="5">
        <f t="shared" si="28"/>
        <v>207.3736584</v>
      </c>
      <c r="BD35" s="35">
        <f t="shared" si="29"/>
        <v>91.3535118</v>
      </c>
      <c r="BE35"/>
      <c r="BF35" s="35"/>
      <c r="BG35" s="35">
        <f t="shared" si="30"/>
        <v>45.9330904</v>
      </c>
      <c r="BH35" s="5">
        <f t="shared" si="31"/>
        <v>45.9330904</v>
      </c>
      <c r="BI35" s="35">
        <f t="shared" si="32"/>
        <v>20.2347258</v>
      </c>
      <c r="BJ35"/>
      <c r="BK35" s="35"/>
      <c r="BL35" s="35">
        <f t="shared" si="33"/>
        <v>7240.7844104000005</v>
      </c>
      <c r="BM35" s="5">
        <f t="shared" si="34"/>
        <v>7240.7844104000005</v>
      </c>
      <c r="BN35" s="35">
        <f t="shared" si="35"/>
        <v>3189.7546158</v>
      </c>
      <c r="BO35"/>
      <c r="BP35" s="35"/>
      <c r="BQ35" s="35">
        <f t="shared" si="36"/>
        <v>24.191094399999997</v>
      </c>
      <c r="BR35" s="5">
        <f t="shared" si="37"/>
        <v>24.191094399999997</v>
      </c>
      <c r="BS35" s="35">
        <f t="shared" si="38"/>
        <v>10.6568088</v>
      </c>
      <c r="BT35"/>
      <c r="BU35" s="35"/>
      <c r="BV35" s="35">
        <f t="shared" si="39"/>
        <v>6137.240664</v>
      </c>
      <c r="BW35" s="5">
        <f t="shared" si="40"/>
        <v>6137.240664</v>
      </c>
      <c r="BX35" s="35">
        <f t="shared" si="41"/>
        <v>2703.614778</v>
      </c>
      <c r="BY35"/>
      <c r="BZ35" s="35"/>
      <c r="CA35" s="35">
        <f t="shared" si="42"/>
        <v>1809.2339568</v>
      </c>
      <c r="CB35" s="5">
        <f t="shared" si="43"/>
        <v>1809.2339568</v>
      </c>
      <c r="CC35" s="35">
        <f t="shared" si="44"/>
        <v>797.0148035999999</v>
      </c>
      <c r="CD35"/>
      <c r="CE35" s="35"/>
      <c r="CF35" s="35">
        <f t="shared" si="45"/>
        <v>99.3134392</v>
      </c>
      <c r="CG35" s="5">
        <f t="shared" si="46"/>
        <v>99.3134392</v>
      </c>
      <c r="CH35" s="35">
        <f t="shared" si="47"/>
        <v>43.7501634</v>
      </c>
      <c r="CI35"/>
      <c r="CJ35" s="35"/>
      <c r="CK35" s="35">
        <f t="shared" si="48"/>
        <v>4.748252</v>
      </c>
      <c r="CL35" s="5">
        <f t="shared" si="49"/>
        <v>4.748252</v>
      </c>
      <c r="CM35" s="35">
        <f t="shared" si="50"/>
        <v>2.091729</v>
      </c>
      <c r="CN35"/>
      <c r="CO35" s="35"/>
      <c r="CP35" s="35">
        <f t="shared" si="51"/>
        <v>3330.7238424</v>
      </c>
      <c r="CQ35" s="5">
        <f t="shared" si="52"/>
        <v>3330.7238424</v>
      </c>
      <c r="CR35" s="35">
        <f t="shared" si="53"/>
        <v>1467.2708298</v>
      </c>
      <c r="CT35" s="35"/>
      <c r="CU35" s="35">
        <f t="shared" si="54"/>
        <v>87.6177448</v>
      </c>
      <c r="CV35" s="5">
        <f t="shared" si="55"/>
        <v>87.6177448</v>
      </c>
      <c r="CW35" s="35">
        <f t="shared" si="56"/>
        <v>38.5979046</v>
      </c>
      <c r="CX35"/>
      <c r="CY35" s="35"/>
      <c r="CZ35" s="35">
        <f t="shared" si="57"/>
        <v>2594.7947639999998</v>
      </c>
      <c r="DA35" s="5">
        <f t="shared" si="58"/>
        <v>2594.7947639999998</v>
      </c>
      <c r="DB35" s="35">
        <f t="shared" si="59"/>
        <v>1143.074853</v>
      </c>
      <c r="DC35"/>
      <c r="DD35" s="35"/>
      <c r="DE35" s="35">
        <f t="shared" si="60"/>
        <v>2427.2564408</v>
      </c>
      <c r="DF35" s="5">
        <f t="shared" si="61"/>
        <v>2427.2564408</v>
      </c>
      <c r="DG35" s="35">
        <f t="shared" si="62"/>
        <v>1069.2698466</v>
      </c>
      <c r="DH35"/>
      <c r="DI35" s="35"/>
      <c r="DJ35" s="35">
        <f t="shared" si="63"/>
        <v>3703.2866888</v>
      </c>
      <c r="DK35" s="5">
        <f t="shared" si="64"/>
        <v>3703.2866888</v>
      </c>
      <c r="DL35" s="35">
        <f t="shared" si="65"/>
        <v>1631.3944926</v>
      </c>
      <c r="DM35"/>
      <c r="DN35" s="35"/>
      <c r="DO35" s="35">
        <f t="shared" si="66"/>
        <v>4242.688115999999</v>
      </c>
      <c r="DP35" s="5">
        <f t="shared" si="67"/>
        <v>4242.688115999999</v>
      </c>
      <c r="DQ35" s="35">
        <f t="shared" si="68"/>
        <v>1869.014907</v>
      </c>
      <c r="DR35"/>
      <c r="DS35" s="35"/>
      <c r="DT35" s="35">
        <f t="shared" si="69"/>
        <v>2311.399092</v>
      </c>
      <c r="DU35" s="35">
        <f t="shared" si="70"/>
        <v>2311.399092</v>
      </c>
      <c r="DV35" s="35">
        <f t="shared" si="71"/>
        <v>1018.231659</v>
      </c>
      <c r="DW35"/>
      <c r="DX35" s="35"/>
      <c r="DY35" s="35">
        <f t="shared" si="72"/>
        <v>3509.3080992</v>
      </c>
      <c r="DZ35" s="35">
        <f t="shared" si="73"/>
        <v>3509.3080992</v>
      </c>
      <c r="EA35" s="35">
        <f t="shared" si="74"/>
        <v>1545.9418584</v>
      </c>
      <c r="EC35" s="35"/>
      <c r="ED35" s="35">
        <f t="shared" si="75"/>
        <v>1038.5176847999999</v>
      </c>
      <c r="EE35" s="35">
        <f t="shared" si="76"/>
        <v>1038.5176847999999</v>
      </c>
      <c r="EF35" s="35">
        <f t="shared" si="77"/>
        <v>457.4941596</v>
      </c>
    </row>
    <row r="36" spans="1:136" ht="12.75">
      <c r="A36" s="36">
        <v>12875</v>
      </c>
      <c r="C36" s="3">
        <v>7325000</v>
      </c>
      <c r="D36" s="3">
        <v>499816</v>
      </c>
      <c r="E36" s="34">
        <f t="shared" si="0"/>
        <v>7824816</v>
      </c>
      <c r="F36" s="34">
        <v>220182</v>
      </c>
      <c r="H36" s="43">
        <f t="shared" si="78"/>
        <v>2110280.4925</v>
      </c>
      <c r="I36" s="35">
        <f t="shared" si="1"/>
        <v>143993.4409064</v>
      </c>
      <c r="J36" s="35">
        <f t="shared" si="2"/>
        <v>2254273.9334064</v>
      </c>
      <c r="K36" s="35">
        <f t="shared" si="1"/>
        <v>63432.870907799996</v>
      </c>
      <c r="L36"/>
      <c r="M36" s="35">
        <f t="shared" si="79"/>
        <v>747196.88</v>
      </c>
      <c r="N36" s="35">
        <f t="shared" si="3"/>
        <v>50984.4308224</v>
      </c>
      <c r="O36" s="5">
        <f t="shared" si="4"/>
        <v>798181.3108224</v>
      </c>
      <c r="P36" s="35">
        <f t="shared" si="5"/>
        <v>22459.973164799998</v>
      </c>
      <c r="Q36"/>
      <c r="R36" s="35">
        <f t="shared" si="80"/>
        <v>55779.875</v>
      </c>
      <c r="S36" s="35">
        <f t="shared" si="6"/>
        <v>3806.09884</v>
      </c>
      <c r="T36" s="5">
        <f t="shared" si="7"/>
        <v>59585.97384</v>
      </c>
      <c r="U36" s="35">
        <f t="shared" si="8"/>
        <v>1676.68593</v>
      </c>
      <c r="V36"/>
      <c r="W36" s="35">
        <f t="shared" si="81"/>
        <v>572719.775</v>
      </c>
      <c r="X36" s="35">
        <f t="shared" si="9"/>
        <v>39079.113592</v>
      </c>
      <c r="Y36" s="5">
        <f t="shared" si="10"/>
        <v>611798.888592</v>
      </c>
      <c r="Z36" s="35">
        <f t="shared" si="11"/>
        <v>17215.370034000003</v>
      </c>
      <c r="AA36"/>
      <c r="AB36" s="35">
        <f t="shared" si="82"/>
        <v>29817.8775</v>
      </c>
      <c r="AC36" s="35">
        <f t="shared" si="12"/>
        <v>2034.6009912</v>
      </c>
      <c r="AD36" s="5">
        <f t="shared" si="13"/>
        <v>31852.4784912</v>
      </c>
      <c r="AE36" s="35">
        <f t="shared" si="14"/>
        <v>896.2948674</v>
      </c>
      <c r="AF36"/>
      <c r="AG36" s="35">
        <f t="shared" si="83"/>
        <v>1810.74</v>
      </c>
      <c r="AH36" s="35">
        <f t="shared" si="15"/>
        <v>123.5545152</v>
      </c>
      <c r="AI36" s="5">
        <f t="shared" si="16"/>
        <v>1934.2945152</v>
      </c>
      <c r="AJ36" s="35">
        <f t="shared" si="17"/>
        <v>54.428990399999996</v>
      </c>
      <c r="AK36"/>
      <c r="AL36" s="35">
        <f t="shared" si="84"/>
        <v>2489.7675000000004</v>
      </c>
      <c r="AM36" s="35">
        <f t="shared" si="18"/>
        <v>169.8874584</v>
      </c>
      <c r="AN36" s="5">
        <f t="shared" si="19"/>
        <v>2659.6549584000004</v>
      </c>
      <c r="AO36" s="35">
        <f t="shared" si="20"/>
        <v>74.83986180000001</v>
      </c>
      <c r="AP36"/>
      <c r="AQ36" s="35">
        <f t="shared" si="85"/>
        <v>131421.4875</v>
      </c>
      <c r="AR36" s="35">
        <f t="shared" si="21"/>
        <v>8967.448763999999</v>
      </c>
      <c r="AS36" s="5">
        <f t="shared" si="22"/>
        <v>140388.936264</v>
      </c>
      <c r="AT36" s="35">
        <f t="shared" si="23"/>
        <v>3950.395353</v>
      </c>
      <c r="AU36"/>
      <c r="AV36" s="35">
        <f t="shared" si="86"/>
        <v>203.63500000000002</v>
      </c>
      <c r="AW36" s="35">
        <f t="shared" si="24"/>
        <v>13.894884800000002</v>
      </c>
      <c r="AX36" s="5">
        <f t="shared" si="25"/>
        <v>217.52988480000002</v>
      </c>
      <c r="AY36" s="35">
        <f t="shared" si="26"/>
        <v>6.121059600000001</v>
      </c>
      <c r="AZ36"/>
      <c r="BA36" s="35">
        <f t="shared" si="87"/>
        <v>3039.1425</v>
      </c>
      <c r="BB36" s="35">
        <f t="shared" si="27"/>
        <v>207.3736584</v>
      </c>
      <c r="BC36" s="5">
        <f t="shared" si="28"/>
        <v>3246.5161583999998</v>
      </c>
      <c r="BD36" s="35">
        <f t="shared" si="29"/>
        <v>91.3535118</v>
      </c>
      <c r="BE36"/>
      <c r="BF36" s="35">
        <f t="shared" si="88"/>
        <v>673.1675</v>
      </c>
      <c r="BG36" s="35">
        <f t="shared" si="30"/>
        <v>45.9330904</v>
      </c>
      <c r="BH36" s="5">
        <f t="shared" si="31"/>
        <v>719.1005904</v>
      </c>
      <c r="BI36" s="35">
        <f t="shared" si="32"/>
        <v>20.2347258</v>
      </c>
      <c r="BJ36"/>
      <c r="BK36" s="35">
        <f t="shared" si="89"/>
        <v>106116.54250000001</v>
      </c>
      <c r="BL36" s="35">
        <f t="shared" si="33"/>
        <v>7240.7844104000005</v>
      </c>
      <c r="BM36" s="5">
        <f t="shared" si="34"/>
        <v>113357.3269104</v>
      </c>
      <c r="BN36" s="35">
        <f t="shared" si="35"/>
        <v>3189.7546158</v>
      </c>
      <c r="BO36"/>
      <c r="BP36" s="35">
        <f t="shared" si="90"/>
        <v>354.53</v>
      </c>
      <c r="BQ36" s="35">
        <f t="shared" si="36"/>
        <v>24.191094399999997</v>
      </c>
      <c r="BR36" s="5">
        <f t="shared" si="37"/>
        <v>378.72109439999997</v>
      </c>
      <c r="BS36" s="35">
        <f t="shared" si="38"/>
        <v>10.6568088</v>
      </c>
      <c r="BT36"/>
      <c r="BU36" s="35">
        <f t="shared" si="91"/>
        <v>89943.675</v>
      </c>
      <c r="BV36" s="35">
        <f t="shared" si="39"/>
        <v>6137.240664</v>
      </c>
      <c r="BW36" s="5">
        <f t="shared" si="40"/>
        <v>96080.915664</v>
      </c>
      <c r="BX36" s="35">
        <f t="shared" si="41"/>
        <v>2703.614778</v>
      </c>
      <c r="BY36"/>
      <c r="BZ36" s="35">
        <f t="shared" si="92"/>
        <v>26515.035</v>
      </c>
      <c r="CA36" s="35">
        <f t="shared" si="42"/>
        <v>1809.2339568</v>
      </c>
      <c r="CB36" s="5">
        <f t="shared" si="43"/>
        <v>28324.2689568</v>
      </c>
      <c r="CC36" s="35">
        <f t="shared" si="44"/>
        <v>797.0148035999999</v>
      </c>
      <c r="CD36"/>
      <c r="CE36" s="35">
        <f t="shared" si="93"/>
        <v>1455.4775</v>
      </c>
      <c r="CF36" s="35">
        <f t="shared" si="45"/>
        <v>99.3134392</v>
      </c>
      <c r="CG36" s="5">
        <f t="shared" si="46"/>
        <v>1554.7909392</v>
      </c>
      <c r="CH36" s="35">
        <f t="shared" si="47"/>
        <v>43.7501634</v>
      </c>
      <c r="CI36"/>
      <c r="CJ36" s="35">
        <f t="shared" si="94"/>
        <v>69.5875</v>
      </c>
      <c r="CK36" s="35">
        <f t="shared" si="48"/>
        <v>4.748252</v>
      </c>
      <c r="CL36" s="5">
        <f t="shared" si="49"/>
        <v>74.335752</v>
      </c>
      <c r="CM36" s="35">
        <f t="shared" si="50"/>
        <v>2.091729</v>
      </c>
      <c r="CN36"/>
      <c r="CO36" s="35">
        <f t="shared" si="95"/>
        <v>48813.067500000005</v>
      </c>
      <c r="CP36" s="35">
        <f t="shared" si="51"/>
        <v>3330.7238424</v>
      </c>
      <c r="CQ36" s="5">
        <f t="shared" si="52"/>
        <v>52143.79134240001</v>
      </c>
      <c r="CR36" s="35">
        <f t="shared" si="53"/>
        <v>1467.2708298</v>
      </c>
      <c r="CT36" s="35">
        <f t="shared" si="96"/>
        <v>1284.0725</v>
      </c>
      <c r="CU36" s="35">
        <f t="shared" si="54"/>
        <v>87.6177448</v>
      </c>
      <c r="CV36" s="5">
        <f t="shared" si="55"/>
        <v>1371.6902448</v>
      </c>
      <c r="CW36" s="35">
        <f t="shared" si="56"/>
        <v>38.5979046</v>
      </c>
      <c r="CX36"/>
      <c r="CY36" s="35">
        <f t="shared" si="97"/>
        <v>38027.7375</v>
      </c>
      <c r="CZ36" s="35">
        <f t="shared" si="57"/>
        <v>2594.7947639999998</v>
      </c>
      <c r="DA36" s="5">
        <f t="shared" si="58"/>
        <v>40622.532264</v>
      </c>
      <c r="DB36" s="35">
        <f t="shared" si="59"/>
        <v>1143.074853</v>
      </c>
      <c r="DC36"/>
      <c r="DD36" s="35">
        <f t="shared" si="98"/>
        <v>35572.3975</v>
      </c>
      <c r="DE36" s="35">
        <f t="shared" si="60"/>
        <v>2427.2564408</v>
      </c>
      <c r="DF36" s="5">
        <f t="shared" si="61"/>
        <v>37999.653940799995</v>
      </c>
      <c r="DG36" s="35">
        <f t="shared" si="62"/>
        <v>1069.2698466</v>
      </c>
      <c r="DH36"/>
      <c r="DI36" s="35">
        <f t="shared" si="99"/>
        <v>54273.1225</v>
      </c>
      <c r="DJ36" s="35">
        <f t="shared" si="63"/>
        <v>3703.2866888</v>
      </c>
      <c r="DK36" s="5">
        <f t="shared" si="64"/>
        <v>57976.4091888</v>
      </c>
      <c r="DL36" s="35">
        <f t="shared" si="65"/>
        <v>1631.3944926</v>
      </c>
      <c r="DM36"/>
      <c r="DN36" s="35">
        <f t="shared" si="100"/>
        <v>62178.2625</v>
      </c>
      <c r="DO36" s="35">
        <f t="shared" si="66"/>
        <v>4242.688115999999</v>
      </c>
      <c r="DP36" s="5">
        <f t="shared" si="67"/>
        <v>66420.950616</v>
      </c>
      <c r="DQ36" s="35">
        <f t="shared" si="68"/>
        <v>1869.014907</v>
      </c>
      <c r="DR36"/>
      <c r="DS36" s="35">
        <f t="shared" si="101"/>
        <v>33874.4625</v>
      </c>
      <c r="DT36" s="35">
        <f t="shared" si="69"/>
        <v>2311.399092</v>
      </c>
      <c r="DU36" s="35">
        <f t="shared" si="70"/>
        <v>36185.861592</v>
      </c>
      <c r="DV36" s="35">
        <f t="shared" si="71"/>
        <v>1018.231659</v>
      </c>
      <c r="DW36"/>
      <c r="DX36" s="35">
        <f t="shared" si="102"/>
        <v>51430.29</v>
      </c>
      <c r="DY36" s="35">
        <f t="shared" si="72"/>
        <v>3509.3080992</v>
      </c>
      <c r="DZ36" s="35">
        <f t="shared" si="73"/>
        <v>54939.598099200004</v>
      </c>
      <c r="EA36" s="35">
        <f t="shared" si="74"/>
        <v>1545.9418584</v>
      </c>
      <c r="EC36" s="35">
        <f t="shared" si="103"/>
        <v>15219.884999999998</v>
      </c>
      <c r="ED36" s="35">
        <f t="shared" si="75"/>
        <v>1038.5176847999999</v>
      </c>
      <c r="EE36" s="35">
        <f t="shared" si="76"/>
        <v>16258.402684799998</v>
      </c>
      <c r="EF36" s="35">
        <f t="shared" si="77"/>
        <v>457.4941596</v>
      </c>
    </row>
    <row r="37" spans="1:136" ht="12.75">
      <c r="A37" s="36">
        <v>13058</v>
      </c>
      <c r="D37" s="3">
        <v>385363</v>
      </c>
      <c r="E37" s="34">
        <f t="shared" si="0"/>
        <v>385363</v>
      </c>
      <c r="F37" s="34">
        <v>220182</v>
      </c>
      <c r="H37" s="43"/>
      <c r="I37" s="35">
        <f t="shared" si="1"/>
        <v>111020.3442227</v>
      </c>
      <c r="J37" s="35">
        <f t="shared" si="2"/>
        <v>111020.3442227</v>
      </c>
      <c r="K37" s="35">
        <f t="shared" si="1"/>
        <v>63432.870907799996</v>
      </c>
      <c r="L37"/>
      <c r="M37" s="35"/>
      <c r="N37" s="35">
        <f t="shared" si="3"/>
        <v>39309.4923232</v>
      </c>
      <c r="O37" s="5">
        <f t="shared" si="4"/>
        <v>39309.4923232</v>
      </c>
      <c r="P37" s="35">
        <f t="shared" si="5"/>
        <v>22459.973164799998</v>
      </c>
      <c r="Q37"/>
      <c r="R37" s="35"/>
      <c r="S37" s="35">
        <f t="shared" si="6"/>
        <v>2934.539245</v>
      </c>
      <c r="T37" s="5">
        <f t="shared" si="7"/>
        <v>2934.539245</v>
      </c>
      <c r="U37" s="35">
        <f t="shared" si="8"/>
        <v>1676.68593</v>
      </c>
      <c r="V37"/>
      <c r="W37" s="35"/>
      <c r="X37" s="35">
        <f t="shared" si="9"/>
        <v>30130.376881000004</v>
      </c>
      <c r="Y37" s="5">
        <f t="shared" si="10"/>
        <v>30130.376881000004</v>
      </c>
      <c r="Z37" s="35">
        <f t="shared" si="11"/>
        <v>17215.370034000003</v>
      </c>
      <c r="AA37"/>
      <c r="AB37" s="35"/>
      <c r="AC37" s="35">
        <f t="shared" si="12"/>
        <v>1568.6971641</v>
      </c>
      <c r="AD37" s="5">
        <f t="shared" si="13"/>
        <v>1568.6971641</v>
      </c>
      <c r="AE37" s="35">
        <f t="shared" si="14"/>
        <v>896.2948674</v>
      </c>
      <c r="AF37"/>
      <c r="AG37" s="35"/>
      <c r="AH37" s="35">
        <f t="shared" si="15"/>
        <v>95.2617336</v>
      </c>
      <c r="AI37" s="5">
        <f t="shared" si="16"/>
        <v>95.2617336</v>
      </c>
      <c r="AJ37" s="35">
        <f t="shared" si="17"/>
        <v>54.428990399999996</v>
      </c>
      <c r="AK37"/>
      <c r="AL37" s="35"/>
      <c r="AM37" s="35">
        <f t="shared" si="18"/>
        <v>130.9848837</v>
      </c>
      <c r="AN37" s="5">
        <f t="shared" si="19"/>
        <v>130.9848837</v>
      </c>
      <c r="AO37" s="35">
        <f t="shared" si="20"/>
        <v>74.83986180000001</v>
      </c>
      <c r="AP37"/>
      <c r="AQ37" s="35"/>
      <c r="AR37" s="35">
        <f t="shared" si="21"/>
        <v>6913.990264499999</v>
      </c>
      <c r="AS37" s="5">
        <f t="shared" si="22"/>
        <v>6913.990264499999</v>
      </c>
      <c r="AT37" s="35">
        <f t="shared" si="23"/>
        <v>3950.395353</v>
      </c>
      <c r="AU37"/>
      <c r="AV37" s="35"/>
      <c r="AW37" s="35">
        <f t="shared" si="24"/>
        <v>10.7130914</v>
      </c>
      <c r="AX37" s="5">
        <f t="shared" si="25"/>
        <v>10.7130914</v>
      </c>
      <c r="AY37" s="35">
        <f t="shared" si="26"/>
        <v>6.121059600000001</v>
      </c>
      <c r="AZ37"/>
      <c r="BA37" s="35"/>
      <c r="BB37" s="35">
        <f t="shared" si="27"/>
        <v>159.8871087</v>
      </c>
      <c r="BC37" s="5">
        <f t="shared" si="28"/>
        <v>159.8871087</v>
      </c>
      <c r="BD37" s="35">
        <f t="shared" si="29"/>
        <v>91.3535118</v>
      </c>
      <c r="BE37"/>
      <c r="BF37" s="35"/>
      <c r="BG37" s="35">
        <f t="shared" si="30"/>
        <v>35.4148597</v>
      </c>
      <c r="BH37" s="5">
        <f t="shared" si="31"/>
        <v>35.4148597</v>
      </c>
      <c r="BI37" s="35">
        <f t="shared" si="32"/>
        <v>20.2347258</v>
      </c>
      <c r="BJ37"/>
      <c r="BK37" s="35"/>
      <c r="BL37" s="35">
        <f t="shared" si="33"/>
        <v>5582.7152447</v>
      </c>
      <c r="BM37" s="5">
        <f t="shared" si="34"/>
        <v>5582.7152447</v>
      </c>
      <c r="BN37" s="35">
        <f t="shared" si="35"/>
        <v>3189.7546158</v>
      </c>
      <c r="BO37"/>
      <c r="BP37" s="35"/>
      <c r="BQ37" s="35">
        <f t="shared" si="36"/>
        <v>18.651569199999997</v>
      </c>
      <c r="BR37" s="5">
        <f t="shared" si="37"/>
        <v>18.651569199999997</v>
      </c>
      <c r="BS37" s="35">
        <f t="shared" si="38"/>
        <v>10.6568088</v>
      </c>
      <c r="BT37"/>
      <c r="BU37" s="35"/>
      <c r="BV37" s="35">
        <f t="shared" si="39"/>
        <v>4731.872277</v>
      </c>
      <c r="BW37" s="5">
        <f t="shared" si="40"/>
        <v>4731.872277</v>
      </c>
      <c r="BX37" s="35">
        <f t="shared" si="41"/>
        <v>2703.614778</v>
      </c>
      <c r="BY37"/>
      <c r="BZ37" s="35"/>
      <c r="CA37" s="35">
        <f t="shared" si="42"/>
        <v>1394.9369874</v>
      </c>
      <c r="CB37" s="5">
        <f t="shared" si="43"/>
        <v>1394.9369874</v>
      </c>
      <c r="CC37" s="35">
        <f t="shared" si="44"/>
        <v>797.0148035999999</v>
      </c>
      <c r="CD37"/>
      <c r="CE37" s="35"/>
      <c r="CF37" s="35">
        <f t="shared" si="45"/>
        <v>76.5716281</v>
      </c>
      <c r="CG37" s="5">
        <f t="shared" si="46"/>
        <v>76.5716281</v>
      </c>
      <c r="CH37" s="35">
        <f t="shared" si="47"/>
        <v>43.7501634</v>
      </c>
      <c r="CI37"/>
      <c r="CJ37" s="35"/>
      <c r="CK37" s="35">
        <f t="shared" si="48"/>
        <v>3.6609485000000004</v>
      </c>
      <c r="CL37" s="5">
        <f t="shared" si="49"/>
        <v>3.6609485000000004</v>
      </c>
      <c r="CM37" s="35">
        <f t="shared" si="50"/>
        <v>2.091729</v>
      </c>
      <c r="CN37"/>
      <c r="CO37" s="35"/>
      <c r="CP37" s="35">
        <f t="shared" si="51"/>
        <v>2568.0204957</v>
      </c>
      <c r="CQ37" s="5">
        <f t="shared" si="52"/>
        <v>2568.0204957</v>
      </c>
      <c r="CR37" s="35">
        <f t="shared" si="53"/>
        <v>1467.2708298</v>
      </c>
      <c r="CT37" s="35"/>
      <c r="CU37" s="35">
        <f t="shared" si="54"/>
        <v>67.5541339</v>
      </c>
      <c r="CV37" s="5">
        <f t="shared" si="55"/>
        <v>67.5541339</v>
      </c>
      <c r="CW37" s="35">
        <f t="shared" si="56"/>
        <v>38.5979046</v>
      </c>
      <c r="CX37"/>
      <c r="CY37" s="35"/>
      <c r="CZ37" s="35">
        <f t="shared" si="57"/>
        <v>2000.6120145</v>
      </c>
      <c r="DA37" s="5">
        <f t="shared" si="58"/>
        <v>2000.6120145</v>
      </c>
      <c r="DB37" s="35">
        <f t="shared" si="59"/>
        <v>1143.074853</v>
      </c>
      <c r="DC37"/>
      <c r="DD37" s="35"/>
      <c r="DE37" s="35">
        <f t="shared" si="60"/>
        <v>1871.4383369</v>
      </c>
      <c r="DF37" s="5">
        <f t="shared" si="61"/>
        <v>1871.4383369</v>
      </c>
      <c r="DG37" s="35">
        <f t="shared" si="62"/>
        <v>1069.2698466</v>
      </c>
      <c r="DH37"/>
      <c r="DI37" s="35"/>
      <c r="DJ37" s="35">
        <f t="shared" si="63"/>
        <v>2855.2700759</v>
      </c>
      <c r="DK37" s="5">
        <f t="shared" si="64"/>
        <v>2855.2700759</v>
      </c>
      <c r="DL37" s="35">
        <f t="shared" si="65"/>
        <v>1631.3944926</v>
      </c>
      <c r="DM37"/>
      <c r="DN37" s="35"/>
      <c r="DO37" s="35">
        <f t="shared" si="66"/>
        <v>3271.1538255</v>
      </c>
      <c r="DP37" s="5">
        <f t="shared" si="67"/>
        <v>3271.1538255</v>
      </c>
      <c r="DQ37" s="35">
        <f t="shared" si="68"/>
        <v>1869.014907</v>
      </c>
      <c r="DR37"/>
      <c r="DS37" s="35"/>
      <c r="DT37" s="35">
        <f t="shared" si="69"/>
        <v>1782.1111935000001</v>
      </c>
      <c r="DU37" s="35">
        <f t="shared" si="70"/>
        <v>1782.1111935000001</v>
      </c>
      <c r="DV37" s="35">
        <f t="shared" si="71"/>
        <v>1018.231659</v>
      </c>
      <c r="DW37"/>
      <c r="DX37" s="35"/>
      <c r="DY37" s="35">
        <f t="shared" si="72"/>
        <v>2705.7106956</v>
      </c>
      <c r="DZ37" s="35">
        <f t="shared" si="73"/>
        <v>2705.7106956</v>
      </c>
      <c r="EA37" s="35">
        <f t="shared" si="74"/>
        <v>1545.9418584</v>
      </c>
      <c r="EC37" s="35"/>
      <c r="ED37" s="35">
        <f t="shared" si="75"/>
        <v>800.7072413999999</v>
      </c>
      <c r="EE37" s="35">
        <f t="shared" si="76"/>
        <v>800.7072413999999</v>
      </c>
      <c r="EF37" s="35">
        <f t="shared" si="77"/>
        <v>457.4941596</v>
      </c>
    </row>
    <row r="38" spans="1:136" ht="12.75">
      <c r="A38" s="36">
        <v>13241</v>
      </c>
      <c r="C38" s="3">
        <v>7555000</v>
      </c>
      <c r="D38" s="3">
        <v>385363</v>
      </c>
      <c r="E38" s="34">
        <f t="shared" si="0"/>
        <v>7940363</v>
      </c>
      <c r="F38" s="34">
        <v>220182</v>
      </c>
      <c r="H38" s="43">
        <f t="shared" si="78"/>
        <v>2176541.8595</v>
      </c>
      <c r="I38" s="35">
        <f t="shared" si="1"/>
        <v>111020.3442227</v>
      </c>
      <c r="J38" s="35">
        <f t="shared" si="2"/>
        <v>2287562.2037227</v>
      </c>
      <c r="K38" s="35">
        <f t="shared" si="1"/>
        <v>63432.870907799996</v>
      </c>
      <c r="L38"/>
      <c r="M38" s="35">
        <f t="shared" si="79"/>
        <v>770658.352</v>
      </c>
      <c r="N38" s="35">
        <f t="shared" si="3"/>
        <v>39309.4923232</v>
      </c>
      <c r="O38" s="5">
        <f t="shared" si="4"/>
        <v>809967.8443231999</v>
      </c>
      <c r="P38" s="35">
        <f t="shared" si="5"/>
        <v>22459.973164799998</v>
      </c>
      <c r="Q38"/>
      <c r="R38" s="35">
        <f t="shared" si="80"/>
        <v>57531.325000000004</v>
      </c>
      <c r="S38" s="35">
        <f t="shared" si="6"/>
        <v>2934.539245</v>
      </c>
      <c r="T38" s="5">
        <f t="shared" si="7"/>
        <v>60465.864245000004</v>
      </c>
      <c r="U38" s="35">
        <f t="shared" si="8"/>
        <v>1676.68593</v>
      </c>
      <c r="V38"/>
      <c r="W38" s="35">
        <f t="shared" si="81"/>
        <v>590702.785</v>
      </c>
      <c r="X38" s="35">
        <f t="shared" si="9"/>
        <v>30130.376881000004</v>
      </c>
      <c r="Y38" s="5">
        <f t="shared" si="10"/>
        <v>620833.161881</v>
      </c>
      <c r="Z38" s="35">
        <f t="shared" si="11"/>
        <v>17215.370034000003</v>
      </c>
      <c r="AA38"/>
      <c r="AB38" s="35">
        <f t="shared" si="82"/>
        <v>30754.1385</v>
      </c>
      <c r="AC38" s="35">
        <f t="shared" si="12"/>
        <v>1568.6971641</v>
      </c>
      <c r="AD38" s="5">
        <f t="shared" si="13"/>
        <v>32322.8356641</v>
      </c>
      <c r="AE38" s="35">
        <f t="shared" si="14"/>
        <v>896.2948674</v>
      </c>
      <c r="AF38"/>
      <c r="AG38" s="35">
        <f t="shared" si="83"/>
        <v>1867.596</v>
      </c>
      <c r="AH38" s="35">
        <f t="shared" si="15"/>
        <v>95.2617336</v>
      </c>
      <c r="AI38" s="5">
        <f t="shared" si="16"/>
        <v>1962.8577336</v>
      </c>
      <c r="AJ38" s="35">
        <f t="shared" si="17"/>
        <v>54.428990399999996</v>
      </c>
      <c r="AK38"/>
      <c r="AL38" s="35">
        <f t="shared" si="84"/>
        <v>2567.9445</v>
      </c>
      <c r="AM38" s="35">
        <f t="shared" si="18"/>
        <v>130.9848837</v>
      </c>
      <c r="AN38" s="5">
        <f t="shared" si="19"/>
        <v>2698.9293837</v>
      </c>
      <c r="AO38" s="35">
        <f t="shared" si="20"/>
        <v>74.83986180000001</v>
      </c>
      <c r="AP38"/>
      <c r="AQ38" s="35">
        <f t="shared" si="85"/>
        <v>135548.0325</v>
      </c>
      <c r="AR38" s="35">
        <f t="shared" si="21"/>
        <v>6913.990264499999</v>
      </c>
      <c r="AS38" s="5">
        <f t="shared" si="22"/>
        <v>142462.0227645</v>
      </c>
      <c r="AT38" s="35">
        <f t="shared" si="23"/>
        <v>3950.395353</v>
      </c>
      <c r="AU38"/>
      <c r="AV38" s="35">
        <f t="shared" si="86"/>
        <v>210.02900000000002</v>
      </c>
      <c r="AW38" s="35">
        <f t="shared" si="24"/>
        <v>10.7130914</v>
      </c>
      <c r="AX38" s="5">
        <f t="shared" si="25"/>
        <v>220.74209140000002</v>
      </c>
      <c r="AY38" s="35">
        <f t="shared" si="26"/>
        <v>6.121059600000001</v>
      </c>
      <c r="AZ38"/>
      <c r="BA38" s="35">
        <f t="shared" si="87"/>
        <v>3134.5695</v>
      </c>
      <c r="BB38" s="35">
        <f t="shared" si="27"/>
        <v>159.8871087</v>
      </c>
      <c r="BC38" s="5">
        <f t="shared" si="28"/>
        <v>3294.4566087000003</v>
      </c>
      <c r="BD38" s="35">
        <f t="shared" si="29"/>
        <v>91.3535118</v>
      </c>
      <c r="BE38"/>
      <c r="BF38" s="35">
        <f t="shared" si="88"/>
        <v>694.3045</v>
      </c>
      <c r="BG38" s="35">
        <f t="shared" si="30"/>
        <v>35.4148597</v>
      </c>
      <c r="BH38" s="5">
        <f t="shared" si="31"/>
        <v>729.7193596999999</v>
      </c>
      <c r="BI38" s="35">
        <f t="shared" si="32"/>
        <v>20.2347258</v>
      </c>
      <c r="BJ38"/>
      <c r="BK38" s="35">
        <f t="shared" si="89"/>
        <v>109448.5295</v>
      </c>
      <c r="BL38" s="35">
        <f t="shared" si="33"/>
        <v>5582.7152447</v>
      </c>
      <c r="BM38" s="5">
        <f t="shared" si="34"/>
        <v>115031.2447447</v>
      </c>
      <c r="BN38" s="35">
        <f t="shared" si="35"/>
        <v>3189.7546158</v>
      </c>
      <c r="BO38"/>
      <c r="BP38" s="35">
        <f t="shared" si="90"/>
        <v>365.662</v>
      </c>
      <c r="BQ38" s="35">
        <f t="shared" si="36"/>
        <v>18.651569199999997</v>
      </c>
      <c r="BR38" s="5">
        <f t="shared" si="37"/>
        <v>384.31356919999996</v>
      </c>
      <c r="BS38" s="35">
        <f t="shared" si="38"/>
        <v>10.6568088</v>
      </c>
      <c r="BT38"/>
      <c r="BU38" s="35">
        <f t="shared" si="91"/>
        <v>92767.845</v>
      </c>
      <c r="BV38" s="35">
        <f t="shared" si="39"/>
        <v>4731.872277</v>
      </c>
      <c r="BW38" s="5">
        <f t="shared" si="40"/>
        <v>97499.717277</v>
      </c>
      <c r="BX38" s="35">
        <f t="shared" si="41"/>
        <v>2703.614778</v>
      </c>
      <c r="BY38"/>
      <c r="BZ38" s="35">
        <f t="shared" si="92"/>
        <v>27347.589</v>
      </c>
      <c r="CA38" s="35">
        <f t="shared" si="42"/>
        <v>1394.9369874</v>
      </c>
      <c r="CB38" s="5">
        <f t="shared" si="43"/>
        <v>28742.5259874</v>
      </c>
      <c r="CC38" s="35">
        <f t="shared" si="44"/>
        <v>797.0148035999999</v>
      </c>
      <c r="CD38"/>
      <c r="CE38" s="35">
        <f t="shared" si="93"/>
        <v>1501.1785</v>
      </c>
      <c r="CF38" s="35">
        <f t="shared" si="45"/>
        <v>76.5716281</v>
      </c>
      <c r="CG38" s="5">
        <f t="shared" si="46"/>
        <v>1577.7501281</v>
      </c>
      <c r="CH38" s="35">
        <f t="shared" si="47"/>
        <v>43.7501634</v>
      </c>
      <c r="CI38"/>
      <c r="CJ38" s="35">
        <f t="shared" si="94"/>
        <v>71.77250000000001</v>
      </c>
      <c r="CK38" s="35">
        <f t="shared" si="48"/>
        <v>3.6609485000000004</v>
      </c>
      <c r="CL38" s="5">
        <f t="shared" si="49"/>
        <v>75.43344850000001</v>
      </c>
      <c r="CM38" s="35">
        <f t="shared" si="50"/>
        <v>2.091729</v>
      </c>
      <c r="CN38"/>
      <c r="CO38" s="35">
        <f t="shared" si="95"/>
        <v>50345.764500000005</v>
      </c>
      <c r="CP38" s="35">
        <f t="shared" si="51"/>
        <v>2568.0204957</v>
      </c>
      <c r="CQ38" s="5">
        <f t="shared" si="52"/>
        <v>52913.78499570001</v>
      </c>
      <c r="CR38" s="35">
        <f t="shared" si="53"/>
        <v>1467.2708298</v>
      </c>
      <c r="CT38" s="35">
        <f t="shared" si="96"/>
        <v>1324.3915</v>
      </c>
      <c r="CU38" s="35">
        <f t="shared" si="54"/>
        <v>67.5541339</v>
      </c>
      <c r="CV38" s="5">
        <f t="shared" si="55"/>
        <v>1391.9456338999998</v>
      </c>
      <c r="CW38" s="35">
        <f t="shared" si="56"/>
        <v>38.5979046</v>
      </c>
      <c r="CX38"/>
      <c r="CY38" s="35">
        <f t="shared" si="97"/>
        <v>39221.7825</v>
      </c>
      <c r="CZ38" s="35">
        <f t="shared" si="57"/>
        <v>2000.6120145</v>
      </c>
      <c r="DA38" s="5">
        <f t="shared" si="58"/>
        <v>41222.3945145</v>
      </c>
      <c r="DB38" s="35">
        <f t="shared" si="59"/>
        <v>1143.074853</v>
      </c>
      <c r="DC38"/>
      <c r="DD38" s="35">
        <f t="shared" si="98"/>
        <v>36689.3465</v>
      </c>
      <c r="DE38" s="35">
        <f t="shared" si="60"/>
        <v>1871.4383369</v>
      </c>
      <c r="DF38" s="5">
        <f t="shared" si="61"/>
        <v>38560.7848369</v>
      </c>
      <c r="DG38" s="35">
        <f t="shared" si="62"/>
        <v>1069.2698466</v>
      </c>
      <c r="DH38"/>
      <c r="DI38" s="35">
        <f t="shared" si="99"/>
        <v>55977.2615</v>
      </c>
      <c r="DJ38" s="35">
        <f t="shared" si="63"/>
        <v>2855.2700759</v>
      </c>
      <c r="DK38" s="5">
        <f t="shared" si="64"/>
        <v>58832.5315759</v>
      </c>
      <c r="DL38" s="35">
        <f t="shared" si="65"/>
        <v>1631.3944926</v>
      </c>
      <c r="DM38"/>
      <c r="DN38" s="35">
        <f t="shared" si="100"/>
        <v>64130.61749999999</v>
      </c>
      <c r="DO38" s="35">
        <f t="shared" si="66"/>
        <v>3271.1538255</v>
      </c>
      <c r="DP38" s="5">
        <f t="shared" si="67"/>
        <v>67401.7713255</v>
      </c>
      <c r="DQ38" s="35">
        <f t="shared" si="68"/>
        <v>1869.014907</v>
      </c>
      <c r="DR38"/>
      <c r="DS38" s="35">
        <f t="shared" si="101"/>
        <v>34938.0975</v>
      </c>
      <c r="DT38" s="35">
        <f t="shared" si="69"/>
        <v>1782.1111935000001</v>
      </c>
      <c r="DU38" s="35">
        <f t="shared" si="70"/>
        <v>36720.208693500004</v>
      </c>
      <c r="DV38" s="35">
        <f t="shared" si="71"/>
        <v>1018.231659</v>
      </c>
      <c r="DW38"/>
      <c r="DX38" s="35">
        <f t="shared" si="102"/>
        <v>53045.166</v>
      </c>
      <c r="DY38" s="35">
        <f t="shared" si="72"/>
        <v>2705.7106956</v>
      </c>
      <c r="DZ38" s="35">
        <f t="shared" si="73"/>
        <v>55750.876695599996</v>
      </c>
      <c r="EA38" s="35">
        <f t="shared" si="74"/>
        <v>1545.9418584</v>
      </c>
      <c r="EC38" s="35">
        <f t="shared" si="103"/>
        <v>15697.778999999999</v>
      </c>
      <c r="ED38" s="35">
        <f t="shared" si="75"/>
        <v>800.7072413999999</v>
      </c>
      <c r="EE38" s="35">
        <f t="shared" si="76"/>
        <v>16498.486241399998</v>
      </c>
      <c r="EF38" s="35">
        <f t="shared" si="77"/>
        <v>457.4941596</v>
      </c>
    </row>
    <row r="39" spans="1:136" ht="12.75">
      <c r="A39" s="36">
        <v>13424</v>
      </c>
      <c r="D39" s="3">
        <v>262594</v>
      </c>
      <c r="E39" s="34">
        <f t="shared" si="0"/>
        <v>262594</v>
      </c>
      <c r="F39" s="34">
        <v>220182</v>
      </c>
      <c r="H39" s="43"/>
      <c r="I39" s="35">
        <f t="shared" si="1"/>
        <v>75651.4669826</v>
      </c>
      <c r="J39" s="35">
        <f t="shared" si="2"/>
        <v>75651.4669826</v>
      </c>
      <c r="K39" s="35">
        <f t="shared" si="1"/>
        <v>63432.870907799996</v>
      </c>
      <c r="L39"/>
      <c r="M39" s="35"/>
      <c r="N39" s="35">
        <f t="shared" si="3"/>
        <v>26786.2686016</v>
      </c>
      <c r="O39" s="5">
        <f t="shared" si="4"/>
        <v>26786.2686016</v>
      </c>
      <c r="P39" s="35">
        <f t="shared" si="5"/>
        <v>22459.973164799998</v>
      </c>
      <c r="Q39"/>
      <c r="R39" s="35"/>
      <c r="S39" s="35">
        <f t="shared" si="6"/>
        <v>1999.6533100000001</v>
      </c>
      <c r="T39" s="5">
        <f t="shared" si="7"/>
        <v>1999.6533100000001</v>
      </c>
      <c r="U39" s="35">
        <f t="shared" si="8"/>
        <v>1676.68593</v>
      </c>
      <c r="V39"/>
      <c r="W39" s="35"/>
      <c r="X39" s="35">
        <f t="shared" si="9"/>
        <v>20531.437078000003</v>
      </c>
      <c r="Y39" s="5">
        <f t="shared" si="10"/>
        <v>20531.437078000003</v>
      </c>
      <c r="Z39" s="35">
        <f t="shared" si="11"/>
        <v>17215.370034000003</v>
      </c>
      <c r="AA39"/>
      <c r="AB39" s="35"/>
      <c r="AC39" s="35">
        <f t="shared" si="12"/>
        <v>1068.9413958</v>
      </c>
      <c r="AD39" s="5">
        <f t="shared" si="13"/>
        <v>1068.9413958</v>
      </c>
      <c r="AE39" s="35">
        <f t="shared" si="14"/>
        <v>896.2948674</v>
      </c>
      <c r="AF39"/>
      <c r="AG39" s="35"/>
      <c r="AH39" s="35">
        <f t="shared" si="15"/>
        <v>64.91323679999999</v>
      </c>
      <c r="AI39" s="5">
        <f t="shared" si="16"/>
        <v>64.91323679999999</v>
      </c>
      <c r="AJ39" s="35">
        <f t="shared" si="17"/>
        <v>54.428990399999996</v>
      </c>
      <c r="AK39"/>
      <c r="AL39" s="35"/>
      <c r="AM39" s="35">
        <f t="shared" si="18"/>
        <v>89.25570060000001</v>
      </c>
      <c r="AN39" s="5">
        <f t="shared" si="19"/>
        <v>89.25570060000001</v>
      </c>
      <c r="AO39" s="35">
        <f t="shared" si="20"/>
        <v>74.83986180000001</v>
      </c>
      <c r="AP39"/>
      <c r="AQ39" s="35"/>
      <c r="AR39" s="35">
        <f t="shared" si="21"/>
        <v>4711.330250999999</v>
      </c>
      <c r="AS39" s="5">
        <f t="shared" si="22"/>
        <v>4711.330250999999</v>
      </c>
      <c r="AT39" s="35">
        <f t="shared" si="23"/>
        <v>3950.395353</v>
      </c>
      <c r="AU39"/>
      <c r="AV39" s="35"/>
      <c r="AW39" s="35">
        <f t="shared" si="24"/>
        <v>7.3001132</v>
      </c>
      <c r="AX39" s="5">
        <f t="shared" si="25"/>
        <v>7.3001132</v>
      </c>
      <c r="AY39" s="35">
        <f t="shared" si="26"/>
        <v>6.121059600000001</v>
      </c>
      <c r="AZ39"/>
      <c r="BA39" s="35"/>
      <c r="BB39" s="35">
        <f t="shared" si="27"/>
        <v>108.9502506</v>
      </c>
      <c r="BC39" s="5">
        <f t="shared" si="28"/>
        <v>108.9502506</v>
      </c>
      <c r="BD39" s="35">
        <f t="shared" si="29"/>
        <v>91.3535118</v>
      </c>
      <c r="BE39"/>
      <c r="BF39" s="35"/>
      <c r="BG39" s="35">
        <f t="shared" si="30"/>
        <v>24.1323886</v>
      </c>
      <c r="BH39" s="5">
        <f t="shared" si="31"/>
        <v>24.1323886</v>
      </c>
      <c r="BI39" s="35">
        <f t="shared" si="32"/>
        <v>20.2347258</v>
      </c>
      <c r="BJ39"/>
      <c r="BK39" s="35"/>
      <c r="BL39" s="35">
        <f t="shared" si="33"/>
        <v>3804.1730186</v>
      </c>
      <c r="BM39" s="5">
        <f t="shared" si="34"/>
        <v>3804.1730186</v>
      </c>
      <c r="BN39" s="35">
        <f t="shared" si="35"/>
        <v>3189.7546158</v>
      </c>
      <c r="BO39"/>
      <c r="BP39" s="35"/>
      <c r="BQ39" s="35">
        <f t="shared" si="36"/>
        <v>12.709549599999999</v>
      </c>
      <c r="BR39" s="5">
        <f t="shared" si="37"/>
        <v>12.709549599999999</v>
      </c>
      <c r="BS39" s="35">
        <f t="shared" si="38"/>
        <v>10.6568088</v>
      </c>
      <c r="BT39"/>
      <c r="BU39" s="35"/>
      <c r="BV39" s="35">
        <f t="shared" si="39"/>
        <v>3224.391726</v>
      </c>
      <c r="BW39" s="5">
        <f t="shared" si="40"/>
        <v>3224.391726</v>
      </c>
      <c r="BX39" s="35">
        <f t="shared" si="41"/>
        <v>2703.614778</v>
      </c>
      <c r="BY39"/>
      <c r="BZ39" s="35"/>
      <c r="CA39" s="35">
        <f t="shared" si="42"/>
        <v>950.5377612</v>
      </c>
      <c r="CB39" s="5">
        <f t="shared" si="43"/>
        <v>950.5377612</v>
      </c>
      <c r="CC39" s="35">
        <f t="shared" si="44"/>
        <v>797.0148035999999</v>
      </c>
      <c r="CD39"/>
      <c r="CE39" s="35"/>
      <c r="CF39" s="35">
        <f t="shared" si="45"/>
        <v>52.177427800000004</v>
      </c>
      <c r="CG39" s="5">
        <f t="shared" si="46"/>
        <v>52.177427800000004</v>
      </c>
      <c r="CH39" s="35">
        <f t="shared" si="47"/>
        <v>43.7501634</v>
      </c>
      <c r="CI39"/>
      <c r="CJ39" s="35"/>
      <c r="CK39" s="35">
        <f t="shared" si="48"/>
        <v>2.494643</v>
      </c>
      <c r="CL39" s="5">
        <f t="shared" si="49"/>
        <v>2.494643</v>
      </c>
      <c r="CM39" s="35">
        <f t="shared" si="50"/>
        <v>2.091729</v>
      </c>
      <c r="CN39"/>
      <c r="CO39" s="35"/>
      <c r="CP39" s="35">
        <f t="shared" si="51"/>
        <v>1749.9001566000002</v>
      </c>
      <c r="CQ39" s="5">
        <f t="shared" si="52"/>
        <v>1749.9001566000002</v>
      </c>
      <c r="CR39" s="35">
        <f t="shared" si="53"/>
        <v>1467.2708298</v>
      </c>
      <c r="CT39" s="35"/>
      <c r="CU39" s="35">
        <f t="shared" si="54"/>
        <v>46.0327282</v>
      </c>
      <c r="CV39" s="5">
        <f t="shared" si="55"/>
        <v>46.0327282</v>
      </c>
      <c r="CW39" s="35">
        <f t="shared" si="56"/>
        <v>38.5979046</v>
      </c>
      <c r="CX39"/>
      <c r="CY39" s="35"/>
      <c r="CZ39" s="35">
        <f t="shared" si="57"/>
        <v>1363.256751</v>
      </c>
      <c r="DA39" s="5">
        <f t="shared" si="58"/>
        <v>1363.256751</v>
      </c>
      <c r="DB39" s="35">
        <f t="shared" si="59"/>
        <v>1143.074853</v>
      </c>
      <c r="DC39"/>
      <c r="DD39" s="35"/>
      <c r="DE39" s="35">
        <f t="shared" si="60"/>
        <v>1275.2352422</v>
      </c>
      <c r="DF39" s="5">
        <f t="shared" si="61"/>
        <v>1275.2352422</v>
      </c>
      <c r="DG39" s="35">
        <f t="shared" si="62"/>
        <v>1069.2698466</v>
      </c>
      <c r="DH39"/>
      <c r="DI39" s="35"/>
      <c r="DJ39" s="35">
        <f t="shared" si="63"/>
        <v>1945.6377241999999</v>
      </c>
      <c r="DK39" s="5">
        <f t="shared" si="64"/>
        <v>1945.6377241999999</v>
      </c>
      <c r="DL39" s="35">
        <f t="shared" si="65"/>
        <v>1631.3944926</v>
      </c>
      <c r="DM39"/>
      <c r="DN39" s="35"/>
      <c r="DO39" s="35">
        <f t="shared" si="66"/>
        <v>2229.029169</v>
      </c>
      <c r="DP39" s="5">
        <f t="shared" si="67"/>
        <v>2229.029169</v>
      </c>
      <c r="DQ39" s="35">
        <f t="shared" si="68"/>
        <v>1869.014907</v>
      </c>
      <c r="DR39"/>
      <c r="DS39" s="35"/>
      <c r="DT39" s="35">
        <f t="shared" si="69"/>
        <v>1214.365953</v>
      </c>
      <c r="DU39" s="35">
        <f t="shared" si="70"/>
        <v>1214.365953</v>
      </c>
      <c r="DV39" s="35">
        <f t="shared" si="71"/>
        <v>1018.231659</v>
      </c>
      <c r="DW39"/>
      <c r="DX39" s="35"/>
      <c r="DY39" s="35">
        <f t="shared" si="72"/>
        <v>1843.7249928</v>
      </c>
      <c r="DZ39" s="35">
        <f t="shared" si="73"/>
        <v>1843.7249928</v>
      </c>
      <c r="EA39" s="35">
        <f t="shared" si="74"/>
        <v>1545.9418584</v>
      </c>
      <c r="EC39" s="35"/>
      <c r="ED39" s="35">
        <f t="shared" si="75"/>
        <v>545.6178132</v>
      </c>
      <c r="EE39" s="35">
        <f t="shared" si="76"/>
        <v>545.6178132</v>
      </c>
      <c r="EF39" s="35">
        <f t="shared" si="77"/>
        <v>457.4941596</v>
      </c>
    </row>
    <row r="40" spans="1:136" ht="12.75">
      <c r="A40" s="36">
        <v>13606</v>
      </c>
      <c r="C40" s="3">
        <v>7800000</v>
      </c>
      <c r="D40" s="3">
        <v>262594</v>
      </c>
      <c r="E40" s="34">
        <f t="shared" si="0"/>
        <v>8062594</v>
      </c>
      <c r="F40" s="34">
        <v>220182</v>
      </c>
      <c r="H40" s="43">
        <f t="shared" si="78"/>
        <v>2247124.6199999996</v>
      </c>
      <c r="I40" s="35">
        <f t="shared" si="1"/>
        <v>75651.4669826</v>
      </c>
      <c r="J40" s="35">
        <f t="shared" si="2"/>
        <v>2322776.0869825995</v>
      </c>
      <c r="K40" s="35">
        <f t="shared" si="1"/>
        <v>63432.870907799996</v>
      </c>
      <c r="L40"/>
      <c r="M40" s="35">
        <f t="shared" si="79"/>
        <v>795649.9199999999</v>
      </c>
      <c r="N40" s="35">
        <f t="shared" si="3"/>
        <v>26786.2686016</v>
      </c>
      <c r="O40" s="5">
        <f t="shared" si="4"/>
        <v>822436.1886015999</v>
      </c>
      <c r="P40" s="35">
        <f t="shared" si="5"/>
        <v>22459.973164799998</v>
      </c>
      <c r="Q40"/>
      <c r="R40" s="35">
        <f t="shared" si="80"/>
        <v>59397</v>
      </c>
      <c r="S40" s="35">
        <f t="shared" si="6"/>
        <v>1999.6533100000001</v>
      </c>
      <c r="T40" s="5">
        <f t="shared" si="7"/>
        <v>61396.65331</v>
      </c>
      <c r="U40" s="35">
        <f t="shared" si="8"/>
        <v>1676.68593</v>
      </c>
      <c r="V40"/>
      <c r="W40" s="35">
        <f t="shared" si="81"/>
        <v>609858.6000000001</v>
      </c>
      <c r="X40" s="35">
        <f t="shared" si="9"/>
        <v>20531.437078000003</v>
      </c>
      <c r="Y40" s="5">
        <f t="shared" si="10"/>
        <v>630390.0370780001</v>
      </c>
      <c r="Z40" s="35">
        <f t="shared" si="11"/>
        <v>17215.370034000003</v>
      </c>
      <c r="AA40"/>
      <c r="AB40" s="35">
        <f t="shared" si="82"/>
        <v>31751.46</v>
      </c>
      <c r="AC40" s="35">
        <f t="shared" si="12"/>
        <v>1068.9413958</v>
      </c>
      <c r="AD40" s="5">
        <f t="shared" si="13"/>
        <v>32820.4013958</v>
      </c>
      <c r="AE40" s="35">
        <f t="shared" si="14"/>
        <v>896.2948674</v>
      </c>
      <c r="AF40"/>
      <c r="AG40" s="35">
        <f t="shared" si="83"/>
        <v>1928.1599999999999</v>
      </c>
      <c r="AH40" s="35">
        <f t="shared" si="15"/>
        <v>64.91323679999999</v>
      </c>
      <c r="AI40" s="5">
        <f t="shared" si="16"/>
        <v>1993.0732368</v>
      </c>
      <c r="AJ40" s="35">
        <f t="shared" si="17"/>
        <v>54.428990399999996</v>
      </c>
      <c r="AK40"/>
      <c r="AL40" s="35">
        <f t="shared" si="84"/>
        <v>2651.2200000000003</v>
      </c>
      <c r="AM40" s="35">
        <f t="shared" si="18"/>
        <v>89.25570060000001</v>
      </c>
      <c r="AN40" s="5">
        <f t="shared" si="19"/>
        <v>2740.4757006000004</v>
      </c>
      <c r="AO40" s="35">
        <f t="shared" si="20"/>
        <v>74.83986180000001</v>
      </c>
      <c r="AP40"/>
      <c r="AQ40" s="35">
        <f t="shared" si="85"/>
        <v>139943.69999999998</v>
      </c>
      <c r="AR40" s="35">
        <f t="shared" si="21"/>
        <v>4711.330250999999</v>
      </c>
      <c r="AS40" s="5">
        <f t="shared" si="22"/>
        <v>144655.030251</v>
      </c>
      <c r="AT40" s="35">
        <f t="shared" si="23"/>
        <v>3950.395353</v>
      </c>
      <c r="AU40"/>
      <c r="AV40" s="35">
        <f t="shared" si="86"/>
        <v>216.84</v>
      </c>
      <c r="AW40" s="35">
        <f t="shared" si="24"/>
        <v>7.3001132</v>
      </c>
      <c r="AX40" s="5">
        <f t="shared" si="25"/>
        <v>224.1401132</v>
      </c>
      <c r="AY40" s="35">
        <f t="shared" si="26"/>
        <v>6.121059600000001</v>
      </c>
      <c r="AZ40"/>
      <c r="BA40" s="35">
        <f t="shared" si="87"/>
        <v>3236.22</v>
      </c>
      <c r="BB40" s="35">
        <f t="shared" si="27"/>
        <v>108.9502506</v>
      </c>
      <c r="BC40" s="5">
        <f t="shared" si="28"/>
        <v>3345.1702505999997</v>
      </c>
      <c r="BD40" s="35">
        <f t="shared" si="29"/>
        <v>91.3535118</v>
      </c>
      <c r="BE40"/>
      <c r="BF40" s="35">
        <f t="shared" si="88"/>
        <v>716.8199999999999</v>
      </c>
      <c r="BG40" s="35">
        <f t="shared" si="30"/>
        <v>24.1323886</v>
      </c>
      <c r="BH40" s="5">
        <f t="shared" si="31"/>
        <v>740.9523886</v>
      </c>
      <c r="BI40" s="35">
        <f t="shared" si="32"/>
        <v>20.2347258</v>
      </c>
      <c r="BJ40"/>
      <c r="BK40" s="35">
        <f t="shared" si="89"/>
        <v>112997.82</v>
      </c>
      <c r="BL40" s="35">
        <f t="shared" si="33"/>
        <v>3804.1730186</v>
      </c>
      <c r="BM40" s="5">
        <f t="shared" si="34"/>
        <v>116801.99301860001</v>
      </c>
      <c r="BN40" s="35">
        <f t="shared" si="35"/>
        <v>3189.7546158</v>
      </c>
      <c r="BO40"/>
      <c r="BP40" s="35">
        <f t="shared" si="90"/>
        <v>377.52</v>
      </c>
      <c r="BQ40" s="35">
        <f t="shared" si="36"/>
        <v>12.709549599999999</v>
      </c>
      <c r="BR40" s="5">
        <f t="shared" si="37"/>
        <v>390.2295496</v>
      </c>
      <c r="BS40" s="35">
        <f t="shared" si="38"/>
        <v>10.6568088</v>
      </c>
      <c r="BT40"/>
      <c r="BU40" s="35">
        <f t="shared" si="91"/>
        <v>95776.2</v>
      </c>
      <c r="BV40" s="35">
        <f t="shared" si="39"/>
        <v>3224.391726</v>
      </c>
      <c r="BW40" s="5">
        <f t="shared" si="40"/>
        <v>99000.591726</v>
      </c>
      <c r="BX40" s="35">
        <f t="shared" si="41"/>
        <v>2703.614778</v>
      </c>
      <c r="BY40"/>
      <c r="BZ40" s="35">
        <f t="shared" si="92"/>
        <v>28234.44</v>
      </c>
      <c r="CA40" s="35">
        <f t="shared" si="42"/>
        <v>950.5377612</v>
      </c>
      <c r="CB40" s="5">
        <f t="shared" si="43"/>
        <v>29184.9777612</v>
      </c>
      <c r="CC40" s="35">
        <f t="shared" si="44"/>
        <v>797.0148035999999</v>
      </c>
      <c r="CD40"/>
      <c r="CE40" s="35">
        <f t="shared" si="93"/>
        <v>1549.8600000000001</v>
      </c>
      <c r="CF40" s="35">
        <f t="shared" si="45"/>
        <v>52.177427800000004</v>
      </c>
      <c r="CG40" s="5">
        <f t="shared" si="46"/>
        <v>1602.0374278000002</v>
      </c>
      <c r="CH40" s="35">
        <f t="shared" si="47"/>
        <v>43.7501634</v>
      </c>
      <c r="CI40"/>
      <c r="CJ40" s="35">
        <f t="shared" si="94"/>
        <v>74.10000000000001</v>
      </c>
      <c r="CK40" s="35">
        <f t="shared" si="48"/>
        <v>2.494643</v>
      </c>
      <c r="CL40" s="5">
        <f t="shared" si="49"/>
        <v>76.594643</v>
      </c>
      <c r="CM40" s="35">
        <f t="shared" si="50"/>
        <v>2.091729</v>
      </c>
      <c r="CN40"/>
      <c r="CO40" s="35">
        <f t="shared" si="95"/>
        <v>51978.420000000006</v>
      </c>
      <c r="CP40" s="35">
        <f t="shared" si="51"/>
        <v>1749.9001566000002</v>
      </c>
      <c r="CQ40" s="5">
        <f t="shared" si="52"/>
        <v>53728.320156600006</v>
      </c>
      <c r="CR40" s="35">
        <f t="shared" si="53"/>
        <v>1467.2708298</v>
      </c>
      <c r="CT40" s="35">
        <f t="shared" si="96"/>
        <v>1367.3400000000001</v>
      </c>
      <c r="CU40" s="35">
        <f t="shared" si="54"/>
        <v>46.0327282</v>
      </c>
      <c r="CV40" s="5">
        <f t="shared" si="55"/>
        <v>1413.3727282000002</v>
      </c>
      <c r="CW40" s="35">
        <f t="shared" si="56"/>
        <v>38.5979046</v>
      </c>
      <c r="CX40"/>
      <c r="CY40" s="35">
        <f t="shared" si="97"/>
        <v>40493.7</v>
      </c>
      <c r="CZ40" s="35">
        <f t="shared" si="57"/>
        <v>1363.256751</v>
      </c>
      <c r="DA40" s="5">
        <f t="shared" si="58"/>
        <v>41856.956751</v>
      </c>
      <c r="DB40" s="35">
        <f t="shared" si="59"/>
        <v>1143.074853</v>
      </c>
      <c r="DC40"/>
      <c r="DD40" s="35">
        <f t="shared" si="98"/>
        <v>37879.14</v>
      </c>
      <c r="DE40" s="35">
        <f t="shared" si="60"/>
        <v>1275.2352422</v>
      </c>
      <c r="DF40" s="5">
        <f t="shared" si="61"/>
        <v>39154.375242199996</v>
      </c>
      <c r="DG40" s="35">
        <f t="shared" si="62"/>
        <v>1069.2698466</v>
      </c>
      <c r="DH40"/>
      <c r="DI40" s="35">
        <f t="shared" si="99"/>
        <v>57792.54</v>
      </c>
      <c r="DJ40" s="35">
        <f t="shared" si="63"/>
        <v>1945.6377241999999</v>
      </c>
      <c r="DK40" s="5">
        <f t="shared" si="64"/>
        <v>59738.1777242</v>
      </c>
      <c r="DL40" s="35">
        <f t="shared" si="65"/>
        <v>1631.3944926</v>
      </c>
      <c r="DM40"/>
      <c r="DN40" s="35">
        <f t="shared" si="100"/>
        <v>66210.3</v>
      </c>
      <c r="DO40" s="35">
        <f t="shared" si="66"/>
        <v>2229.029169</v>
      </c>
      <c r="DP40" s="5">
        <f t="shared" si="67"/>
        <v>68439.329169</v>
      </c>
      <c r="DQ40" s="35">
        <f t="shared" si="68"/>
        <v>1869.014907</v>
      </c>
      <c r="DR40"/>
      <c r="DS40" s="35">
        <f t="shared" si="101"/>
        <v>36071.1</v>
      </c>
      <c r="DT40" s="35">
        <f t="shared" si="69"/>
        <v>1214.365953</v>
      </c>
      <c r="DU40" s="35">
        <f t="shared" si="70"/>
        <v>37285.465953</v>
      </c>
      <c r="DV40" s="35">
        <f t="shared" si="71"/>
        <v>1018.231659</v>
      </c>
      <c r="DW40"/>
      <c r="DX40" s="35">
        <f t="shared" si="102"/>
        <v>54765.36</v>
      </c>
      <c r="DY40" s="35">
        <f t="shared" si="72"/>
        <v>1843.7249928</v>
      </c>
      <c r="DZ40" s="35">
        <f t="shared" si="73"/>
        <v>56609.0849928</v>
      </c>
      <c r="EA40" s="35">
        <f t="shared" si="74"/>
        <v>1545.9418584</v>
      </c>
      <c r="EC40" s="35">
        <f t="shared" si="103"/>
        <v>16206.839999999998</v>
      </c>
      <c r="ED40" s="35">
        <f t="shared" si="75"/>
        <v>545.6178132</v>
      </c>
      <c r="EE40" s="35">
        <f t="shared" si="76"/>
        <v>16752.4578132</v>
      </c>
      <c r="EF40" s="35">
        <f t="shared" si="77"/>
        <v>457.4941596</v>
      </c>
    </row>
    <row r="41" spans="1:136" ht="12.75">
      <c r="A41" s="36">
        <v>13789</v>
      </c>
      <c r="D41" s="3">
        <v>135844</v>
      </c>
      <c r="E41" s="34">
        <f t="shared" si="0"/>
        <v>135844</v>
      </c>
      <c r="F41" s="34">
        <v>220182</v>
      </c>
      <c r="H41" s="43"/>
      <c r="I41" s="35">
        <f t="shared" si="1"/>
        <v>39135.691907600005</v>
      </c>
      <c r="J41" s="35">
        <f t="shared" si="2"/>
        <v>39135.691907600005</v>
      </c>
      <c r="K41" s="35">
        <f t="shared" si="1"/>
        <v>63432.870907799996</v>
      </c>
      <c r="L41"/>
      <c r="M41" s="35"/>
      <c r="N41" s="35">
        <f t="shared" si="3"/>
        <v>13856.957401599999</v>
      </c>
      <c r="O41" s="5">
        <f t="shared" si="4"/>
        <v>13856.957401599999</v>
      </c>
      <c r="P41" s="35">
        <f t="shared" si="5"/>
        <v>22459.973164799998</v>
      </c>
      <c r="Q41"/>
      <c r="R41" s="35"/>
      <c r="S41" s="35">
        <f t="shared" si="6"/>
        <v>1034.45206</v>
      </c>
      <c r="T41" s="5">
        <f t="shared" si="7"/>
        <v>1034.45206</v>
      </c>
      <c r="U41" s="35">
        <f t="shared" si="8"/>
        <v>1676.68593</v>
      </c>
      <c r="V41"/>
      <c r="W41" s="35"/>
      <c r="X41" s="35">
        <f t="shared" si="9"/>
        <v>10621.234828</v>
      </c>
      <c r="Y41" s="5">
        <f t="shared" si="10"/>
        <v>10621.234828</v>
      </c>
      <c r="Z41" s="35">
        <f t="shared" si="11"/>
        <v>17215.370034000003</v>
      </c>
      <c r="AA41"/>
      <c r="AB41" s="35"/>
      <c r="AC41" s="35">
        <f t="shared" si="12"/>
        <v>552.9801708</v>
      </c>
      <c r="AD41" s="5">
        <f t="shared" si="13"/>
        <v>552.9801708</v>
      </c>
      <c r="AE41" s="35">
        <f t="shared" si="14"/>
        <v>896.2948674</v>
      </c>
      <c r="AF41"/>
      <c r="AG41" s="35"/>
      <c r="AH41" s="35">
        <f t="shared" si="15"/>
        <v>33.5806368</v>
      </c>
      <c r="AI41" s="5">
        <f t="shared" si="16"/>
        <v>33.5806368</v>
      </c>
      <c r="AJ41" s="35">
        <f t="shared" si="17"/>
        <v>54.428990399999996</v>
      </c>
      <c r="AK41"/>
      <c r="AL41" s="35"/>
      <c r="AM41" s="35">
        <f t="shared" si="18"/>
        <v>46.1733756</v>
      </c>
      <c r="AN41" s="5">
        <f t="shared" si="19"/>
        <v>46.1733756</v>
      </c>
      <c r="AO41" s="35">
        <f t="shared" si="20"/>
        <v>74.83986180000001</v>
      </c>
      <c r="AP41"/>
      <c r="AQ41" s="35"/>
      <c r="AR41" s="35">
        <f t="shared" si="21"/>
        <v>2437.245126</v>
      </c>
      <c r="AS41" s="5">
        <f t="shared" si="22"/>
        <v>2437.245126</v>
      </c>
      <c r="AT41" s="35">
        <f t="shared" si="23"/>
        <v>3950.395353</v>
      </c>
      <c r="AU41"/>
      <c r="AV41" s="35"/>
      <c r="AW41" s="35">
        <f t="shared" si="24"/>
        <v>3.7764632000000002</v>
      </c>
      <c r="AX41" s="5">
        <f t="shared" si="25"/>
        <v>3.7764632000000002</v>
      </c>
      <c r="AY41" s="35">
        <f t="shared" si="26"/>
        <v>6.121059600000001</v>
      </c>
      <c r="AZ41"/>
      <c r="BA41" s="35"/>
      <c r="BB41" s="35">
        <f t="shared" si="27"/>
        <v>56.3616756</v>
      </c>
      <c r="BC41" s="5">
        <f t="shared" si="28"/>
        <v>56.3616756</v>
      </c>
      <c r="BD41" s="35">
        <f t="shared" si="29"/>
        <v>91.3535118</v>
      </c>
      <c r="BE41"/>
      <c r="BF41" s="35"/>
      <c r="BG41" s="35">
        <f t="shared" si="30"/>
        <v>12.484063599999999</v>
      </c>
      <c r="BH41" s="5">
        <f t="shared" si="31"/>
        <v>12.484063599999999</v>
      </c>
      <c r="BI41" s="35">
        <f t="shared" si="32"/>
        <v>20.2347258</v>
      </c>
      <c r="BJ41"/>
      <c r="BK41" s="35"/>
      <c r="BL41" s="35">
        <f t="shared" si="33"/>
        <v>1967.9584436</v>
      </c>
      <c r="BM41" s="5">
        <f t="shared" si="34"/>
        <v>1967.9584436</v>
      </c>
      <c r="BN41" s="35">
        <f t="shared" si="35"/>
        <v>3189.7546158</v>
      </c>
      <c r="BO41"/>
      <c r="BP41" s="35"/>
      <c r="BQ41" s="35">
        <f t="shared" si="36"/>
        <v>6.574849599999999</v>
      </c>
      <c r="BR41" s="5">
        <f t="shared" si="37"/>
        <v>6.574849599999999</v>
      </c>
      <c r="BS41" s="35">
        <f t="shared" si="38"/>
        <v>10.6568088</v>
      </c>
      <c r="BT41"/>
      <c r="BU41" s="35"/>
      <c r="BV41" s="35">
        <f t="shared" si="39"/>
        <v>1668.028476</v>
      </c>
      <c r="BW41" s="5">
        <f t="shared" si="40"/>
        <v>1668.028476</v>
      </c>
      <c r="BX41" s="35">
        <f t="shared" si="41"/>
        <v>2703.614778</v>
      </c>
      <c r="BY41"/>
      <c r="BZ41" s="35"/>
      <c r="CA41" s="35">
        <f t="shared" si="42"/>
        <v>491.7281112</v>
      </c>
      <c r="CB41" s="5">
        <f t="shared" si="43"/>
        <v>491.7281112</v>
      </c>
      <c r="CC41" s="35">
        <f t="shared" si="44"/>
        <v>797.0148035999999</v>
      </c>
      <c r="CD41"/>
      <c r="CE41" s="35"/>
      <c r="CF41" s="35">
        <f t="shared" si="45"/>
        <v>26.9922028</v>
      </c>
      <c r="CG41" s="5">
        <f t="shared" si="46"/>
        <v>26.9922028</v>
      </c>
      <c r="CH41" s="35">
        <f t="shared" si="47"/>
        <v>43.7501634</v>
      </c>
      <c r="CI41"/>
      <c r="CJ41" s="35"/>
      <c r="CK41" s="35">
        <f t="shared" si="48"/>
        <v>1.290518</v>
      </c>
      <c r="CL41" s="5">
        <f t="shared" si="49"/>
        <v>1.290518</v>
      </c>
      <c r="CM41" s="35">
        <f t="shared" si="50"/>
        <v>2.091729</v>
      </c>
      <c r="CN41"/>
      <c r="CO41" s="35"/>
      <c r="CP41" s="35">
        <f t="shared" si="51"/>
        <v>905.2508316000001</v>
      </c>
      <c r="CQ41" s="5">
        <f t="shared" si="52"/>
        <v>905.2508316000001</v>
      </c>
      <c r="CR41" s="35">
        <f t="shared" si="53"/>
        <v>1467.2708298</v>
      </c>
      <c r="CT41" s="35"/>
      <c r="CU41" s="35">
        <f t="shared" si="54"/>
        <v>23.8134532</v>
      </c>
      <c r="CV41" s="5">
        <f t="shared" si="55"/>
        <v>23.8134532</v>
      </c>
      <c r="CW41" s="35">
        <f t="shared" si="56"/>
        <v>38.5979046</v>
      </c>
      <c r="CX41"/>
      <c r="CY41" s="35"/>
      <c r="CZ41" s="35">
        <f t="shared" si="57"/>
        <v>705.234126</v>
      </c>
      <c r="DA41" s="5">
        <f t="shared" si="58"/>
        <v>705.234126</v>
      </c>
      <c r="DB41" s="35">
        <f t="shared" si="59"/>
        <v>1143.074853</v>
      </c>
      <c r="DC41"/>
      <c r="DD41" s="35"/>
      <c r="DE41" s="35">
        <f t="shared" si="60"/>
        <v>659.6992172</v>
      </c>
      <c r="DF41" s="5">
        <f t="shared" si="61"/>
        <v>659.6992172</v>
      </c>
      <c r="DG41" s="35">
        <f t="shared" si="62"/>
        <v>1069.2698466</v>
      </c>
      <c r="DH41"/>
      <c r="DI41" s="35"/>
      <c r="DJ41" s="35">
        <f t="shared" si="63"/>
        <v>1006.5089492</v>
      </c>
      <c r="DK41" s="5">
        <f t="shared" si="64"/>
        <v>1006.5089492</v>
      </c>
      <c r="DL41" s="35">
        <f t="shared" si="65"/>
        <v>1631.3944926</v>
      </c>
      <c r="DM41"/>
      <c r="DN41" s="35"/>
      <c r="DO41" s="35">
        <f t="shared" si="66"/>
        <v>1153.111794</v>
      </c>
      <c r="DP41" s="5">
        <f t="shared" si="67"/>
        <v>1153.111794</v>
      </c>
      <c r="DQ41" s="35">
        <f t="shared" si="68"/>
        <v>1869.014907</v>
      </c>
      <c r="DR41"/>
      <c r="DS41" s="35"/>
      <c r="DT41" s="35">
        <f t="shared" si="69"/>
        <v>628.210578</v>
      </c>
      <c r="DU41" s="35">
        <f t="shared" si="70"/>
        <v>628.210578</v>
      </c>
      <c r="DV41" s="35">
        <f t="shared" si="71"/>
        <v>1018.231659</v>
      </c>
      <c r="DW41"/>
      <c r="DX41" s="35"/>
      <c r="DY41" s="35">
        <f t="shared" si="72"/>
        <v>953.7878928</v>
      </c>
      <c r="DZ41" s="35">
        <f t="shared" si="73"/>
        <v>953.7878928</v>
      </c>
      <c r="EA41" s="35">
        <f t="shared" si="74"/>
        <v>1545.9418584</v>
      </c>
      <c r="EC41" s="35"/>
      <c r="ED41" s="35">
        <f t="shared" si="75"/>
        <v>282.2566632</v>
      </c>
      <c r="EE41" s="35">
        <f t="shared" si="76"/>
        <v>282.2566632</v>
      </c>
      <c r="EF41" s="35">
        <f t="shared" si="77"/>
        <v>457.4941596</v>
      </c>
    </row>
    <row r="42" spans="1:136" ht="12.75">
      <c r="A42" s="36">
        <v>13971</v>
      </c>
      <c r="C42" s="3">
        <v>8050000</v>
      </c>
      <c r="D42" s="3">
        <v>135844</v>
      </c>
      <c r="E42" s="34">
        <f t="shared" si="0"/>
        <v>8185844</v>
      </c>
      <c r="F42" s="34">
        <v>220165</v>
      </c>
      <c r="H42" s="43">
        <f t="shared" si="78"/>
        <v>2319147.845</v>
      </c>
      <c r="I42" s="35">
        <f t="shared" si="1"/>
        <v>39135.691907600005</v>
      </c>
      <c r="J42" s="35">
        <f t="shared" si="2"/>
        <v>2358283.5369076002</v>
      </c>
      <c r="K42" s="35">
        <f t="shared" si="1"/>
        <v>63427.97332849999</v>
      </c>
      <c r="L42"/>
      <c r="M42" s="35">
        <f t="shared" si="79"/>
        <v>821151.52</v>
      </c>
      <c r="N42" s="35">
        <f t="shared" si="3"/>
        <v>13856.957401599999</v>
      </c>
      <c r="O42" s="5">
        <f t="shared" si="4"/>
        <v>835008.4774016</v>
      </c>
      <c r="P42" s="35">
        <f t="shared" si="5"/>
        <v>22458.239056</v>
      </c>
      <c r="Q42"/>
      <c r="R42" s="35">
        <f t="shared" si="80"/>
        <v>61300.75</v>
      </c>
      <c r="S42" s="35">
        <f t="shared" si="6"/>
        <v>1034.45206</v>
      </c>
      <c r="T42" s="5">
        <f t="shared" si="7"/>
        <v>62335.20206</v>
      </c>
      <c r="U42" s="35">
        <f t="shared" si="8"/>
        <v>1676.556475</v>
      </c>
      <c r="V42"/>
      <c r="W42" s="35">
        <f t="shared" si="81"/>
        <v>629405.3500000001</v>
      </c>
      <c r="X42" s="35">
        <f t="shared" si="9"/>
        <v>10621.234828</v>
      </c>
      <c r="Y42" s="5">
        <f t="shared" si="10"/>
        <v>640026.584828</v>
      </c>
      <c r="Z42" s="35">
        <f t="shared" si="11"/>
        <v>17214.040855000003</v>
      </c>
      <c r="AA42"/>
      <c r="AB42" s="35">
        <f t="shared" si="82"/>
        <v>32769.135</v>
      </c>
      <c r="AC42" s="35">
        <f t="shared" si="12"/>
        <v>552.9801708</v>
      </c>
      <c r="AD42" s="5">
        <f t="shared" si="13"/>
        <v>33322.1151708</v>
      </c>
      <c r="AE42" s="35">
        <f t="shared" si="14"/>
        <v>896.2256655</v>
      </c>
      <c r="AF42"/>
      <c r="AG42" s="35">
        <f t="shared" si="83"/>
        <v>1989.96</v>
      </c>
      <c r="AH42" s="35">
        <f t="shared" si="15"/>
        <v>33.5806368</v>
      </c>
      <c r="AI42" s="5">
        <f t="shared" si="16"/>
        <v>2023.5406368000001</v>
      </c>
      <c r="AJ42" s="35">
        <f t="shared" si="17"/>
        <v>54.424788</v>
      </c>
      <c r="AK42"/>
      <c r="AL42" s="35">
        <f t="shared" si="84"/>
        <v>2736.195</v>
      </c>
      <c r="AM42" s="35">
        <f t="shared" si="18"/>
        <v>46.1733756</v>
      </c>
      <c r="AN42" s="5">
        <f t="shared" si="19"/>
        <v>2782.3683756</v>
      </c>
      <c r="AO42" s="35">
        <f t="shared" si="20"/>
        <v>74.8340835</v>
      </c>
      <c r="AP42"/>
      <c r="AQ42" s="35">
        <f t="shared" si="85"/>
        <v>144429.07499999998</v>
      </c>
      <c r="AR42" s="35">
        <f t="shared" si="21"/>
        <v>2437.245126</v>
      </c>
      <c r="AS42" s="5">
        <f t="shared" si="22"/>
        <v>146866.32012599998</v>
      </c>
      <c r="AT42" s="35">
        <f t="shared" si="23"/>
        <v>3950.0903475</v>
      </c>
      <c r="AU42"/>
      <c r="AV42" s="35">
        <f t="shared" si="86"/>
        <v>223.79000000000002</v>
      </c>
      <c r="AW42" s="35">
        <f t="shared" si="24"/>
        <v>3.7764632000000002</v>
      </c>
      <c r="AX42" s="5">
        <f t="shared" si="25"/>
        <v>227.56646320000002</v>
      </c>
      <c r="AY42" s="35">
        <f t="shared" si="26"/>
        <v>6.120587</v>
      </c>
      <c r="AZ42"/>
      <c r="BA42" s="35">
        <f t="shared" si="87"/>
        <v>3339.945</v>
      </c>
      <c r="BB42" s="35">
        <f t="shared" si="27"/>
        <v>56.3616756</v>
      </c>
      <c r="BC42" s="5">
        <f t="shared" si="28"/>
        <v>3396.3066756000003</v>
      </c>
      <c r="BD42" s="35">
        <f t="shared" si="29"/>
        <v>91.3464585</v>
      </c>
      <c r="BE42"/>
      <c r="BF42" s="35">
        <f t="shared" si="88"/>
        <v>739.795</v>
      </c>
      <c r="BG42" s="35">
        <f t="shared" si="30"/>
        <v>12.484063599999999</v>
      </c>
      <c r="BH42" s="5">
        <f t="shared" si="31"/>
        <v>752.2790636</v>
      </c>
      <c r="BI42" s="35">
        <f t="shared" si="32"/>
        <v>20.2331635</v>
      </c>
      <c r="BJ42"/>
      <c r="BK42" s="35">
        <f t="shared" si="89"/>
        <v>116619.545</v>
      </c>
      <c r="BL42" s="35">
        <f t="shared" si="33"/>
        <v>1967.9584436</v>
      </c>
      <c r="BM42" s="5">
        <f t="shared" si="34"/>
        <v>118587.5034436</v>
      </c>
      <c r="BN42" s="35">
        <f t="shared" si="35"/>
        <v>3189.5083385000003</v>
      </c>
      <c r="BO42"/>
      <c r="BP42" s="35">
        <f t="shared" si="90"/>
        <v>389.62</v>
      </c>
      <c r="BQ42" s="35">
        <f t="shared" si="36"/>
        <v>6.574849599999999</v>
      </c>
      <c r="BR42" s="5">
        <f t="shared" si="37"/>
        <v>396.1948496</v>
      </c>
      <c r="BS42" s="35">
        <f t="shared" si="38"/>
        <v>10.655985999999999</v>
      </c>
      <c r="BT42"/>
      <c r="BU42" s="35">
        <f t="shared" si="91"/>
        <v>98845.95</v>
      </c>
      <c r="BV42" s="35">
        <f t="shared" si="39"/>
        <v>1668.028476</v>
      </c>
      <c r="BW42" s="5">
        <f t="shared" si="40"/>
        <v>100513.978476</v>
      </c>
      <c r="BX42" s="35">
        <f t="shared" si="41"/>
        <v>2703.406035</v>
      </c>
      <c r="BY42"/>
      <c r="BZ42" s="35">
        <f t="shared" si="92"/>
        <v>29139.39</v>
      </c>
      <c r="CA42" s="35">
        <f t="shared" si="42"/>
        <v>491.7281112</v>
      </c>
      <c r="CB42" s="5">
        <f t="shared" si="43"/>
        <v>29631.118111199998</v>
      </c>
      <c r="CC42" s="35">
        <f t="shared" si="44"/>
        <v>796.953267</v>
      </c>
      <c r="CD42"/>
      <c r="CE42" s="35">
        <f t="shared" si="93"/>
        <v>1599.535</v>
      </c>
      <c r="CF42" s="35">
        <f t="shared" si="45"/>
        <v>26.9922028</v>
      </c>
      <c r="CG42" s="5">
        <f t="shared" si="46"/>
        <v>1626.5272028000002</v>
      </c>
      <c r="CH42" s="35">
        <f t="shared" si="47"/>
        <v>43.7467855</v>
      </c>
      <c r="CI42"/>
      <c r="CJ42" s="35">
        <f t="shared" si="94"/>
        <v>76.47500000000001</v>
      </c>
      <c r="CK42" s="35">
        <f t="shared" si="48"/>
        <v>1.290518</v>
      </c>
      <c r="CL42" s="5">
        <f t="shared" si="49"/>
        <v>77.76551800000001</v>
      </c>
      <c r="CM42" s="35">
        <f t="shared" si="50"/>
        <v>2.0915675</v>
      </c>
      <c r="CN42"/>
      <c r="CO42" s="35">
        <f t="shared" si="95"/>
        <v>53644.395000000004</v>
      </c>
      <c r="CP42" s="35">
        <f t="shared" si="51"/>
        <v>905.2508316000001</v>
      </c>
      <c r="CQ42" s="5">
        <f t="shared" si="52"/>
        <v>54549.645831600006</v>
      </c>
      <c r="CR42" s="35">
        <f t="shared" si="53"/>
        <v>1467.1575435</v>
      </c>
      <c r="CT42" s="35">
        <f t="shared" si="96"/>
        <v>1411.165</v>
      </c>
      <c r="CU42" s="35">
        <f t="shared" si="54"/>
        <v>23.8134532</v>
      </c>
      <c r="CV42" s="5">
        <f t="shared" si="55"/>
        <v>1434.9784531999999</v>
      </c>
      <c r="CW42" s="35">
        <f t="shared" si="56"/>
        <v>38.594924500000005</v>
      </c>
      <c r="CX42"/>
      <c r="CY42" s="35">
        <f t="shared" si="97"/>
        <v>41791.575</v>
      </c>
      <c r="CZ42" s="35">
        <f t="shared" si="57"/>
        <v>705.234126</v>
      </c>
      <c r="DA42" s="5">
        <f t="shared" si="58"/>
        <v>42496.809126</v>
      </c>
      <c r="DB42" s="35">
        <f t="shared" si="59"/>
        <v>1142.9865975</v>
      </c>
      <c r="DC42"/>
      <c r="DD42" s="35">
        <f t="shared" si="98"/>
        <v>39093.215000000004</v>
      </c>
      <c r="DE42" s="35">
        <f t="shared" si="60"/>
        <v>659.6992172</v>
      </c>
      <c r="DF42" s="5">
        <f t="shared" si="61"/>
        <v>39752.91421720001</v>
      </c>
      <c r="DG42" s="35">
        <f t="shared" si="62"/>
        <v>1069.1872895</v>
      </c>
      <c r="DH42"/>
      <c r="DI42" s="35">
        <f t="shared" si="99"/>
        <v>59644.865</v>
      </c>
      <c r="DJ42" s="35">
        <f t="shared" si="63"/>
        <v>1006.5089492</v>
      </c>
      <c r="DK42" s="5">
        <f t="shared" si="64"/>
        <v>60651.373949199995</v>
      </c>
      <c r="DL42" s="35">
        <f t="shared" si="65"/>
        <v>1631.2685345</v>
      </c>
      <c r="DM42"/>
      <c r="DN42" s="35">
        <f t="shared" si="100"/>
        <v>68332.425</v>
      </c>
      <c r="DO42" s="35">
        <f t="shared" si="66"/>
        <v>1153.111794</v>
      </c>
      <c r="DP42" s="5">
        <f t="shared" si="67"/>
        <v>69485.536794</v>
      </c>
      <c r="DQ42" s="35">
        <f t="shared" si="68"/>
        <v>1868.8706025</v>
      </c>
      <c r="DR42"/>
      <c r="DS42" s="35">
        <f t="shared" si="101"/>
        <v>37227.225</v>
      </c>
      <c r="DT42" s="35">
        <f t="shared" si="69"/>
        <v>628.210578</v>
      </c>
      <c r="DU42" s="35">
        <f t="shared" si="70"/>
        <v>37855.435578</v>
      </c>
      <c r="DV42" s="35">
        <f t="shared" si="71"/>
        <v>1018.1530425000001</v>
      </c>
      <c r="DW42"/>
      <c r="DX42" s="35">
        <f t="shared" si="102"/>
        <v>56520.66</v>
      </c>
      <c r="DY42" s="35">
        <f t="shared" si="72"/>
        <v>953.7878928</v>
      </c>
      <c r="DZ42" s="35">
        <f t="shared" si="73"/>
        <v>57474.4478928</v>
      </c>
      <c r="EA42" s="35">
        <f t="shared" si="74"/>
        <v>1545.822498</v>
      </c>
      <c r="EC42" s="35">
        <f t="shared" si="103"/>
        <v>16726.289999999997</v>
      </c>
      <c r="ED42" s="35">
        <f t="shared" si="75"/>
        <v>282.2566632</v>
      </c>
      <c r="EE42" s="35">
        <f t="shared" si="76"/>
        <v>17008.5466632</v>
      </c>
      <c r="EF42" s="35">
        <f t="shared" si="77"/>
        <v>457.45883699999996</v>
      </c>
    </row>
    <row r="43" spans="2:136" ht="12.75">
      <c r="B43" s="33"/>
      <c r="C43" s="34"/>
      <c r="D43" s="34"/>
      <c r="E43" s="34"/>
      <c r="F43" s="3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T43"/>
      <c r="AU43"/>
      <c r="AV43"/>
      <c r="AW43"/>
      <c r="AY43"/>
      <c r="AZ43"/>
      <c r="BA43"/>
      <c r="BB43"/>
      <c r="BD43"/>
      <c r="BE43"/>
      <c r="BF43"/>
      <c r="BG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V43"/>
      <c r="DW43"/>
      <c r="DX43"/>
      <c r="DY43"/>
      <c r="EA43"/>
      <c r="EC43"/>
      <c r="ED43"/>
      <c r="EF43"/>
    </row>
    <row r="44" spans="1:136" ht="13.5" thickBot="1">
      <c r="A44" s="38" t="s">
        <v>5</v>
      </c>
      <c r="C44" s="39">
        <f>SUM(C9:C43)</f>
        <v>104035000</v>
      </c>
      <c r="D44" s="39">
        <f>SUM(D9:D43)</f>
        <v>37465484</v>
      </c>
      <c r="E44" s="39">
        <f>SUM(E9:E43)</f>
        <v>141500484</v>
      </c>
      <c r="F44" s="39">
        <f>SUM(F9:F43)</f>
        <v>7486171</v>
      </c>
      <c r="H44" s="39">
        <f>SUM(H9:H43)</f>
        <v>29971744.8515</v>
      </c>
      <c r="I44" s="39">
        <f>SUM(I9:I43)</f>
        <v>10793539.935463596</v>
      </c>
      <c r="J44" s="39">
        <f>SUM(J9:J43)</f>
        <v>40765284.786963604</v>
      </c>
      <c r="K44" s="39">
        <f>SUM(K9:K43)</f>
        <v>2156712.7132859007</v>
      </c>
      <c r="M44" s="39">
        <f>SUM(M9:M43)</f>
        <v>10612235.824</v>
      </c>
      <c r="N44" s="39">
        <f>SUM(N9:N43)</f>
        <v>3821719.1470976</v>
      </c>
      <c r="O44" s="39">
        <f>SUM(O9:O43)</f>
        <v>14433954.971097598</v>
      </c>
      <c r="P44" s="39">
        <f>SUM(P9:P43)</f>
        <v>763637.3534943995</v>
      </c>
      <c r="R44" s="39">
        <f>SUM(R9:R43)</f>
        <v>792226.5249999999</v>
      </c>
      <c r="S44" s="39">
        <f>SUM(S9:S43)</f>
        <v>285299.66066</v>
      </c>
      <c r="T44" s="39">
        <f>SUM(T9:T43)</f>
        <v>1077526.18566</v>
      </c>
      <c r="U44" s="39">
        <f>SUM(U9:U43)</f>
        <v>57007.19216499999</v>
      </c>
      <c r="W44" s="39">
        <f>SUM(W9:W43)</f>
        <v>8134184.545000002</v>
      </c>
      <c r="X44" s="39">
        <f>SUM(X9:X43)</f>
        <v>2929313.797508002</v>
      </c>
      <c r="Y44" s="39">
        <f>SUM(Y9:Y43)</f>
        <v>11063498.342508001</v>
      </c>
      <c r="Z44" s="39">
        <f>SUM(Z9:Z43)</f>
        <v>585321.2519770004</v>
      </c>
      <c r="AB44" s="39">
        <f>SUM(AB9:AB43)</f>
        <v>423495.27450000006</v>
      </c>
      <c r="AC44" s="39">
        <f>SUM(AC9:AC43)</f>
        <v>152510.74571880006</v>
      </c>
      <c r="AD44" s="39">
        <f>SUM(AD9:AD43)</f>
        <v>576006.0202188</v>
      </c>
      <c r="AE44" s="39">
        <f>SUM(AE9:AE43)</f>
        <v>30473.9562897</v>
      </c>
      <c r="AG44" s="39">
        <f>SUM(AG9:AG43)</f>
        <v>25717.451999999997</v>
      </c>
      <c r="AH44" s="39">
        <f>SUM(AH9:AH43)</f>
        <v>9261.467644799997</v>
      </c>
      <c r="AI44" s="39">
        <f>SUM(AI9:AI43)</f>
        <v>34978.9196448</v>
      </c>
      <c r="AJ44" s="39">
        <f>SUM(AJ9:AJ43)</f>
        <v>1850.5814711999994</v>
      </c>
      <c r="AL44" s="39">
        <f>SUM(AL9:AL43)</f>
        <v>35361.49650000001</v>
      </c>
      <c r="AM44" s="39">
        <f>SUM(AM9:AM43)</f>
        <v>12734.518011600001</v>
      </c>
      <c r="AN44" s="39">
        <f>SUM(AN9:AN43)</f>
        <v>48096.01451160002</v>
      </c>
      <c r="AO44" s="39">
        <f>SUM(AO9:AO43)</f>
        <v>2544.549522900002</v>
      </c>
      <c r="AQ44" s="39">
        <f>SUM(AQ9:AQ43)</f>
        <v>1866543.9524999997</v>
      </c>
      <c r="AR44" s="39">
        <f>SUM(AR9:AR43)</f>
        <v>672186.9811859999</v>
      </c>
      <c r="AS44" s="39">
        <f>SUM(AS9:AS43)</f>
        <v>2538730.933686</v>
      </c>
      <c r="AT44" s="39">
        <f>SUM(AT9:AT43)</f>
        <v>134313.1369965</v>
      </c>
      <c r="AV44" s="39">
        <f>SUM(AV9:AV43)</f>
        <v>2892.1730000000007</v>
      </c>
      <c r="AW44" s="39">
        <f>SUM(AW9:AW43)</f>
        <v>1041.5404552000005</v>
      </c>
      <c r="AX44" s="39">
        <f>SUM(AX9:AX43)</f>
        <v>3933.7134552</v>
      </c>
      <c r="AY44" s="39">
        <f>SUM(AY9:AY43)</f>
        <v>208.11555379999993</v>
      </c>
      <c r="BA44" s="39">
        <f>SUM(BA9:BA43)</f>
        <v>43164.121499999994</v>
      </c>
      <c r="BB44" s="39">
        <f>SUM(BB9:BB43)</f>
        <v>15544.4293116</v>
      </c>
      <c r="BC44" s="39">
        <f>SUM(BC9:BC43)</f>
        <v>58708.5508116</v>
      </c>
      <c r="BD44" s="39">
        <f>SUM(BD9:BD43)</f>
        <v>3106.0123479</v>
      </c>
      <c r="BF44" s="39">
        <f>SUM(BF9:BF43)</f>
        <v>9560.8165</v>
      </c>
      <c r="BG44" s="39">
        <f>SUM(BG9:BG43)</f>
        <v>3443.077979599999</v>
      </c>
      <c r="BH44" s="39">
        <f>SUM(BH9:BH43)</f>
        <v>13003.894479600003</v>
      </c>
      <c r="BI44" s="39">
        <f>SUM(BI9:BI43)</f>
        <v>687.9791148999997</v>
      </c>
      <c r="BK44" s="39">
        <f>SUM(BK9:BK43)</f>
        <v>1507144.6415</v>
      </c>
      <c r="BL44" s="39">
        <f>SUM(BL9:BL43)</f>
        <v>542758.7201596</v>
      </c>
      <c r="BM44" s="39">
        <f>SUM(BM9:BM43)</f>
        <v>2049903.3616596</v>
      </c>
      <c r="BN44" s="39">
        <f>SUM(BN9:BN43)</f>
        <v>108451.41065990002</v>
      </c>
      <c r="BP44" s="39">
        <f>SUM(BP9:BP43)</f>
        <v>5035.294000000001</v>
      </c>
      <c r="BQ44" s="39">
        <f>SUM(BQ9:BQ43)</f>
        <v>1813.3294256000008</v>
      </c>
      <c r="BR44" s="39">
        <f>SUM(BR9:BR43)</f>
        <v>6848.623425600001</v>
      </c>
      <c r="BS44" s="39">
        <f>SUM(BS9:BS43)</f>
        <v>362.3306764000001</v>
      </c>
      <c r="BU44" s="39">
        <f>SUM(BU9:BU43)</f>
        <v>1277445.765</v>
      </c>
      <c r="BV44" s="39">
        <f>SUM(BV9:BV43)</f>
        <v>460038.6780359999</v>
      </c>
      <c r="BW44" s="39">
        <f>SUM(BW9:BW43)</f>
        <v>1737484.4430360002</v>
      </c>
      <c r="BX44" s="39">
        <f>SUM(BX9:BX43)</f>
        <v>91922.69370900004</v>
      </c>
      <c r="BZ44" s="39">
        <f>SUM(BZ9:BZ43)</f>
        <v>376585.893</v>
      </c>
      <c r="CA44" s="39">
        <f>SUM(CA9:CA43)</f>
        <v>135617.5589832</v>
      </c>
      <c r="CB44" s="39">
        <f>SUM(CB9:CB43)</f>
        <v>512203.4519831999</v>
      </c>
      <c r="CC44" s="39">
        <f>SUM(CC9:CC43)</f>
        <v>27098.441785799983</v>
      </c>
      <c r="CE44" s="39">
        <f>SUM(CE9:CE43)</f>
        <v>20671.7545</v>
      </c>
      <c r="CF44" s="39">
        <f>SUM(CF9:CF43)</f>
        <v>7444.3916708000015</v>
      </c>
      <c r="CG44" s="39">
        <f>SUM(CG9:CG43)</f>
        <v>28116.146170800006</v>
      </c>
      <c r="CH44" s="39">
        <f>SUM(CH9:CH43)</f>
        <v>1487.5021777000004</v>
      </c>
      <c r="CJ44" s="39">
        <f>SUM(CJ9:CJ43)</f>
        <v>988.3325000000002</v>
      </c>
      <c r="CK44" s="39">
        <f>SUM(CK9:CK43)</f>
        <v>355.92209799999983</v>
      </c>
      <c r="CL44" s="39">
        <f>SUM(CL9:CL43)</f>
        <v>1344.254598</v>
      </c>
      <c r="CM44" s="39">
        <f>SUM(CM9:CM43)</f>
        <v>71.11862450000001</v>
      </c>
      <c r="CO44" s="39">
        <f>SUM(CO9:CO43)</f>
        <v>693278.8365000001</v>
      </c>
      <c r="CP44" s="39">
        <f>SUM(CP9:CP43)</f>
        <v>249666.23882759997</v>
      </c>
      <c r="CQ44" s="39">
        <f>SUM(CQ9:CQ43)</f>
        <v>942945.0753276001</v>
      </c>
      <c r="CR44" s="39">
        <f>SUM(CR9:CR43)</f>
        <v>49887.0949269</v>
      </c>
      <c r="CS44" s="34"/>
      <c r="CT44" s="39">
        <f>SUM(CT9:CT43)</f>
        <v>18237.3355</v>
      </c>
      <c r="CU44" s="39">
        <f>SUM(CU9:CU43)</f>
        <v>6567.699345199999</v>
      </c>
      <c r="CV44" s="39">
        <f>SUM(CV9:CV43)</f>
        <v>24805.034845200003</v>
      </c>
      <c r="CW44" s="39">
        <f>SUM(CW9:CW43)</f>
        <v>1312.3257763</v>
      </c>
      <c r="CY44" s="39">
        <f>SUM(CY9:CY43)</f>
        <v>540097.7025</v>
      </c>
      <c r="CZ44" s="39">
        <f>SUM(CZ9:CZ43)</f>
        <v>194502.06018599993</v>
      </c>
      <c r="DA44" s="39">
        <f>SUM(DA9:DA43)</f>
        <v>734599.762686</v>
      </c>
      <c r="DB44" s="39">
        <f>SUM(DB9:DB43)</f>
        <v>38864.45674649997</v>
      </c>
      <c r="DD44" s="39">
        <f>SUM(DD9:DD43)</f>
        <v>505225.1705</v>
      </c>
      <c r="DE44" s="39">
        <f>SUM(DE9:DE43)</f>
        <v>181943.62994920005</v>
      </c>
      <c r="DF44" s="39">
        <f>SUM(DF9:DF43)</f>
        <v>687168.8004492</v>
      </c>
      <c r="DG44" s="39">
        <f>SUM(DG9:DG43)</f>
        <v>36355.092227299996</v>
      </c>
      <c r="DI44" s="39">
        <f>SUM(DI9:DI43)</f>
        <v>770826.5255</v>
      </c>
      <c r="DJ44" s="39">
        <f>SUM(DJ9:DJ43)</f>
        <v>277593.01060119993</v>
      </c>
      <c r="DK44" s="39">
        <f>SUM(DK9:DK43)</f>
        <v>1048419.5361012</v>
      </c>
      <c r="DL44" s="39">
        <f>SUM(DL9:DL43)</f>
        <v>55467.286790299964</v>
      </c>
      <c r="DN44" s="39">
        <f>SUM(DN9:DN43)</f>
        <v>883101.0974999999</v>
      </c>
      <c r="DO44" s="39">
        <f>SUM(DO9:DO43)</f>
        <v>318025.7609339999</v>
      </c>
      <c r="DP44" s="39">
        <f>SUM(DP9:DP43)</f>
        <v>1201126.858434</v>
      </c>
      <c r="DQ44" s="39">
        <f>SUM(DQ9:DQ43)</f>
        <v>63546.36253349996</v>
      </c>
      <c r="DS44" s="39">
        <f>SUM(DS9:DS43)</f>
        <v>481109.85750000004</v>
      </c>
      <c r="DT44" s="39">
        <f>SUM(DT9:DT43)</f>
        <v>173259.130758</v>
      </c>
      <c r="DU44" s="39">
        <f>SUM(DU9:DU43)</f>
        <v>654368.9882580001</v>
      </c>
      <c r="DV44" s="39">
        <f>SUM(DV9:DV43)</f>
        <v>34619.79778950002</v>
      </c>
      <c r="DX44" s="39">
        <f>SUM(DX9:DX43)</f>
        <v>730450.542</v>
      </c>
      <c r="DY44" s="39">
        <f>SUM(DY9:DY43)</f>
        <v>263052.65626079997</v>
      </c>
      <c r="DZ44" s="39">
        <f>SUM(DZ9:DZ43)</f>
        <v>993503.1982608003</v>
      </c>
      <c r="EA44" s="39">
        <f>SUM(EA9:EA43)</f>
        <v>52561.903825200025</v>
      </c>
      <c r="EC44" s="39">
        <f>SUM(EC9:EC43)</f>
        <v>216163.923</v>
      </c>
      <c r="ED44" s="39">
        <f>SUM(ED9:ED43)</f>
        <v>77845.78265519999</v>
      </c>
      <c r="EE44" s="39">
        <f>SUM(EE9:EE43)</f>
        <v>294009.70565519994</v>
      </c>
      <c r="EF44" s="39">
        <f>SUM(EF9:EF43)</f>
        <v>15554.766103800011</v>
      </c>
    </row>
    <row r="45" spans="8:134" ht="13.5" thickTop="1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W45"/>
      <c r="DX45"/>
      <c r="DY45"/>
      <c r="EC45"/>
      <c r="ED45"/>
    </row>
    <row r="46" spans="8:134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W46"/>
      <c r="DX46"/>
      <c r="DY46"/>
      <c r="EC46"/>
      <c r="ED46"/>
    </row>
    <row r="47" spans="8:134" ht="12.75">
      <c r="H47" s="5">
        <f>M44+R44+W44+AB44+AG44+AL44+AQ44+AV44+BA44+BF44+BK44+BP44+BU44+BZ44+CE44+CJ44+CO44+CT44+CY44+DD44+DI44+DN44+DS44+DX44+EC44</f>
        <v>29971744.851500005</v>
      </c>
      <c r="I47" s="5">
        <f>N44+S44+X44+AC44+AH44+AM44+AR44+AW44+BB44+BG44+BL44+BQ44+BV44+CA44+CF44+CK44+CP44+CU44+CZ44+DE44+DJ44+DO44+DT44+DY44+ED44</f>
        <v>10793539.935463604</v>
      </c>
      <c r="J47" s="5">
        <f>O44+T44+Y44+AD44+AI44+AN44+AS44+AX44+BC44+BH44+BM44+BR44+BW44+CB44+CG44+CL44+CQ44+CV44+DA44+DF44+DK44+DP44+DU44+DZ44+EE44</f>
        <v>40765284.78696359</v>
      </c>
      <c r="K47" s="5">
        <f>P44+U44+Z44+AE44+AJ44+AO44+AT44+AY44+BD44+BI44+BN44+BS44+BX44+CC44+CH44+CM44+CR44+CW44+DB44+DG44+DL44+DQ44+DV44+EA44+EF44</f>
        <v>2156712.7132859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W47"/>
      <c r="DX47"/>
      <c r="DY47"/>
      <c r="EC47"/>
      <c r="ED47"/>
    </row>
    <row r="48" spans="8:134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W48"/>
      <c r="DX48"/>
      <c r="DY48"/>
      <c r="EC48"/>
      <c r="ED48"/>
    </row>
    <row r="49" spans="8:134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W49"/>
      <c r="DX49"/>
      <c r="DY49"/>
      <c r="EC49"/>
      <c r="ED49"/>
    </row>
    <row r="50" spans="8:134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W50"/>
      <c r="DX50"/>
      <c r="DY50"/>
      <c r="EC50"/>
      <c r="ED50"/>
    </row>
    <row r="51" spans="8:134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W51"/>
      <c r="DX51"/>
      <c r="DY51"/>
      <c r="EC51"/>
      <c r="ED51"/>
    </row>
    <row r="52" spans="1:134" ht="12.75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W52"/>
      <c r="DX52"/>
      <c r="DY52"/>
      <c r="EC52"/>
      <c r="ED52"/>
    </row>
    <row r="53" spans="1:134" ht="12.75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W53"/>
      <c r="DX53"/>
      <c r="DY53"/>
      <c r="EC53"/>
      <c r="ED53"/>
    </row>
    <row r="54" spans="1:134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W54"/>
      <c r="DX54"/>
      <c r="DY54"/>
      <c r="EC54"/>
      <c r="ED54"/>
    </row>
    <row r="55" spans="1:134" ht="12.75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W55"/>
      <c r="DX55"/>
      <c r="DY55"/>
      <c r="EC55"/>
      <c r="ED55"/>
    </row>
    <row r="56" spans="1:134" ht="12.75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W56"/>
      <c r="DX56"/>
      <c r="DY56"/>
      <c r="EC56"/>
      <c r="ED56"/>
    </row>
    <row r="57" spans="1:134" ht="12.75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W57"/>
      <c r="DX57"/>
      <c r="DY57"/>
      <c r="EC57"/>
      <c r="ED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1:6" ht="12.75">
      <c r="A78"/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</sheetData>
  <sheetProtection/>
  <printOptions/>
  <pageMargins left="0.7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214" zoomScaleNormal="214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4" sqref="A14"/>
    </sheetView>
  </sheetViews>
  <sheetFormatPr defaultColWidth="8.710937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7109375" style="44" customWidth="1"/>
    <col min="8" max="8" width="12.7109375" style="44" customWidth="1"/>
    <col min="9" max="9" width="13.421875" style="44" customWidth="1"/>
    <col min="10" max="10" width="11.00390625" style="44" customWidth="1"/>
    <col min="11" max="13" width="11.7109375" style="44" customWidth="1"/>
    <col min="14" max="14" width="13.00390625" style="44" customWidth="1"/>
    <col min="15" max="15" width="13.28125" style="44" customWidth="1"/>
    <col min="16" max="16" width="10.421875" style="44" customWidth="1"/>
    <col min="17" max="17" width="14.00390625" style="44" customWidth="1"/>
    <col min="18" max="18" width="12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6" t="s">
        <v>60</v>
      </c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  <c r="M4" s="49" t="s">
        <v>27</v>
      </c>
      <c r="N4" s="49" t="s">
        <v>28</v>
      </c>
      <c r="O4" s="49" t="s">
        <v>29</v>
      </c>
      <c r="P4" s="49" t="s">
        <v>30</v>
      </c>
      <c r="Q4" s="49" t="s">
        <v>36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115000000</v>
      </c>
      <c r="E5" s="52">
        <f aca="true" t="shared" si="0" ref="E5:Q5">SUM(E6:E49)</f>
        <v>14698867.55</v>
      </c>
      <c r="F5" s="52">
        <f t="shared" si="0"/>
        <v>1110348.55</v>
      </c>
      <c r="G5" s="52">
        <f t="shared" si="0"/>
        <v>42065.83</v>
      </c>
      <c r="H5" s="52">
        <f t="shared" si="0"/>
        <v>995808.65</v>
      </c>
      <c r="I5" s="52">
        <f t="shared" si="0"/>
        <v>7433240.000000001</v>
      </c>
      <c r="J5" s="52">
        <f t="shared" si="0"/>
        <v>34074.71</v>
      </c>
      <c r="K5" s="52">
        <f t="shared" si="0"/>
        <v>451451.32999999996</v>
      </c>
      <c r="L5" s="52">
        <f t="shared" si="0"/>
        <v>881086.53</v>
      </c>
      <c r="M5" s="52">
        <f t="shared" si="0"/>
        <v>1178658.55</v>
      </c>
      <c r="N5" s="52">
        <f t="shared" si="0"/>
        <v>2012742.31</v>
      </c>
      <c r="O5" s="52">
        <f t="shared" si="0"/>
        <v>8867346.209999999</v>
      </c>
      <c r="P5" s="52">
        <f t="shared" si="0"/>
        <v>18525.16</v>
      </c>
      <c r="Q5" s="52">
        <f t="shared" si="0"/>
        <v>77275784.62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64</v>
      </c>
      <c r="C7" s="68" t="s">
        <v>65</v>
      </c>
      <c r="D7" s="44">
        <f>SUM(E7:Q7)</f>
        <v>5128943.05</v>
      </c>
      <c r="E7" s="58">
        <f>5128943.05</f>
        <v>5128943.05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0.04459950478260869</v>
      </c>
    </row>
    <row r="8" spans="1:18" ht="12.75">
      <c r="A8" s="56" t="s">
        <v>19</v>
      </c>
      <c r="B8" s="68" t="s">
        <v>64</v>
      </c>
      <c r="C8" s="56" t="s">
        <v>63</v>
      </c>
      <c r="D8" s="44">
        <f aca="true" t="shared" si="1" ref="D8:D48">SUM(E8:Q8)</f>
        <v>1233147.79</v>
      </c>
      <c r="E8" s="58">
        <f>1233147.79</f>
        <v>1233147.79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0.010723024260869565</v>
      </c>
    </row>
    <row r="9" spans="1:18" ht="12.75">
      <c r="A9" s="68" t="s">
        <v>19</v>
      </c>
      <c r="B9" s="68" t="s">
        <v>75</v>
      </c>
      <c r="C9" s="68" t="s">
        <v>67</v>
      </c>
      <c r="D9" s="44">
        <f>SUM(E9:Q9)</f>
        <v>345271.07</v>
      </c>
      <c r="E9" s="58">
        <f>235771.07+109500</f>
        <v>345271.07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0.0030023571304347825</v>
      </c>
    </row>
    <row r="10" spans="1:18" ht="12.75" hidden="1">
      <c r="A10" s="68" t="s">
        <v>19</v>
      </c>
      <c r="B10" s="68"/>
      <c r="C10" s="68"/>
      <c r="D10" s="44">
        <f t="shared" si="1"/>
        <v>0</v>
      </c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>D10/$D$5</f>
        <v>0</v>
      </c>
    </row>
    <row r="11" spans="1:18" ht="12.75" hidden="1">
      <c r="A11" s="68" t="s">
        <v>19</v>
      </c>
      <c r="B11" s="68"/>
      <c r="C11" s="68"/>
      <c r="D11" s="44">
        <f t="shared" si="1"/>
        <v>0</v>
      </c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>D11/$D$5</f>
        <v>0</v>
      </c>
    </row>
    <row r="12" spans="1:18" ht="12.75">
      <c r="A12" s="56" t="s">
        <v>20</v>
      </c>
      <c r="B12" s="56" t="s">
        <v>79</v>
      </c>
      <c r="C12" s="68" t="s">
        <v>65</v>
      </c>
      <c r="D12" s="44">
        <f t="shared" si="1"/>
        <v>215140.98</v>
      </c>
      <c r="E12" s="58"/>
      <c r="F12" s="58">
        <f>85397+51220.03+30037.81+8509.63+8924+8217.5+22835.01</f>
        <v>215140.98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aca="true" t="shared" si="2" ref="R12:R48">D12/$D$5</f>
        <v>0.0018707911304347827</v>
      </c>
    </row>
    <row r="13" spans="1:18" ht="12.75">
      <c r="A13" s="56" t="s">
        <v>20</v>
      </c>
      <c r="B13" s="68" t="s">
        <v>83</v>
      </c>
      <c r="C13" s="56" t="s">
        <v>71</v>
      </c>
      <c r="D13" s="44">
        <f t="shared" si="1"/>
        <v>13403.83</v>
      </c>
      <c r="E13" s="58"/>
      <c r="F13" s="58">
        <f>13403.83</f>
        <v>13403.83</v>
      </c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0.00011655504347826087</v>
      </c>
    </row>
    <row r="14" spans="1:18" ht="12.75">
      <c r="A14" s="56" t="s">
        <v>21</v>
      </c>
      <c r="B14" s="68" t="s">
        <v>84</v>
      </c>
      <c r="C14" s="56" t="s">
        <v>71</v>
      </c>
      <c r="D14" s="44">
        <f t="shared" si="1"/>
        <v>42065.83</v>
      </c>
      <c r="E14" s="58"/>
      <c r="F14" s="58"/>
      <c r="G14" s="58">
        <f>42065.83</f>
        <v>42065.83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0.00036578982608695653</v>
      </c>
    </row>
    <row r="15" spans="1:18" ht="12.75">
      <c r="A15" s="56" t="s">
        <v>22</v>
      </c>
      <c r="B15" s="68" t="s">
        <v>76</v>
      </c>
      <c r="C15" s="68" t="s">
        <v>65</v>
      </c>
      <c r="D15" s="44">
        <f t="shared" si="1"/>
        <v>995808.65</v>
      </c>
      <c r="E15" s="58"/>
      <c r="F15" s="58"/>
      <c r="G15" s="57"/>
      <c r="H15" s="58">
        <f>619044.02+376764.63</f>
        <v>995808.65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 t="shared" si="2"/>
        <v>0.008659205652173914</v>
      </c>
    </row>
    <row r="16" spans="1:18" ht="12.75">
      <c r="A16" s="56" t="s">
        <v>23</v>
      </c>
      <c r="B16" s="68" t="s">
        <v>64</v>
      </c>
      <c r="C16" s="68" t="s">
        <v>65</v>
      </c>
      <c r="D16" s="44">
        <f t="shared" si="1"/>
        <v>99073.71</v>
      </c>
      <c r="E16" s="58"/>
      <c r="F16" s="58"/>
      <c r="G16" s="57"/>
      <c r="H16" s="58"/>
      <c r="I16" s="58">
        <f>99073.71</f>
        <v>99073.71</v>
      </c>
      <c r="J16" s="57"/>
      <c r="K16" s="57"/>
      <c r="L16" s="57"/>
      <c r="M16" s="57"/>
      <c r="N16" s="57"/>
      <c r="O16" s="57"/>
      <c r="P16" s="57"/>
      <c r="Q16" s="57"/>
      <c r="R16" s="8">
        <f t="shared" si="2"/>
        <v>0.0008615105217391305</v>
      </c>
    </row>
    <row r="17" spans="1:18" ht="12.75">
      <c r="A17" s="68" t="s">
        <v>23</v>
      </c>
      <c r="B17" s="68" t="s">
        <v>77</v>
      </c>
      <c r="C17" s="68" t="s">
        <v>78</v>
      </c>
      <c r="D17" s="44">
        <f t="shared" si="1"/>
        <v>1996.66</v>
      </c>
      <c r="E17" s="58"/>
      <c r="F17" s="58"/>
      <c r="G17" s="57"/>
      <c r="H17" s="58"/>
      <c r="I17" s="58">
        <f>1996.66</f>
        <v>1996.66</v>
      </c>
      <c r="J17" s="57"/>
      <c r="K17" s="57"/>
      <c r="L17" s="57"/>
      <c r="M17" s="57"/>
      <c r="N17" s="57"/>
      <c r="O17" s="57"/>
      <c r="P17" s="57"/>
      <c r="Q17" s="57"/>
      <c r="R17" s="8">
        <f t="shared" si="2"/>
        <v>1.736226086956522E-05</v>
      </c>
    </row>
    <row r="18" spans="1:18" ht="12.75">
      <c r="A18" s="56" t="s">
        <v>24</v>
      </c>
      <c r="B18" s="68" t="s">
        <v>72</v>
      </c>
      <c r="C18" s="68" t="s">
        <v>65</v>
      </c>
      <c r="D18" s="44">
        <f t="shared" si="1"/>
        <v>34074.71</v>
      </c>
      <c r="E18" s="58"/>
      <c r="F18" s="58"/>
      <c r="G18" s="57"/>
      <c r="H18" s="58"/>
      <c r="I18" s="57"/>
      <c r="J18" s="58">
        <f>34074.71</f>
        <v>34074.71</v>
      </c>
      <c r="K18" s="57"/>
      <c r="L18" s="57"/>
      <c r="M18" s="57"/>
      <c r="N18" s="57"/>
      <c r="O18" s="57"/>
      <c r="P18" s="57"/>
      <c r="Q18" s="57"/>
      <c r="R18" s="8">
        <f t="shared" si="2"/>
        <v>0.0002963018260869565</v>
      </c>
    </row>
    <row r="19" spans="1:18" ht="12.75">
      <c r="A19" s="56" t="s">
        <v>25</v>
      </c>
      <c r="B19" s="56" t="s">
        <v>82</v>
      </c>
      <c r="C19" s="68" t="s">
        <v>65</v>
      </c>
      <c r="D19" s="44">
        <f t="shared" si="1"/>
        <v>433941.1</v>
      </c>
      <c r="E19" s="58"/>
      <c r="F19" s="58"/>
      <c r="G19" s="57"/>
      <c r="H19" s="58"/>
      <c r="I19" s="57"/>
      <c r="J19" s="58"/>
      <c r="K19" s="58">
        <f>10400+299245.47+123763.1+532.53</f>
        <v>433941.1</v>
      </c>
      <c r="L19" s="57"/>
      <c r="M19" s="57"/>
      <c r="N19" s="57"/>
      <c r="O19" s="57"/>
      <c r="P19" s="57"/>
      <c r="Q19" s="57"/>
      <c r="R19" s="8">
        <f t="shared" si="2"/>
        <v>0.0037734008695652172</v>
      </c>
    </row>
    <row r="20" spans="1:18" ht="12.75">
      <c r="A20" s="56" t="s">
        <v>25</v>
      </c>
      <c r="B20" s="56" t="s">
        <v>80</v>
      </c>
      <c r="C20" s="56" t="s">
        <v>81</v>
      </c>
      <c r="D20" s="44">
        <f t="shared" si="1"/>
        <v>17510.23</v>
      </c>
      <c r="E20" s="58"/>
      <c r="F20" s="57"/>
      <c r="G20" s="57"/>
      <c r="H20" s="57"/>
      <c r="I20" s="57"/>
      <c r="J20" s="57"/>
      <c r="K20" s="58">
        <f>17510.23</f>
        <v>17510.23</v>
      </c>
      <c r="L20" s="57"/>
      <c r="M20" s="57"/>
      <c r="N20" s="57"/>
      <c r="O20" s="57"/>
      <c r="P20" s="57"/>
      <c r="Q20" s="57"/>
      <c r="R20" s="8">
        <f t="shared" si="2"/>
        <v>0.0001522628695652174</v>
      </c>
    </row>
    <row r="21" spans="1:18" ht="12.75">
      <c r="A21" s="56" t="s">
        <v>26</v>
      </c>
      <c r="B21" s="68" t="s">
        <v>70</v>
      </c>
      <c r="C21" s="68" t="s">
        <v>65</v>
      </c>
      <c r="D21" s="44">
        <f t="shared" si="1"/>
        <v>491234.93</v>
      </c>
      <c r="E21" s="58"/>
      <c r="F21" s="57"/>
      <c r="G21" s="57"/>
      <c r="H21" s="57"/>
      <c r="I21" s="57"/>
      <c r="J21" s="57"/>
      <c r="K21" s="58"/>
      <c r="L21" s="58">
        <f>123002.62+309000+59232.31</f>
        <v>491234.93</v>
      </c>
      <c r="M21" s="57"/>
      <c r="N21" s="57"/>
      <c r="O21" s="57"/>
      <c r="P21" s="57"/>
      <c r="Q21" s="57"/>
      <c r="R21" s="8">
        <f t="shared" si="2"/>
        <v>0.0042716080869565215</v>
      </c>
    </row>
    <row r="22" spans="1:18" ht="12.75">
      <c r="A22" s="56" t="s">
        <v>26</v>
      </c>
      <c r="B22" s="56" t="s">
        <v>74</v>
      </c>
      <c r="C22" s="56" t="s">
        <v>71</v>
      </c>
      <c r="D22" s="44">
        <f t="shared" si="1"/>
        <v>389851.6</v>
      </c>
      <c r="E22" s="58"/>
      <c r="F22" s="57"/>
      <c r="G22" s="57"/>
      <c r="H22" s="57"/>
      <c r="I22" s="57"/>
      <c r="J22" s="57"/>
      <c r="K22" s="58"/>
      <c r="L22" s="58">
        <f>401851.6-12000</f>
        <v>389851.6</v>
      </c>
      <c r="M22" s="57"/>
      <c r="N22" s="57"/>
      <c r="O22" s="57"/>
      <c r="P22" s="57"/>
      <c r="Q22" s="57"/>
      <c r="R22" s="8">
        <f t="shared" si="2"/>
        <v>0.003390013913043478</v>
      </c>
    </row>
    <row r="23" spans="1:18" ht="12.75" hidden="1">
      <c r="A23" s="56" t="s">
        <v>26</v>
      </c>
      <c r="B23" s="68"/>
      <c r="C23" s="56"/>
      <c r="D23" s="44">
        <f t="shared" si="1"/>
        <v>0</v>
      </c>
      <c r="E23" s="58"/>
      <c r="F23" s="57"/>
      <c r="G23" s="57"/>
      <c r="H23" s="57"/>
      <c r="I23" s="57"/>
      <c r="J23" s="57"/>
      <c r="K23" s="58"/>
      <c r="L23" s="58"/>
      <c r="M23" s="57"/>
      <c r="N23" s="57"/>
      <c r="O23" s="57"/>
      <c r="P23" s="57"/>
      <c r="Q23" s="57"/>
      <c r="R23" s="8">
        <f t="shared" si="2"/>
        <v>0</v>
      </c>
    </row>
    <row r="24" spans="1:18" ht="12.75">
      <c r="A24" s="56" t="s">
        <v>27</v>
      </c>
      <c r="B24" s="68" t="s">
        <v>112</v>
      </c>
      <c r="C24" s="68" t="s">
        <v>65</v>
      </c>
      <c r="D24" s="44">
        <f t="shared" si="1"/>
        <v>545068.53</v>
      </c>
      <c r="E24" s="58"/>
      <c r="F24" s="57"/>
      <c r="G24" s="57"/>
      <c r="H24" s="57"/>
      <c r="I24" s="57"/>
      <c r="J24" s="57"/>
      <c r="K24" s="58"/>
      <c r="L24" s="58"/>
      <c r="M24" s="58">
        <f>12175+464927.53+53498+14468</f>
        <v>545068.53</v>
      </c>
      <c r="N24" s="57"/>
      <c r="O24" s="57"/>
      <c r="P24" s="57"/>
      <c r="Q24" s="57"/>
      <c r="R24" s="8">
        <f t="shared" si="2"/>
        <v>0.004739726347826087</v>
      </c>
    </row>
    <row r="25" spans="1:18" ht="12.75">
      <c r="A25" s="56" t="s">
        <v>28</v>
      </c>
      <c r="B25" s="56" t="s">
        <v>69</v>
      </c>
      <c r="C25" s="68" t="s">
        <v>65</v>
      </c>
      <c r="D25" s="44">
        <f t="shared" si="1"/>
        <v>61952.97</v>
      </c>
      <c r="E25" s="58"/>
      <c r="F25" s="57"/>
      <c r="G25" s="57"/>
      <c r="H25" s="57"/>
      <c r="I25" s="57"/>
      <c r="J25" s="57"/>
      <c r="K25" s="58"/>
      <c r="L25" s="58"/>
      <c r="M25" s="58"/>
      <c r="N25" s="58">
        <f>54585.68+7367.29</f>
        <v>61952.97</v>
      </c>
      <c r="O25" s="57"/>
      <c r="P25" s="57"/>
      <c r="Q25" s="57"/>
      <c r="R25" s="8">
        <f t="shared" si="2"/>
        <v>0.0005387214782608695</v>
      </c>
    </row>
    <row r="26" spans="1:18" ht="12.75">
      <c r="A26" s="56" t="s">
        <v>28</v>
      </c>
      <c r="B26" s="56" t="s">
        <v>66</v>
      </c>
      <c r="C26" s="56" t="s">
        <v>68</v>
      </c>
      <c r="D26" s="44">
        <f t="shared" si="1"/>
        <v>409632</v>
      </c>
      <c r="E26" s="58"/>
      <c r="F26" s="57"/>
      <c r="G26" s="57"/>
      <c r="H26" s="57"/>
      <c r="I26" s="57"/>
      <c r="J26" s="57"/>
      <c r="K26" s="58"/>
      <c r="L26" s="58"/>
      <c r="M26" s="58"/>
      <c r="N26" s="58">
        <f>409632</f>
        <v>409632</v>
      </c>
      <c r="O26" s="57"/>
      <c r="P26" s="57"/>
      <c r="Q26" s="57"/>
      <c r="R26" s="8">
        <f t="shared" si="2"/>
        <v>0.0035620173913043477</v>
      </c>
    </row>
    <row r="27" spans="1:18" ht="12.75">
      <c r="A27" s="56" t="s">
        <v>29</v>
      </c>
      <c r="B27" s="56" t="s">
        <v>73</v>
      </c>
      <c r="C27" s="68" t="s">
        <v>65</v>
      </c>
      <c r="D27" s="44">
        <f t="shared" si="1"/>
        <v>156794.14</v>
      </c>
      <c r="E27" s="58"/>
      <c r="F27" s="57"/>
      <c r="G27" s="57"/>
      <c r="H27" s="57"/>
      <c r="I27" s="57"/>
      <c r="J27" s="57"/>
      <c r="K27" s="58"/>
      <c r="L27" s="58"/>
      <c r="M27" s="58"/>
      <c r="N27" s="57"/>
      <c r="O27" s="58">
        <f>151984.19+4809.95</f>
        <v>156794.14</v>
      </c>
      <c r="P27" s="57"/>
      <c r="Q27" s="57"/>
      <c r="R27" s="8">
        <f t="shared" si="2"/>
        <v>0.0013634273043478262</v>
      </c>
    </row>
    <row r="28" spans="1:19" ht="12.75">
      <c r="A28" s="56" t="s">
        <v>30</v>
      </c>
      <c r="B28" s="56" t="s">
        <v>66</v>
      </c>
      <c r="C28" s="68" t="s">
        <v>65</v>
      </c>
      <c r="D28" s="44">
        <f t="shared" si="1"/>
        <v>18525.16</v>
      </c>
      <c r="E28" s="58"/>
      <c r="F28" s="57"/>
      <c r="G28" s="57"/>
      <c r="H28" s="57"/>
      <c r="I28" s="57"/>
      <c r="J28" s="57"/>
      <c r="K28" s="58"/>
      <c r="L28" s="58"/>
      <c r="M28" s="58"/>
      <c r="N28" s="57"/>
      <c r="O28" s="58"/>
      <c r="P28" s="58">
        <f>18525.16</f>
        <v>18525.16</v>
      </c>
      <c r="Q28" s="58"/>
      <c r="R28" s="8">
        <f t="shared" si="2"/>
        <v>0.00016108834782608696</v>
      </c>
      <c r="S28" s="8">
        <f>SUM(R7:R28)</f>
        <v>0.09246466904347826</v>
      </c>
    </row>
    <row r="29" spans="1:18" ht="12.75">
      <c r="A29" s="2" t="s">
        <v>19</v>
      </c>
      <c r="B29" s="69" t="s">
        <v>93</v>
      </c>
      <c r="C29" s="59" t="s">
        <v>94</v>
      </c>
      <c r="D29" s="44">
        <f>SUM(E29:Q29)</f>
        <v>6256156.12</v>
      </c>
      <c r="E29" s="44">
        <f>6256156.12</f>
        <v>6256156.12</v>
      </c>
      <c r="R29" s="8">
        <f>D29/$D$5</f>
        <v>0.05440135756521739</v>
      </c>
    </row>
    <row r="30" spans="1:18" ht="12.75">
      <c r="A30" s="69" t="s">
        <v>19</v>
      </c>
      <c r="B30" s="69" t="s">
        <v>104</v>
      </c>
      <c r="C30" s="70" t="s">
        <v>105</v>
      </c>
      <c r="D30" s="44">
        <f>SUM(E30:Q30)</f>
        <v>8888</v>
      </c>
      <c r="E30" s="44">
        <f>8888</f>
        <v>8888</v>
      </c>
      <c r="R30" s="8">
        <f>D30/$D$5</f>
        <v>7.728695652173913E-05</v>
      </c>
    </row>
    <row r="31" spans="1:19" ht="12.75">
      <c r="A31" s="56" t="s">
        <v>19</v>
      </c>
      <c r="B31" s="68" t="s">
        <v>87</v>
      </c>
      <c r="C31" s="56" t="s">
        <v>88</v>
      </c>
      <c r="D31" s="44">
        <f t="shared" si="1"/>
        <v>981568.98</v>
      </c>
      <c r="E31" s="58">
        <f>981568.98</f>
        <v>981568.98</v>
      </c>
      <c r="F31" s="57"/>
      <c r="G31" s="57"/>
      <c r="H31" s="57"/>
      <c r="I31" s="57"/>
      <c r="J31" s="57"/>
      <c r="K31" s="58"/>
      <c r="L31" s="58"/>
      <c r="M31" s="58"/>
      <c r="N31" s="57"/>
      <c r="O31" s="58"/>
      <c r="P31" s="58"/>
      <c r="Q31" s="58"/>
      <c r="R31" s="8">
        <f t="shared" si="2"/>
        <v>0.008535382434782609</v>
      </c>
      <c r="S31" s="8"/>
    </row>
    <row r="32" spans="1:18" ht="12.75">
      <c r="A32" s="2" t="s">
        <v>19</v>
      </c>
      <c r="B32" s="69" t="s">
        <v>87</v>
      </c>
      <c r="C32" s="59" t="s">
        <v>89</v>
      </c>
      <c r="D32" s="44">
        <f t="shared" si="1"/>
        <v>744892.54</v>
      </c>
      <c r="E32" s="44">
        <f>744892.54</f>
        <v>744892.54</v>
      </c>
      <c r="R32" s="8">
        <f t="shared" si="2"/>
        <v>0.006477326434782609</v>
      </c>
    </row>
    <row r="33" spans="1:18" ht="12.75" hidden="1">
      <c r="A33" s="69" t="s">
        <v>19</v>
      </c>
      <c r="B33" s="69"/>
      <c r="C33" s="70"/>
      <c r="D33" s="44">
        <f t="shared" si="1"/>
        <v>0</v>
      </c>
      <c r="R33" s="8">
        <f t="shared" si="2"/>
        <v>0</v>
      </c>
    </row>
    <row r="34" spans="1:18" ht="12.75" hidden="1">
      <c r="A34" s="69" t="s">
        <v>19</v>
      </c>
      <c r="B34" s="69"/>
      <c r="C34" s="70"/>
      <c r="D34" s="44">
        <f t="shared" si="1"/>
        <v>0</v>
      </c>
      <c r="R34" s="8">
        <f t="shared" si="2"/>
        <v>0</v>
      </c>
    </row>
    <row r="35" spans="1:18" ht="12.75">
      <c r="A35" s="69" t="s">
        <v>20</v>
      </c>
      <c r="B35" s="69" t="s">
        <v>101</v>
      </c>
      <c r="C35" s="70" t="s">
        <v>102</v>
      </c>
      <c r="D35" s="44">
        <f t="shared" si="1"/>
        <v>881803.74</v>
      </c>
      <c r="F35" s="44">
        <f>881803.74</f>
        <v>881803.74</v>
      </c>
      <c r="R35" s="8">
        <f t="shared" si="2"/>
        <v>0.007667858608695652</v>
      </c>
    </row>
    <row r="36" spans="1:18" ht="12.75">
      <c r="A36" s="69" t="s">
        <v>23</v>
      </c>
      <c r="B36" s="69" t="s">
        <v>95</v>
      </c>
      <c r="C36" s="70" t="s">
        <v>90</v>
      </c>
      <c r="D36" s="44">
        <f t="shared" si="1"/>
        <v>7332169.630000001</v>
      </c>
      <c r="I36" s="44">
        <f>6672165.15+660004.48</f>
        <v>7332169.630000001</v>
      </c>
      <c r="R36" s="8">
        <f t="shared" si="2"/>
        <v>0.0637579967826087</v>
      </c>
    </row>
    <row r="37" spans="1:18" ht="12.75" hidden="1">
      <c r="A37" s="2" t="s">
        <v>23</v>
      </c>
      <c r="B37" s="69"/>
      <c r="D37" s="44">
        <f t="shared" si="1"/>
        <v>0</v>
      </c>
      <c r="R37" s="8">
        <f t="shared" si="2"/>
        <v>0</v>
      </c>
    </row>
    <row r="38" spans="1:18" ht="12.75" hidden="1">
      <c r="A38" s="69" t="s">
        <v>23</v>
      </c>
      <c r="B38" s="69"/>
      <c r="C38" s="70"/>
      <c r="D38" s="44">
        <f t="shared" si="1"/>
        <v>0</v>
      </c>
      <c r="R38" s="8">
        <f t="shared" si="2"/>
        <v>0</v>
      </c>
    </row>
    <row r="39" spans="1:18" ht="12.75">
      <c r="A39" s="69" t="s">
        <v>27</v>
      </c>
      <c r="B39" s="69" t="s">
        <v>85</v>
      </c>
      <c r="C39" s="70" t="s">
        <v>86</v>
      </c>
      <c r="D39" s="44">
        <f t="shared" si="1"/>
        <v>311555</v>
      </c>
      <c r="M39" s="44">
        <f>311555</f>
        <v>311555</v>
      </c>
      <c r="R39" s="8">
        <f t="shared" si="2"/>
        <v>0.002709173913043478</v>
      </c>
    </row>
    <row r="40" spans="1:18" ht="12.75">
      <c r="A40" s="69" t="s">
        <v>27</v>
      </c>
      <c r="B40" s="69" t="s">
        <v>87</v>
      </c>
      <c r="C40" s="70" t="s">
        <v>113</v>
      </c>
      <c r="D40" s="44">
        <f t="shared" si="1"/>
        <v>322035.02</v>
      </c>
      <c r="M40" s="44">
        <f>322035.02</f>
        <v>322035.02</v>
      </c>
      <c r="R40" s="8">
        <f t="shared" si="2"/>
        <v>0.0028003045217391306</v>
      </c>
    </row>
    <row r="41" spans="1:18" ht="12.75">
      <c r="A41" s="2" t="s">
        <v>28</v>
      </c>
      <c r="B41" s="69" t="s">
        <v>101</v>
      </c>
      <c r="C41" s="70" t="s">
        <v>103</v>
      </c>
      <c r="D41" s="44">
        <f t="shared" si="1"/>
        <v>1541157.34</v>
      </c>
      <c r="N41" s="44">
        <f>1541157.34</f>
        <v>1541157.34</v>
      </c>
      <c r="R41" s="8">
        <f t="shared" si="2"/>
        <v>0.013401368173913044</v>
      </c>
    </row>
    <row r="42" spans="1:18" ht="12.75" hidden="1">
      <c r="A42" s="2" t="s">
        <v>28</v>
      </c>
      <c r="B42" s="69"/>
      <c r="C42" s="70"/>
      <c r="D42" s="44">
        <f t="shared" si="1"/>
        <v>0</v>
      </c>
      <c r="R42" s="8">
        <f t="shared" si="2"/>
        <v>0</v>
      </c>
    </row>
    <row r="43" spans="1:18" ht="12.75">
      <c r="A43" s="2" t="s">
        <v>29</v>
      </c>
      <c r="B43" s="69" t="s">
        <v>96</v>
      </c>
      <c r="C43" t="s">
        <v>92</v>
      </c>
      <c r="D43" s="44">
        <f>SUM(E43:Q43)</f>
        <v>3960208.67</v>
      </c>
      <c r="O43" s="44">
        <f>3923311.88+36896.79</f>
        <v>3960208.67</v>
      </c>
      <c r="R43" s="8">
        <f>D43/$D$5</f>
        <v>0.03443659713043478</v>
      </c>
    </row>
    <row r="44" spans="1:18" ht="12.75">
      <c r="A44" s="2" t="s">
        <v>29</v>
      </c>
      <c r="B44" s="69" t="s">
        <v>100</v>
      </c>
      <c r="C44" t="s">
        <v>98</v>
      </c>
      <c r="D44" s="44">
        <f>SUM(E44:Q44)</f>
        <v>2797357.03</v>
      </c>
      <c r="O44" s="44">
        <f>2751580.28+45776.75</f>
        <v>2797357.03</v>
      </c>
      <c r="R44" s="8">
        <f>D44/$D$5</f>
        <v>0.024324843739130433</v>
      </c>
    </row>
    <row r="45" spans="1:18" ht="12.75">
      <c r="A45" s="2" t="s">
        <v>29</v>
      </c>
      <c r="B45" s="69" t="s">
        <v>95</v>
      </c>
      <c r="C45" t="s">
        <v>91</v>
      </c>
      <c r="D45" s="44">
        <f t="shared" si="1"/>
        <v>1949494.34</v>
      </c>
      <c r="O45" s="44">
        <f>88577.58+1860916.76</f>
        <v>1949494.34</v>
      </c>
      <c r="R45" s="8">
        <f t="shared" si="2"/>
        <v>0.016952124695652174</v>
      </c>
    </row>
    <row r="46" spans="1:18" ht="12.75">
      <c r="A46" s="69" t="s">
        <v>29</v>
      </c>
      <c r="B46" s="69" t="s">
        <v>106</v>
      </c>
      <c r="C46" s="71" t="s">
        <v>107</v>
      </c>
      <c r="D46" s="44">
        <f>SUM(E46:Q46)</f>
        <v>937</v>
      </c>
      <c r="O46" s="44">
        <f>937</f>
        <v>937</v>
      </c>
      <c r="R46" s="8">
        <f>D46/$D$5</f>
        <v>8.147826086956522E-06</v>
      </c>
    </row>
    <row r="47" spans="1:19" ht="12.75">
      <c r="A47" s="69" t="s">
        <v>29</v>
      </c>
      <c r="B47" s="69" t="s">
        <v>97</v>
      </c>
      <c r="C47" s="71" t="s">
        <v>99</v>
      </c>
      <c r="D47" s="44">
        <f t="shared" si="1"/>
        <v>2555.03</v>
      </c>
      <c r="O47" s="44">
        <f>2555.03</f>
        <v>2555.03</v>
      </c>
      <c r="R47" s="8">
        <f t="shared" si="2"/>
        <v>2.2217652173913046E-05</v>
      </c>
      <c r="S47" s="8">
        <f>SUM(R29:R47)</f>
        <v>0.23557198643478264</v>
      </c>
    </row>
    <row r="48" spans="1:19" ht="12.75">
      <c r="A48" s="2"/>
      <c r="B48" s="2"/>
      <c r="C48" s="71" t="s">
        <v>61</v>
      </c>
      <c r="D48" s="44">
        <f t="shared" si="1"/>
        <v>77275784.62</v>
      </c>
      <c r="Q48" s="44">
        <f>115000000-37724215.38</f>
        <v>77275784.62</v>
      </c>
      <c r="R48" s="8">
        <f t="shared" si="2"/>
        <v>0.6719633445217392</v>
      </c>
      <c r="S48" s="8"/>
    </row>
    <row r="49" spans="5:18" ht="12.75"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1"/>
    </row>
    <row r="50" spans="2:18" s="8" customFormat="1" ht="13.5" thickBot="1">
      <c r="B50" s="62"/>
      <c r="C50" s="63" t="s">
        <v>33</v>
      </c>
      <c r="D50" s="64">
        <f>SUM(E50:Q50)</f>
        <v>1</v>
      </c>
      <c r="E50" s="65">
        <f>E5/D5</f>
        <v>0.1278162395652174</v>
      </c>
      <c r="F50" s="65">
        <f>F5/D5</f>
        <v>0.009655204782608695</v>
      </c>
      <c r="G50" s="65">
        <f>G5/D5</f>
        <v>0.00036578982608695653</v>
      </c>
      <c r="H50" s="65">
        <f>H5/D5</f>
        <v>0.008659205652173914</v>
      </c>
      <c r="I50" s="65">
        <f>I5/D5</f>
        <v>0.0646368695652174</v>
      </c>
      <c r="J50" s="65">
        <f>J5/D5</f>
        <v>0.0002963018260869565</v>
      </c>
      <c r="K50" s="65">
        <f>K5/D5</f>
        <v>0.003925663739130434</v>
      </c>
      <c r="L50" s="65">
        <f>L5/D5</f>
        <v>0.007661622</v>
      </c>
      <c r="M50" s="65">
        <f>M5/D5</f>
        <v>0.010249204782608696</v>
      </c>
      <c r="N50" s="65">
        <f>N5/D5</f>
        <v>0.017502107043478262</v>
      </c>
      <c r="O50" s="65">
        <f>O5/D5</f>
        <v>0.07710735834782607</v>
      </c>
      <c r="P50" s="65">
        <f>P5/D5</f>
        <v>0.00016108834782608696</v>
      </c>
      <c r="Q50" s="65">
        <f>Q5/D5</f>
        <v>0.6719633445217392</v>
      </c>
      <c r="R50" s="65">
        <f>SUM(R6:R49)</f>
        <v>1</v>
      </c>
    </row>
    <row r="51" spans="1:18" s="8" customFormat="1" ht="13.5" thickTop="1">
      <c r="A51" s="66"/>
      <c r="C51" s="6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</sheetData>
  <sheetProtection/>
  <printOptions/>
  <pageMargins left="0" right="0" top="0.75" bottom="0.75" header="0.3" footer="0.3"/>
  <pageSetup horizontalDpi="600" verticalDpi="600" orientation="landscape" paperSize="5" scale="70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="142" zoomScaleNormal="142" zoomScalePageLayoutView="0" workbookViewId="0" topLeftCell="A1">
      <pane xSplit="3" ySplit="5" topLeftCell="K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6" sqref="C46"/>
    </sheetView>
  </sheetViews>
  <sheetFormatPr defaultColWidth="8.7109375" defaultRowHeight="12.75"/>
  <cols>
    <col min="1" max="1" width="8.710937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7109375" style="44" customWidth="1"/>
    <col min="8" max="8" width="14.00390625" style="44" customWidth="1"/>
    <col min="9" max="9" width="15.140625" style="44" customWidth="1"/>
    <col min="10" max="10" width="11.00390625" style="44" customWidth="1"/>
    <col min="11" max="11" width="11.7109375" style="44" customWidth="1"/>
    <col min="12" max="12" width="13.00390625" style="44" customWidth="1"/>
    <col min="13" max="13" width="12.7109375" style="44" customWidth="1"/>
    <col min="14" max="14" width="13.00390625" style="44" customWidth="1"/>
    <col min="15" max="15" width="15.140625" style="44" customWidth="1"/>
    <col min="16" max="16" width="10.421875" style="44" customWidth="1"/>
    <col min="17" max="17" width="14.00390625" style="44" customWidth="1"/>
    <col min="18" max="18" width="12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6" t="s">
        <v>60</v>
      </c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  <c r="M4" s="49" t="s">
        <v>27</v>
      </c>
      <c r="N4" s="49" t="s">
        <v>28</v>
      </c>
      <c r="O4" s="49" t="s">
        <v>29</v>
      </c>
      <c r="P4" s="49" t="s">
        <v>30</v>
      </c>
      <c r="Q4" s="49" t="s">
        <v>36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115000000</v>
      </c>
      <c r="E5" s="52">
        <f aca="true" t="shared" si="0" ref="E5:Q5">SUM(E6:E48)</f>
        <v>31205116.119999997</v>
      </c>
      <c r="F5" s="52">
        <f t="shared" si="0"/>
        <v>1697701.8199999998</v>
      </c>
      <c r="G5" s="52">
        <f t="shared" si="0"/>
        <v>42065.83</v>
      </c>
      <c r="H5" s="52">
        <f t="shared" si="0"/>
        <v>1543600.38</v>
      </c>
      <c r="I5" s="52">
        <f t="shared" si="0"/>
        <v>11011674.24</v>
      </c>
      <c r="J5" s="52">
        <f t="shared" si="0"/>
        <v>62575.27</v>
      </c>
      <c r="K5" s="52">
        <f t="shared" si="0"/>
        <v>684200.8999999999</v>
      </c>
      <c r="L5" s="52">
        <f t="shared" si="0"/>
        <v>1154121.5899999999</v>
      </c>
      <c r="M5" s="52">
        <f t="shared" si="0"/>
        <v>8683299.57</v>
      </c>
      <c r="N5" s="52">
        <f t="shared" si="0"/>
        <v>2890231.9</v>
      </c>
      <c r="O5" s="52">
        <f t="shared" si="0"/>
        <v>16419086.129999999</v>
      </c>
      <c r="P5" s="52">
        <f t="shared" si="0"/>
        <v>94219.62</v>
      </c>
      <c r="Q5" s="52">
        <f t="shared" si="0"/>
        <v>39512106.629999995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116</v>
      </c>
      <c r="C7" s="68" t="s">
        <v>65</v>
      </c>
      <c r="D7" s="44">
        <f>SUM(E7:Q7)</f>
        <v>9817147.969999999</v>
      </c>
      <c r="E7" s="58">
        <f>4688204.92+5128943.05</f>
        <v>9817147.969999999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0.08536650408695651</v>
      </c>
    </row>
    <row r="8" spans="1:18" ht="12.75">
      <c r="A8" s="56" t="s">
        <v>19</v>
      </c>
      <c r="B8" s="68" t="s">
        <v>64</v>
      </c>
      <c r="C8" s="56" t="s">
        <v>63</v>
      </c>
      <c r="D8" s="44">
        <f aca="true" t="shared" si="1" ref="D8:D47">SUM(E8:Q8)</f>
        <v>9264634.75</v>
      </c>
      <c r="E8" s="58">
        <f>9264634.75</f>
        <v>9264634.75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0.08056204130434783</v>
      </c>
    </row>
    <row r="9" spans="1:18" ht="12.75">
      <c r="A9" s="68" t="s">
        <v>19</v>
      </c>
      <c r="B9" s="68" t="s">
        <v>118</v>
      </c>
      <c r="C9" s="68" t="s">
        <v>67</v>
      </c>
      <c r="D9" s="44">
        <f>SUM(E9:Q9)</f>
        <v>636386.99</v>
      </c>
      <c r="E9" s="58">
        <f>235771.07+210794.83+189821.09</f>
        <v>636386.99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0.005533799913043478</v>
      </c>
    </row>
    <row r="10" spans="1:18" ht="12.75" hidden="1">
      <c r="A10" s="68" t="s">
        <v>19</v>
      </c>
      <c r="B10" s="68"/>
      <c r="C10" s="68"/>
      <c r="D10" s="44">
        <f t="shared" si="1"/>
        <v>0</v>
      </c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>D10/$D$5</f>
        <v>0</v>
      </c>
    </row>
    <row r="11" spans="1:18" ht="12.75" hidden="1">
      <c r="A11" s="68" t="s">
        <v>19</v>
      </c>
      <c r="B11" s="68"/>
      <c r="C11" s="68"/>
      <c r="D11" s="44">
        <f t="shared" si="1"/>
        <v>0</v>
      </c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>D11/$D$5</f>
        <v>0</v>
      </c>
    </row>
    <row r="12" spans="1:18" ht="12.75">
      <c r="A12" s="56" t="s">
        <v>20</v>
      </c>
      <c r="B12" s="56" t="s">
        <v>79</v>
      </c>
      <c r="C12" s="68" t="s">
        <v>65</v>
      </c>
      <c r="D12" s="44">
        <f t="shared" si="1"/>
        <v>382530.00999999995</v>
      </c>
      <c r="E12" s="58"/>
      <c r="F12" s="58">
        <f>152529.31+72362.8+59998.22+41487.41+24378.24+8437.42+23336.61</f>
        <v>382530.00999999995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aca="true" t="shared" si="2" ref="R12:R47">D12/$D$5</f>
        <v>0.003326347913043478</v>
      </c>
    </row>
    <row r="13" spans="1:18" ht="12.75">
      <c r="A13" s="56" t="s">
        <v>20</v>
      </c>
      <c r="B13" s="68" t="s">
        <v>83</v>
      </c>
      <c r="C13" s="56" t="s">
        <v>71</v>
      </c>
      <c r="D13" s="44">
        <f t="shared" si="1"/>
        <v>13403.83</v>
      </c>
      <c r="E13" s="58"/>
      <c r="F13" s="58">
        <f>13403.83</f>
        <v>13403.83</v>
      </c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0.00011655504347826087</v>
      </c>
    </row>
    <row r="14" spans="1:18" ht="12.75">
      <c r="A14" s="56" t="s">
        <v>21</v>
      </c>
      <c r="B14" s="68" t="s">
        <v>84</v>
      </c>
      <c r="C14" s="56" t="s">
        <v>71</v>
      </c>
      <c r="D14" s="44">
        <f t="shared" si="1"/>
        <v>42065.83</v>
      </c>
      <c r="E14" s="58"/>
      <c r="F14" s="58"/>
      <c r="G14" s="58">
        <f>42065.83</f>
        <v>42065.83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0.00036578982608695653</v>
      </c>
    </row>
    <row r="15" spans="1:18" ht="12.75">
      <c r="A15" s="56" t="s">
        <v>22</v>
      </c>
      <c r="B15" s="68" t="s">
        <v>118</v>
      </c>
      <c r="C15" s="68" t="s">
        <v>65</v>
      </c>
      <c r="D15" s="44">
        <f t="shared" si="1"/>
        <v>1543600.38</v>
      </c>
      <c r="E15" s="58"/>
      <c r="F15" s="58"/>
      <c r="G15" s="57"/>
      <c r="H15" s="58">
        <f>526095.48+640740.27+376764.63</f>
        <v>1543600.38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 t="shared" si="2"/>
        <v>0.013422611999999999</v>
      </c>
    </row>
    <row r="16" spans="1:18" ht="12.75">
      <c r="A16" s="56" t="s">
        <v>23</v>
      </c>
      <c r="B16" s="68" t="s">
        <v>64</v>
      </c>
      <c r="C16" s="68" t="s">
        <v>65</v>
      </c>
      <c r="D16" s="44">
        <f t="shared" si="1"/>
        <v>555971.58</v>
      </c>
      <c r="E16" s="58"/>
      <c r="F16" s="58"/>
      <c r="G16" s="57"/>
      <c r="H16" s="58"/>
      <c r="I16" s="58">
        <f>555971.58</f>
        <v>555971.58</v>
      </c>
      <c r="J16" s="57"/>
      <c r="K16" s="57"/>
      <c r="L16" s="57"/>
      <c r="M16" s="57"/>
      <c r="N16" s="57"/>
      <c r="O16" s="57"/>
      <c r="P16" s="57"/>
      <c r="Q16" s="57"/>
      <c r="R16" s="8">
        <f t="shared" si="2"/>
        <v>0.004834535478260869</v>
      </c>
    </row>
    <row r="17" spans="1:18" ht="12.75">
      <c r="A17" s="68" t="s">
        <v>23</v>
      </c>
      <c r="B17" s="68" t="s">
        <v>77</v>
      </c>
      <c r="C17" s="68" t="s">
        <v>78</v>
      </c>
      <c r="D17" s="44">
        <f t="shared" si="1"/>
        <v>2994.99</v>
      </c>
      <c r="E17" s="58"/>
      <c r="F17" s="58"/>
      <c r="G17" s="57"/>
      <c r="H17" s="58"/>
      <c r="I17" s="58">
        <f>2994.99</f>
        <v>2994.99</v>
      </c>
      <c r="J17" s="57"/>
      <c r="K17" s="57"/>
      <c r="L17" s="57"/>
      <c r="M17" s="57"/>
      <c r="N17" s="57"/>
      <c r="O17" s="57"/>
      <c r="P17" s="57"/>
      <c r="Q17" s="57"/>
      <c r="R17" s="8">
        <f t="shared" si="2"/>
        <v>2.6043391304347826E-05</v>
      </c>
    </row>
    <row r="18" spans="1:18" ht="12.75">
      <c r="A18" s="56" t="s">
        <v>24</v>
      </c>
      <c r="B18" s="68" t="s">
        <v>72</v>
      </c>
      <c r="C18" s="68" t="s">
        <v>65</v>
      </c>
      <c r="D18" s="44">
        <f t="shared" si="1"/>
        <v>62575.27</v>
      </c>
      <c r="E18" s="58"/>
      <c r="F18" s="58"/>
      <c r="G18" s="57"/>
      <c r="H18" s="58"/>
      <c r="I18" s="57"/>
      <c r="J18" s="58">
        <f>62575.27</f>
        <v>62575.27</v>
      </c>
      <c r="K18" s="57"/>
      <c r="L18" s="57"/>
      <c r="M18" s="57"/>
      <c r="N18" s="57"/>
      <c r="O18" s="57"/>
      <c r="P18" s="57"/>
      <c r="Q18" s="57"/>
      <c r="R18" s="8">
        <f t="shared" si="2"/>
        <v>0.0005441327826086956</v>
      </c>
    </row>
    <row r="19" spans="1:18" ht="12.75">
      <c r="A19" s="56" t="s">
        <v>25</v>
      </c>
      <c r="B19" s="68" t="s">
        <v>117</v>
      </c>
      <c r="C19" s="68" t="s">
        <v>65</v>
      </c>
      <c r="D19" s="44">
        <f t="shared" si="1"/>
        <v>662512.5099999999</v>
      </c>
      <c r="E19" s="58"/>
      <c r="F19" s="58"/>
      <c r="G19" s="57"/>
      <c r="H19" s="58"/>
      <c r="I19" s="57"/>
      <c r="J19" s="58"/>
      <c r="K19" s="58">
        <f>988.22+159826.61+78156.58+299245.47+123763.1+532.53</f>
        <v>662512.5099999999</v>
      </c>
      <c r="L19" s="57"/>
      <c r="M19" s="57"/>
      <c r="N19" s="57"/>
      <c r="O19" s="57"/>
      <c r="P19" s="57"/>
      <c r="Q19" s="57"/>
      <c r="R19" s="8">
        <f t="shared" si="2"/>
        <v>0.0057609783478260864</v>
      </c>
    </row>
    <row r="20" spans="1:18" ht="12.75">
      <c r="A20" s="56" t="s">
        <v>25</v>
      </c>
      <c r="B20" s="56" t="s">
        <v>80</v>
      </c>
      <c r="C20" s="56" t="s">
        <v>81</v>
      </c>
      <c r="D20" s="44">
        <f t="shared" si="1"/>
        <v>21688.39</v>
      </c>
      <c r="E20" s="58"/>
      <c r="F20" s="57"/>
      <c r="G20" s="57"/>
      <c r="H20" s="57"/>
      <c r="I20" s="57"/>
      <c r="J20" s="57"/>
      <c r="K20" s="58">
        <f>21688.39</f>
        <v>21688.39</v>
      </c>
      <c r="L20" s="57"/>
      <c r="M20" s="57"/>
      <c r="N20" s="57"/>
      <c r="O20" s="57"/>
      <c r="P20" s="57"/>
      <c r="Q20" s="57"/>
      <c r="R20" s="8">
        <f t="shared" si="2"/>
        <v>0.0001885946956521739</v>
      </c>
    </row>
    <row r="21" spans="1:18" ht="12.75">
      <c r="A21" s="56" t="s">
        <v>26</v>
      </c>
      <c r="B21" s="68" t="s">
        <v>70</v>
      </c>
      <c r="C21" s="68" t="s">
        <v>65</v>
      </c>
      <c r="D21" s="44">
        <f t="shared" si="1"/>
        <v>553544.1399999999</v>
      </c>
      <c r="E21" s="58"/>
      <c r="F21" s="57"/>
      <c r="G21" s="57"/>
      <c r="H21" s="57"/>
      <c r="I21" s="57"/>
      <c r="J21" s="57"/>
      <c r="K21" s="58"/>
      <c r="L21" s="58">
        <f>185311.83+309000+59232.31</f>
        <v>553544.1399999999</v>
      </c>
      <c r="M21" s="57"/>
      <c r="N21" s="57"/>
      <c r="O21" s="57"/>
      <c r="P21" s="57"/>
      <c r="Q21" s="57"/>
      <c r="R21" s="8">
        <f t="shared" si="2"/>
        <v>0.004813427304347825</v>
      </c>
    </row>
    <row r="22" spans="1:18" ht="12.75">
      <c r="A22" s="56" t="s">
        <v>26</v>
      </c>
      <c r="B22" s="56" t="s">
        <v>74</v>
      </c>
      <c r="C22" s="56" t="s">
        <v>71</v>
      </c>
      <c r="D22" s="44">
        <f t="shared" si="1"/>
        <v>600577.45</v>
      </c>
      <c r="E22" s="58"/>
      <c r="F22" s="57"/>
      <c r="G22" s="57"/>
      <c r="H22" s="57"/>
      <c r="I22" s="57"/>
      <c r="J22" s="57"/>
      <c r="K22" s="58"/>
      <c r="L22" s="58">
        <f>425919.2+174658.25</f>
        <v>600577.45</v>
      </c>
      <c r="M22" s="57"/>
      <c r="N22" s="57"/>
      <c r="O22" s="57"/>
      <c r="P22" s="57"/>
      <c r="Q22" s="57"/>
      <c r="R22" s="8">
        <f t="shared" si="2"/>
        <v>0.005222412608695652</v>
      </c>
    </row>
    <row r="23" spans="1:18" ht="12.75" hidden="1">
      <c r="A23" s="56" t="s">
        <v>26</v>
      </c>
      <c r="B23" s="68"/>
      <c r="C23" s="56"/>
      <c r="D23" s="44">
        <f t="shared" si="1"/>
        <v>0</v>
      </c>
      <c r="E23" s="58"/>
      <c r="F23" s="57"/>
      <c r="G23" s="57"/>
      <c r="H23" s="57"/>
      <c r="I23" s="57"/>
      <c r="J23" s="57"/>
      <c r="K23" s="58"/>
      <c r="L23" s="58"/>
      <c r="M23" s="57"/>
      <c r="N23" s="57"/>
      <c r="O23" s="57"/>
      <c r="P23" s="57"/>
      <c r="Q23" s="57"/>
      <c r="R23" s="8">
        <f t="shared" si="2"/>
        <v>0</v>
      </c>
    </row>
    <row r="24" spans="1:18" ht="12.75">
      <c r="A24" s="56" t="s">
        <v>27</v>
      </c>
      <c r="B24" s="68" t="s">
        <v>112</v>
      </c>
      <c r="C24" s="68" t="s">
        <v>65</v>
      </c>
      <c r="D24" s="44">
        <f t="shared" si="1"/>
        <v>772508.64</v>
      </c>
      <c r="E24" s="58"/>
      <c r="F24" s="57"/>
      <c r="G24" s="57"/>
      <c r="H24" s="57"/>
      <c r="I24" s="57"/>
      <c r="J24" s="57"/>
      <c r="K24" s="58"/>
      <c r="L24" s="58"/>
      <c r="M24" s="58">
        <f>93600+610942.64+53498+14468</f>
        <v>772508.64</v>
      </c>
      <c r="N24" s="57"/>
      <c r="O24" s="57"/>
      <c r="P24" s="57"/>
      <c r="Q24" s="57"/>
      <c r="R24" s="8">
        <f t="shared" si="2"/>
        <v>0.006717466434782608</v>
      </c>
    </row>
    <row r="25" spans="1:18" ht="12.75">
      <c r="A25" s="56" t="s">
        <v>28</v>
      </c>
      <c r="B25" s="56" t="s">
        <v>70</v>
      </c>
      <c r="C25" s="68" t="s">
        <v>65</v>
      </c>
      <c r="D25" s="44">
        <f t="shared" si="1"/>
        <v>775622.0299999999</v>
      </c>
      <c r="E25" s="58"/>
      <c r="F25" s="57"/>
      <c r="G25" s="57"/>
      <c r="H25" s="57"/>
      <c r="I25" s="57"/>
      <c r="J25" s="57"/>
      <c r="K25" s="58"/>
      <c r="L25" s="58"/>
      <c r="M25" s="58"/>
      <c r="N25" s="58">
        <f>280179.66+465157.78+30284.59</f>
        <v>775622.0299999999</v>
      </c>
      <c r="O25" s="57"/>
      <c r="P25" s="57"/>
      <c r="Q25" s="57"/>
      <c r="R25" s="8">
        <f t="shared" si="2"/>
        <v>0.006744539391304347</v>
      </c>
    </row>
    <row r="26" spans="1:18" ht="12.75">
      <c r="A26" s="56" t="s">
        <v>28</v>
      </c>
      <c r="B26" s="56" t="s">
        <v>66</v>
      </c>
      <c r="C26" s="56" t="s">
        <v>68</v>
      </c>
      <c r="D26" s="44">
        <f t="shared" si="1"/>
        <v>572301.14</v>
      </c>
      <c r="E26" s="58"/>
      <c r="F26" s="57"/>
      <c r="G26" s="57"/>
      <c r="H26" s="57"/>
      <c r="I26" s="57"/>
      <c r="J26" s="57"/>
      <c r="K26" s="58"/>
      <c r="L26" s="58"/>
      <c r="M26" s="58"/>
      <c r="N26" s="58">
        <f>572301.14</f>
        <v>572301.14</v>
      </c>
      <c r="O26" s="57"/>
      <c r="P26" s="57"/>
      <c r="Q26" s="57"/>
      <c r="R26" s="8">
        <f t="shared" si="2"/>
        <v>0.004976531652173913</v>
      </c>
    </row>
    <row r="27" spans="1:18" ht="12.75">
      <c r="A27" s="56" t="s">
        <v>29</v>
      </c>
      <c r="B27" s="56" t="s">
        <v>73</v>
      </c>
      <c r="C27" s="68" t="s">
        <v>65</v>
      </c>
      <c r="D27" s="44">
        <f t="shared" si="1"/>
        <v>179474.25</v>
      </c>
      <c r="E27" s="58"/>
      <c r="F27" s="57"/>
      <c r="G27" s="57"/>
      <c r="H27" s="57"/>
      <c r="I27" s="57"/>
      <c r="J27" s="57"/>
      <c r="K27" s="58"/>
      <c r="L27" s="58"/>
      <c r="M27" s="58"/>
      <c r="N27" s="57"/>
      <c r="O27" s="58">
        <f>174664.3+4809.95</f>
        <v>179474.25</v>
      </c>
      <c r="P27" s="57"/>
      <c r="Q27" s="57"/>
      <c r="R27" s="8">
        <f t="shared" si="2"/>
        <v>0.001560645652173913</v>
      </c>
    </row>
    <row r="28" spans="1:19" ht="12.75">
      <c r="A28" s="56" t="s">
        <v>30</v>
      </c>
      <c r="B28" s="56" t="s">
        <v>119</v>
      </c>
      <c r="C28" s="68" t="s">
        <v>65</v>
      </c>
      <c r="D28" s="44">
        <f t="shared" si="1"/>
        <v>94219.62</v>
      </c>
      <c r="E28" s="58"/>
      <c r="F28" s="57"/>
      <c r="G28" s="57"/>
      <c r="H28" s="57"/>
      <c r="I28" s="57"/>
      <c r="J28" s="57"/>
      <c r="K28" s="58"/>
      <c r="L28" s="58"/>
      <c r="M28" s="58"/>
      <c r="N28" s="57"/>
      <c r="O28" s="58"/>
      <c r="P28" s="58">
        <f>37168+18525.16+38526.46</f>
        <v>94219.62</v>
      </c>
      <c r="Q28" s="58"/>
      <c r="R28" s="8">
        <f t="shared" si="2"/>
        <v>0.0008193010434782608</v>
      </c>
      <c r="S28" s="8">
        <f>SUM(R7:R28)</f>
        <v>0.23090225886956522</v>
      </c>
    </row>
    <row r="29" spans="1:18" ht="12.75">
      <c r="A29" s="2" t="s">
        <v>19</v>
      </c>
      <c r="B29" s="69" t="s">
        <v>93</v>
      </c>
      <c r="C29" s="59" t="s">
        <v>94</v>
      </c>
      <c r="D29" s="44">
        <f>SUM(E29:Q29)</f>
        <v>7152218.68</v>
      </c>
      <c r="E29" s="44">
        <f>7152218.68</f>
        <v>7152218.68</v>
      </c>
      <c r="R29" s="8">
        <f>D29/$D$5</f>
        <v>0.062193205913043476</v>
      </c>
    </row>
    <row r="30" spans="1:18" ht="12.75">
      <c r="A30" s="69" t="s">
        <v>19</v>
      </c>
      <c r="B30" s="69" t="s">
        <v>104</v>
      </c>
      <c r="C30" s="70" t="s">
        <v>105</v>
      </c>
      <c r="D30" s="44">
        <f>SUM(E30:Q30)</f>
        <v>8888</v>
      </c>
      <c r="E30" s="44">
        <f>8888</f>
        <v>8888</v>
      </c>
      <c r="R30" s="8">
        <f>D30/$D$5</f>
        <v>7.728695652173913E-05</v>
      </c>
    </row>
    <row r="31" spans="1:19" ht="12.75">
      <c r="A31" s="56" t="s">
        <v>19</v>
      </c>
      <c r="B31" s="68" t="s">
        <v>120</v>
      </c>
      <c r="C31" s="56" t="s">
        <v>88</v>
      </c>
      <c r="D31" s="44">
        <f t="shared" si="1"/>
        <v>2215572.87</v>
      </c>
      <c r="E31" s="58">
        <f>1218746.1+996826.77</f>
        <v>2215572.87</v>
      </c>
      <c r="F31" s="57"/>
      <c r="G31" s="57"/>
      <c r="H31" s="57"/>
      <c r="I31" s="57"/>
      <c r="J31" s="57"/>
      <c r="K31" s="58"/>
      <c r="L31" s="58"/>
      <c r="M31" s="58"/>
      <c r="N31" s="57"/>
      <c r="O31" s="58"/>
      <c r="P31" s="58"/>
      <c r="Q31" s="58"/>
      <c r="R31" s="8">
        <f t="shared" si="2"/>
        <v>0.019265851043478263</v>
      </c>
      <c r="S31" s="8"/>
    </row>
    <row r="32" spans="1:18" ht="12.75">
      <c r="A32" s="2" t="s">
        <v>19</v>
      </c>
      <c r="B32" s="69" t="s">
        <v>87</v>
      </c>
      <c r="C32" s="59" t="s">
        <v>89</v>
      </c>
      <c r="D32" s="44">
        <f t="shared" si="1"/>
        <v>2098266.86</v>
      </c>
      <c r="E32" s="44">
        <f>2098266.86</f>
        <v>2098266.86</v>
      </c>
      <c r="R32" s="8">
        <f t="shared" si="2"/>
        <v>0.018245798782608694</v>
      </c>
    </row>
    <row r="33" spans="1:18" ht="12.75">
      <c r="A33" s="69" t="s">
        <v>19</v>
      </c>
      <c r="B33" s="69" t="s">
        <v>85</v>
      </c>
      <c r="C33" s="70" t="s">
        <v>121</v>
      </c>
      <c r="D33" s="44">
        <f t="shared" si="1"/>
        <v>12000</v>
      </c>
      <c r="E33" s="44">
        <f>12000</f>
        <v>12000</v>
      </c>
      <c r="R33" s="8">
        <f t="shared" si="2"/>
        <v>0.00010434782608695653</v>
      </c>
    </row>
    <row r="34" spans="1:18" ht="12.75">
      <c r="A34" s="69" t="s">
        <v>20</v>
      </c>
      <c r="B34" s="69" t="s">
        <v>101</v>
      </c>
      <c r="C34" s="70" t="s">
        <v>102</v>
      </c>
      <c r="D34" s="44">
        <f t="shared" si="1"/>
        <v>1301767.98</v>
      </c>
      <c r="F34" s="44">
        <f>1301767.98</f>
        <v>1301767.98</v>
      </c>
      <c r="R34" s="8">
        <f t="shared" si="2"/>
        <v>0.011319721565217392</v>
      </c>
    </row>
    <row r="35" spans="1:18" ht="12.75">
      <c r="A35" s="69" t="s">
        <v>23</v>
      </c>
      <c r="B35" s="69" t="s">
        <v>95</v>
      </c>
      <c r="C35" s="70" t="s">
        <v>90</v>
      </c>
      <c r="D35" s="44">
        <f t="shared" si="1"/>
        <v>10452707.67</v>
      </c>
      <c r="I35" s="44">
        <f>9792703.19+660004.48</f>
        <v>10452707.67</v>
      </c>
      <c r="R35" s="8">
        <f t="shared" si="2"/>
        <v>0.09089311017391304</v>
      </c>
    </row>
    <row r="36" spans="1:18" ht="12.75" hidden="1">
      <c r="A36" s="2" t="s">
        <v>23</v>
      </c>
      <c r="B36" s="69"/>
      <c r="D36" s="44">
        <f t="shared" si="1"/>
        <v>0</v>
      </c>
      <c r="R36" s="8">
        <f t="shared" si="2"/>
        <v>0</v>
      </c>
    </row>
    <row r="37" spans="1:18" ht="12.75" hidden="1">
      <c r="A37" s="69" t="s">
        <v>23</v>
      </c>
      <c r="B37" s="69"/>
      <c r="C37" s="70"/>
      <c r="D37" s="44">
        <f t="shared" si="1"/>
        <v>0</v>
      </c>
      <c r="R37" s="8">
        <f t="shared" si="2"/>
        <v>0</v>
      </c>
    </row>
    <row r="38" spans="1:18" ht="12.75">
      <c r="A38" s="69" t="s">
        <v>27</v>
      </c>
      <c r="B38" s="69" t="s">
        <v>85</v>
      </c>
      <c r="C38" s="70" t="s">
        <v>86</v>
      </c>
      <c r="D38" s="44">
        <f t="shared" si="1"/>
        <v>4133799.68</v>
      </c>
      <c r="M38" s="44">
        <f>4133799.68</f>
        <v>4133799.68</v>
      </c>
      <c r="R38" s="8">
        <f t="shared" si="2"/>
        <v>0.03594608417391305</v>
      </c>
    </row>
    <row r="39" spans="1:18" ht="12.75">
      <c r="A39" s="69" t="s">
        <v>27</v>
      </c>
      <c r="B39" s="69" t="s">
        <v>87</v>
      </c>
      <c r="C39" s="70" t="s">
        <v>113</v>
      </c>
      <c r="D39" s="44">
        <f t="shared" si="1"/>
        <v>3776991.25</v>
      </c>
      <c r="M39" s="44">
        <f>3776991.25</f>
        <v>3776991.25</v>
      </c>
      <c r="R39" s="8">
        <f t="shared" si="2"/>
        <v>0.032843402173913044</v>
      </c>
    </row>
    <row r="40" spans="1:18" ht="12.75">
      <c r="A40" s="2" t="s">
        <v>28</v>
      </c>
      <c r="B40" s="69" t="s">
        <v>101</v>
      </c>
      <c r="C40" s="70" t="s">
        <v>103</v>
      </c>
      <c r="D40" s="44">
        <f t="shared" si="1"/>
        <v>1541622.58</v>
      </c>
      <c r="N40" s="44">
        <f>1541622.58</f>
        <v>1541622.58</v>
      </c>
      <c r="R40" s="8">
        <f t="shared" si="2"/>
        <v>0.013405413739130435</v>
      </c>
    </row>
    <row r="41" spans="1:18" ht="12.75">
      <c r="A41" s="2" t="s">
        <v>28</v>
      </c>
      <c r="B41" s="69" t="s">
        <v>87</v>
      </c>
      <c r="C41" s="70" t="s">
        <v>122</v>
      </c>
      <c r="D41" s="44">
        <f t="shared" si="1"/>
        <v>686.15</v>
      </c>
      <c r="N41" s="44">
        <f>686.15</f>
        <v>686.15</v>
      </c>
      <c r="R41" s="8">
        <f t="shared" si="2"/>
        <v>5.966521739130434E-06</v>
      </c>
    </row>
    <row r="42" spans="1:18" ht="12.75">
      <c r="A42" s="2" t="s">
        <v>29</v>
      </c>
      <c r="B42" s="69" t="s">
        <v>96</v>
      </c>
      <c r="C42" t="s">
        <v>92</v>
      </c>
      <c r="D42" s="44">
        <f>SUM(E42:Q42)</f>
        <v>5685797.079999999</v>
      </c>
      <c r="O42" s="44">
        <f>5633128.89+51959.47+708.72</f>
        <v>5685797.079999999</v>
      </c>
      <c r="R42" s="8">
        <f>D42/$D$5</f>
        <v>0.04944171373913043</v>
      </c>
    </row>
    <row r="43" spans="1:18" ht="12.75">
      <c r="A43" s="2" t="s">
        <v>29</v>
      </c>
      <c r="B43" s="69" t="s">
        <v>123</v>
      </c>
      <c r="C43" t="s">
        <v>98</v>
      </c>
      <c r="D43" s="44">
        <f>SUM(E43:Q43)</f>
        <v>2916009.1999999997</v>
      </c>
      <c r="O43" s="44">
        <f>2838867.17+45776.75+31365.28</f>
        <v>2916009.1999999997</v>
      </c>
      <c r="R43" s="8">
        <f>D43/$D$5</f>
        <v>0.025356601739130433</v>
      </c>
    </row>
    <row r="44" spans="1:18" ht="12.75">
      <c r="A44" s="2" t="s">
        <v>29</v>
      </c>
      <c r="B44" s="69" t="s">
        <v>95</v>
      </c>
      <c r="C44" t="s">
        <v>91</v>
      </c>
      <c r="D44" s="44">
        <f t="shared" si="1"/>
        <v>7632520.010000001</v>
      </c>
      <c r="O44" s="44">
        <f>5378935.49+2194254.58+2828+56501.94</f>
        <v>7632520.010000001</v>
      </c>
      <c r="R44" s="8">
        <f t="shared" si="2"/>
        <v>0.06636973921739131</v>
      </c>
    </row>
    <row r="45" spans="1:18" ht="12.75">
      <c r="A45" s="69" t="s">
        <v>29</v>
      </c>
      <c r="B45" s="69" t="s">
        <v>106</v>
      </c>
      <c r="C45" s="71" t="s">
        <v>107</v>
      </c>
      <c r="D45" s="44">
        <f>SUM(E45:Q45)</f>
        <v>2730.56</v>
      </c>
      <c r="O45" s="44">
        <f>2730.56</f>
        <v>2730.56</v>
      </c>
      <c r="R45" s="8">
        <f>D45/$D$5</f>
        <v>2.3744E-05</v>
      </c>
    </row>
    <row r="46" spans="1:19" ht="12.75">
      <c r="A46" s="69" t="s">
        <v>29</v>
      </c>
      <c r="B46" s="69" t="s">
        <v>97</v>
      </c>
      <c r="C46" s="71" t="s">
        <v>99</v>
      </c>
      <c r="D46" s="44">
        <f t="shared" si="1"/>
        <v>2555.03</v>
      </c>
      <c r="O46" s="44">
        <f>2555.03</f>
        <v>2555.03</v>
      </c>
      <c r="R46" s="8">
        <f t="shared" si="2"/>
        <v>2.2217652173913046E-05</v>
      </c>
      <c r="S46" s="8">
        <f>SUM(R29:R46)</f>
        <v>0.42551420521739136</v>
      </c>
    </row>
    <row r="47" spans="1:19" ht="12.75">
      <c r="A47" s="2"/>
      <c r="B47" s="2"/>
      <c r="C47" s="71" t="s">
        <v>61</v>
      </c>
      <c r="D47" s="44">
        <f t="shared" si="1"/>
        <v>39512106.629999995</v>
      </c>
      <c r="Q47" s="44">
        <f>115000000-75487893.37</f>
        <v>39512106.629999995</v>
      </c>
      <c r="R47" s="8">
        <f t="shared" si="2"/>
        <v>0.3435835359130434</v>
      </c>
      <c r="S47" s="8"/>
    </row>
    <row r="48" spans="5:18" ht="12.75"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spans="2:18" s="8" customFormat="1" ht="13.5" thickBot="1">
      <c r="B49" s="62"/>
      <c r="C49" s="63" t="s">
        <v>33</v>
      </c>
      <c r="D49" s="64">
        <f>SUM(E49:Q49)</f>
        <v>1</v>
      </c>
      <c r="E49" s="65">
        <f>E5/D5</f>
        <v>0.27134883582608693</v>
      </c>
      <c r="F49" s="65">
        <f>F5/D5</f>
        <v>0.01476262452173913</v>
      </c>
      <c r="G49" s="65">
        <f>G5/D5</f>
        <v>0.00036578982608695653</v>
      </c>
      <c r="H49" s="65">
        <f>H5/D5</f>
        <v>0.013422611999999999</v>
      </c>
      <c r="I49" s="65">
        <f>I5/D5</f>
        <v>0.09575368904347827</v>
      </c>
      <c r="J49" s="65">
        <f>J5/D5</f>
        <v>0.0005441327826086956</v>
      </c>
      <c r="K49" s="65">
        <f>K5/D5</f>
        <v>0.00594957304347826</v>
      </c>
      <c r="L49" s="65">
        <f>L5/D5</f>
        <v>0.010035839913043477</v>
      </c>
      <c r="M49" s="65">
        <f>M5/D5</f>
        <v>0.0755069527826087</v>
      </c>
      <c r="N49" s="65">
        <f>N5/D5</f>
        <v>0.025132451304347825</v>
      </c>
      <c r="O49" s="65">
        <f>O5/D5</f>
        <v>0.142774662</v>
      </c>
      <c r="P49" s="65">
        <f>P5/D5</f>
        <v>0.0008193010434782608</v>
      </c>
      <c r="Q49" s="65">
        <f>Q5/D5</f>
        <v>0.3435835359130434</v>
      </c>
      <c r="R49" s="65">
        <f>SUM(R6:R48)</f>
        <v>1</v>
      </c>
    </row>
    <row r="50" spans="1:18" s="8" customFormat="1" ht="13.5" thickTop="1">
      <c r="A50" s="66"/>
      <c r="C50" s="6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</sheetData>
  <sheetProtection/>
  <printOptions/>
  <pageMargins left="0.2" right="0" top="0.75" bottom="0.5" header="0.3" footer="0.3"/>
  <pageSetup horizontalDpi="600" verticalDpi="600" orientation="landscape" paperSize="5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zoomScale="142" zoomScaleNormal="142" zoomScalePageLayoutView="0" workbookViewId="0" topLeftCell="A1">
      <pane xSplit="4" ySplit="6" topLeftCell="O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16" sqref="R16"/>
    </sheetView>
  </sheetViews>
  <sheetFormatPr defaultColWidth="8.7109375" defaultRowHeight="12.75"/>
  <cols>
    <col min="1" max="1" width="8.710937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7109375" style="44" customWidth="1"/>
    <col min="8" max="8" width="13.140625" style="44" customWidth="1"/>
    <col min="9" max="9" width="14.421875" style="44" customWidth="1"/>
    <col min="10" max="10" width="11.00390625" style="44" customWidth="1"/>
    <col min="11" max="11" width="11.7109375" style="44" customWidth="1"/>
    <col min="12" max="12" width="13.00390625" style="44" customWidth="1"/>
    <col min="13" max="13" width="14.421875" style="44" customWidth="1"/>
    <col min="14" max="14" width="13.00390625" style="44" customWidth="1"/>
    <col min="15" max="15" width="15.140625" style="44" customWidth="1"/>
    <col min="16" max="16" width="11.28125" style="44" customWidth="1"/>
    <col min="17" max="17" width="13.140625" style="44" customWidth="1"/>
    <col min="18" max="18" width="12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6" t="s">
        <v>60</v>
      </c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  <c r="M4" s="49" t="s">
        <v>27</v>
      </c>
      <c r="N4" s="49" t="s">
        <v>28</v>
      </c>
      <c r="O4" s="49" t="s">
        <v>29</v>
      </c>
      <c r="P4" s="49" t="s">
        <v>30</v>
      </c>
      <c r="Q4" s="49" t="s">
        <v>36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115000000</v>
      </c>
      <c r="E5" s="52">
        <f aca="true" t="shared" si="0" ref="E5:Q5">SUM(E6:E46)</f>
        <v>39415721.239999995</v>
      </c>
      <c r="F5" s="52">
        <f t="shared" si="0"/>
        <v>2042588.81</v>
      </c>
      <c r="G5" s="52">
        <f t="shared" si="0"/>
        <v>42065.83</v>
      </c>
      <c r="H5" s="52">
        <f t="shared" si="0"/>
        <v>2218534.32</v>
      </c>
      <c r="I5" s="52">
        <f t="shared" si="0"/>
        <v>13619896.86</v>
      </c>
      <c r="J5" s="52">
        <f t="shared" si="0"/>
        <v>62575.27</v>
      </c>
      <c r="K5" s="52">
        <f t="shared" si="0"/>
        <v>844825.31</v>
      </c>
      <c r="L5" s="52">
        <f t="shared" si="0"/>
        <v>1152975.0899999999</v>
      </c>
      <c r="M5" s="52">
        <f t="shared" si="0"/>
        <v>17168999.55</v>
      </c>
      <c r="N5" s="52">
        <f t="shared" si="0"/>
        <v>3199351.68</v>
      </c>
      <c r="O5" s="52">
        <f t="shared" si="0"/>
        <v>29168647.29</v>
      </c>
      <c r="P5" s="52">
        <f t="shared" si="0"/>
        <v>111939.12</v>
      </c>
      <c r="Q5" s="52">
        <f t="shared" si="0"/>
        <v>5951879.629999995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116</v>
      </c>
      <c r="C7" s="68" t="s">
        <v>65</v>
      </c>
      <c r="D7" s="44">
        <f>SUM(E7:Q7)</f>
        <v>12428943.05</v>
      </c>
      <c r="E7" s="58">
        <f>7300000+5128943.05</f>
        <v>12428943.05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0.10807776565217392</v>
      </c>
    </row>
    <row r="8" spans="1:18" ht="12.75">
      <c r="A8" s="68" t="s">
        <v>19</v>
      </c>
      <c r="B8" s="68" t="s">
        <v>118</v>
      </c>
      <c r="C8" s="68" t="s">
        <v>67</v>
      </c>
      <c r="D8" s="44">
        <f>SUM(E8:Q8)</f>
        <v>878163.12</v>
      </c>
      <c r="E8" s="58">
        <f>235771.07+380518.45+261873.6</f>
        <v>878163.12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0.0076362010434782605</v>
      </c>
    </row>
    <row r="9" spans="1:18" ht="12.75">
      <c r="A9" s="56" t="s">
        <v>19</v>
      </c>
      <c r="B9" s="68" t="s">
        <v>64</v>
      </c>
      <c r="C9" s="56" t="s">
        <v>63</v>
      </c>
      <c r="D9" s="44">
        <f aca="true" t="shared" si="1" ref="D9:D45">SUM(E9:Q9)</f>
        <v>9676071.5</v>
      </c>
      <c r="E9" s="58">
        <f>9676071.5</f>
        <v>9676071.5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0.08413975217391305</v>
      </c>
    </row>
    <row r="10" spans="1:18" ht="12.75">
      <c r="A10" s="56" t="s">
        <v>20</v>
      </c>
      <c r="B10" s="56" t="s">
        <v>128</v>
      </c>
      <c r="C10" s="68" t="s">
        <v>65</v>
      </c>
      <c r="D10" s="44">
        <f t="shared" si="1"/>
        <v>503773.48999999993</v>
      </c>
      <c r="E10" s="58"/>
      <c r="F10" s="58">
        <f>13390+36926.03+184961.16+89262.15+49881.91+70720.87+18478.54+8437.42+24575.41+7140</f>
        <v>503773.48999999993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 aca="true" t="shared" si="2" ref="R10:R45">D10/$D$5</f>
        <v>0.0043806390434782605</v>
      </c>
    </row>
    <row r="11" spans="1:18" ht="12.75">
      <c r="A11" s="56" t="s">
        <v>20</v>
      </c>
      <c r="B11" s="68" t="s">
        <v>83</v>
      </c>
      <c r="C11" s="56" t="s">
        <v>71</v>
      </c>
      <c r="D11" s="44">
        <f t="shared" si="1"/>
        <v>30595.08</v>
      </c>
      <c r="E11" s="58"/>
      <c r="F11" s="58">
        <f>30595.08</f>
        <v>30595.08</v>
      </c>
      <c r="G11" s="58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 t="shared" si="2"/>
        <v>0.0002660441739130435</v>
      </c>
    </row>
    <row r="12" spans="1:18" ht="12.75">
      <c r="A12" s="56" t="s">
        <v>21</v>
      </c>
      <c r="B12" s="68" t="s">
        <v>84</v>
      </c>
      <c r="C12" s="56" t="s">
        <v>71</v>
      </c>
      <c r="D12" s="44">
        <f t="shared" si="1"/>
        <v>42065.83</v>
      </c>
      <c r="E12" s="58"/>
      <c r="F12" s="58"/>
      <c r="G12" s="58">
        <f>42065.83</f>
        <v>42065.83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t="shared" si="2"/>
        <v>0.00036578982608695653</v>
      </c>
    </row>
    <row r="13" spans="1:18" ht="12.75">
      <c r="A13" s="56" t="s">
        <v>22</v>
      </c>
      <c r="B13" s="68" t="s">
        <v>129</v>
      </c>
      <c r="C13" s="68" t="s">
        <v>65</v>
      </c>
      <c r="D13" s="44">
        <f t="shared" si="1"/>
        <v>2207155.07</v>
      </c>
      <c r="E13" s="58"/>
      <c r="F13" s="58"/>
      <c r="G13" s="57"/>
      <c r="H13" s="58">
        <f>624491.17+564739+641160.27+376764.63</f>
        <v>2207155.07</v>
      </c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0.019192652782608694</v>
      </c>
    </row>
    <row r="14" spans="1:18" ht="12.75">
      <c r="A14" s="56" t="s">
        <v>22</v>
      </c>
      <c r="B14" s="68" t="s">
        <v>132</v>
      </c>
      <c r="C14" s="68" t="s">
        <v>71</v>
      </c>
      <c r="D14" s="44">
        <f t="shared" si="1"/>
        <v>11379.25</v>
      </c>
      <c r="E14" s="58"/>
      <c r="F14" s="58"/>
      <c r="G14" s="57"/>
      <c r="H14" s="58">
        <f>11379.25</f>
        <v>11379.25</v>
      </c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9.895E-05</v>
      </c>
    </row>
    <row r="15" spans="1:18" ht="12.75">
      <c r="A15" s="56" t="s">
        <v>23</v>
      </c>
      <c r="B15" s="68" t="s">
        <v>116</v>
      </c>
      <c r="C15" s="68" t="s">
        <v>65</v>
      </c>
      <c r="D15" s="44">
        <f t="shared" si="1"/>
        <v>1617543.88</v>
      </c>
      <c r="E15" s="58"/>
      <c r="F15" s="58"/>
      <c r="G15" s="57"/>
      <c r="H15" s="58"/>
      <c r="I15" s="58">
        <f>165543.88+1452000</f>
        <v>1617543.88</v>
      </c>
      <c r="J15" s="57"/>
      <c r="K15" s="57"/>
      <c r="L15" s="57"/>
      <c r="M15" s="57"/>
      <c r="N15" s="57"/>
      <c r="O15" s="57"/>
      <c r="P15" s="57"/>
      <c r="Q15" s="57"/>
      <c r="R15" s="8">
        <f t="shared" si="2"/>
        <v>0.014065598956521739</v>
      </c>
    </row>
    <row r="16" spans="1:18" ht="12.75">
      <c r="A16" s="68" t="s">
        <v>23</v>
      </c>
      <c r="B16" s="68" t="s">
        <v>77</v>
      </c>
      <c r="C16" s="68" t="s">
        <v>78</v>
      </c>
      <c r="D16" s="44">
        <f t="shared" si="1"/>
        <v>4991.65</v>
      </c>
      <c r="E16" s="58"/>
      <c r="F16" s="58"/>
      <c r="G16" s="57"/>
      <c r="H16" s="58"/>
      <c r="I16" s="58">
        <f>4991.65</f>
        <v>4991.65</v>
      </c>
      <c r="J16" s="57"/>
      <c r="K16" s="57"/>
      <c r="L16" s="57"/>
      <c r="M16" s="57"/>
      <c r="N16" s="57"/>
      <c r="O16" s="57"/>
      <c r="P16" s="57"/>
      <c r="Q16" s="57"/>
      <c r="R16" s="8">
        <f t="shared" si="2"/>
        <v>4.340565217391304E-05</v>
      </c>
    </row>
    <row r="17" spans="1:18" ht="12.75">
      <c r="A17" s="68" t="s">
        <v>23</v>
      </c>
      <c r="B17" s="68" t="s">
        <v>126</v>
      </c>
      <c r="C17" s="68" t="s">
        <v>127</v>
      </c>
      <c r="D17" s="44">
        <f t="shared" si="1"/>
        <v>1408683</v>
      </c>
      <c r="E17" s="58"/>
      <c r="F17" s="58"/>
      <c r="G17" s="57"/>
      <c r="H17" s="58"/>
      <c r="I17" s="58">
        <f>1408683</f>
        <v>1408683</v>
      </c>
      <c r="J17" s="57"/>
      <c r="K17" s="57"/>
      <c r="L17" s="57"/>
      <c r="M17" s="57"/>
      <c r="N17" s="57"/>
      <c r="O17" s="57"/>
      <c r="P17" s="57"/>
      <c r="Q17" s="57"/>
      <c r="R17" s="8">
        <f t="shared" si="2"/>
        <v>0.012249417391304349</v>
      </c>
    </row>
    <row r="18" spans="1:18" ht="12.75">
      <c r="A18" s="56" t="s">
        <v>24</v>
      </c>
      <c r="B18" s="68" t="s">
        <v>72</v>
      </c>
      <c r="C18" s="68" t="s">
        <v>65</v>
      </c>
      <c r="D18" s="44">
        <f t="shared" si="1"/>
        <v>62575.27</v>
      </c>
      <c r="E18" s="58"/>
      <c r="F18" s="58"/>
      <c r="G18" s="57"/>
      <c r="H18" s="58"/>
      <c r="I18" s="57"/>
      <c r="J18" s="58">
        <f>62575.27</f>
        <v>62575.27</v>
      </c>
      <c r="K18" s="57"/>
      <c r="L18" s="57"/>
      <c r="M18" s="57"/>
      <c r="N18" s="57"/>
      <c r="O18" s="57"/>
      <c r="P18" s="57"/>
      <c r="Q18" s="57"/>
      <c r="R18" s="8">
        <f t="shared" si="2"/>
        <v>0.0005441327826086956</v>
      </c>
    </row>
    <row r="19" spans="1:18" ht="12.75">
      <c r="A19" s="56" t="s">
        <v>25</v>
      </c>
      <c r="B19" s="68" t="s">
        <v>130</v>
      </c>
      <c r="C19" s="68" t="s">
        <v>65</v>
      </c>
      <c r="D19" s="44">
        <f t="shared" si="1"/>
        <v>823136.92</v>
      </c>
      <c r="E19" s="58"/>
      <c r="F19" s="58"/>
      <c r="G19" s="57"/>
      <c r="H19" s="58"/>
      <c r="I19" s="57"/>
      <c r="J19" s="58"/>
      <c r="K19" s="58">
        <f>143132.38+159826.61+78156.58+12202.63+305523.09+123763.1+532.53</f>
        <v>823136.92</v>
      </c>
      <c r="L19" s="57"/>
      <c r="M19" s="57"/>
      <c r="N19" s="57"/>
      <c r="O19" s="57"/>
      <c r="P19" s="57"/>
      <c r="Q19" s="57"/>
      <c r="R19" s="8">
        <f t="shared" si="2"/>
        <v>0.0071577123478260875</v>
      </c>
    </row>
    <row r="20" spans="1:18" ht="12.75">
      <c r="A20" s="56" t="s">
        <v>25</v>
      </c>
      <c r="B20" s="56" t="s">
        <v>80</v>
      </c>
      <c r="C20" s="56" t="s">
        <v>81</v>
      </c>
      <c r="D20" s="44">
        <f t="shared" si="1"/>
        <v>21688.39</v>
      </c>
      <c r="E20" s="58"/>
      <c r="F20" s="57"/>
      <c r="G20" s="57"/>
      <c r="H20" s="57"/>
      <c r="I20" s="57"/>
      <c r="J20" s="57"/>
      <c r="K20" s="58">
        <f>21688.39</f>
        <v>21688.39</v>
      </c>
      <c r="L20" s="57"/>
      <c r="M20" s="57"/>
      <c r="N20" s="57"/>
      <c r="O20" s="57"/>
      <c r="P20" s="57"/>
      <c r="Q20" s="57"/>
      <c r="R20" s="8">
        <f t="shared" si="2"/>
        <v>0.0001885946956521739</v>
      </c>
    </row>
    <row r="21" spans="1:18" ht="12.75">
      <c r="A21" s="56" t="s">
        <v>26</v>
      </c>
      <c r="B21" s="68" t="s">
        <v>131</v>
      </c>
      <c r="C21" s="68" t="s">
        <v>65</v>
      </c>
      <c r="D21" s="44">
        <f t="shared" si="1"/>
        <v>551982.1399999999</v>
      </c>
      <c r="E21" s="58"/>
      <c r="F21" s="57"/>
      <c r="G21" s="57"/>
      <c r="H21" s="57"/>
      <c r="I21" s="57"/>
      <c r="J21" s="57"/>
      <c r="K21" s="58"/>
      <c r="L21" s="58">
        <f>185311.83+309000+59232.31-1562</f>
        <v>551982.1399999999</v>
      </c>
      <c r="M21" s="57"/>
      <c r="N21" s="57"/>
      <c r="O21" s="57"/>
      <c r="P21" s="57"/>
      <c r="Q21" s="57"/>
      <c r="R21" s="8">
        <f t="shared" si="2"/>
        <v>0.004799844695652173</v>
      </c>
    </row>
    <row r="22" spans="1:18" ht="12.75">
      <c r="A22" s="56" t="s">
        <v>26</v>
      </c>
      <c r="B22" s="56" t="s">
        <v>74</v>
      </c>
      <c r="C22" s="56" t="s">
        <v>71</v>
      </c>
      <c r="D22" s="44">
        <f t="shared" si="1"/>
        <v>600992.95</v>
      </c>
      <c r="E22" s="58"/>
      <c r="F22" s="57"/>
      <c r="G22" s="57"/>
      <c r="H22" s="57"/>
      <c r="I22" s="57"/>
      <c r="J22" s="57"/>
      <c r="K22" s="58"/>
      <c r="L22" s="58">
        <f>425919.2+175073.75</f>
        <v>600992.95</v>
      </c>
      <c r="M22" s="57"/>
      <c r="N22" s="57"/>
      <c r="O22" s="57"/>
      <c r="P22" s="57"/>
      <c r="Q22" s="57"/>
      <c r="R22" s="8">
        <f t="shared" si="2"/>
        <v>0.0052260256521739126</v>
      </c>
    </row>
    <row r="23" spans="1:18" ht="12.75">
      <c r="A23" s="56" t="s">
        <v>27</v>
      </c>
      <c r="B23" s="68" t="s">
        <v>112</v>
      </c>
      <c r="C23" s="68" t="s">
        <v>65</v>
      </c>
      <c r="D23" s="44">
        <f t="shared" si="1"/>
        <v>789497.64</v>
      </c>
      <c r="E23" s="58"/>
      <c r="F23" s="57"/>
      <c r="G23" s="57"/>
      <c r="H23" s="57"/>
      <c r="I23" s="57"/>
      <c r="J23" s="57"/>
      <c r="K23" s="58"/>
      <c r="L23" s="58"/>
      <c r="M23" s="58">
        <f>96350+610942.64+67737+14468</f>
        <v>789497.64</v>
      </c>
      <c r="N23" s="57"/>
      <c r="O23" s="57"/>
      <c r="P23" s="57"/>
      <c r="Q23" s="57"/>
      <c r="R23" s="8">
        <f t="shared" si="2"/>
        <v>0.006865196869565217</v>
      </c>
    </row>
    <row r="24" spans="1:18" ht="12.75">
      <c r="A24" s="56" t="s">
        <v>28</v>
      </c>
      <c r="B24" s="56" t="s">
        <v>70</v>
      </c>
      <c r="C24" s="68" t="s">
        <v>65</v>
      </c>
      <c r="D24" s="44">
        <f t="shared" si="1"/>
        <v>1084741.81</v>
      </c>
      <c r="E24" s="58"/>
      <c r="F24" s="57"/>
      <c r="G24" s="57"/>
      <c r="H24" s="57"/>
      <c r="I24" s="57"/>
      <c r="J24" s="57"/>
      <c r="K24" s="58"/>
      <c r="L24" s="58"/>
      <c r="M24" s="58"/>
      <c r="N24" s="58">
        <f>536000+507391.62+41350.19</f>
        <v>1084741.81</v>
      </c>
      <c r="O24" s="57"/>
      <c r="P24" s="57"/>
      <c r="Q24" s="57"/>
      <c r="R24" s="8">
        <f t="shared" si="2"/>
        <v>0.00943253747826087</v>
      </c>
    </row>
    <row r="25" spans="1:18" ht="12.75">
      <c r="A25" s="56" t="s">
        <v>28</v>
      </c>
      <c r="B25" s="56" t="s">
        <v>66</v>
      </c>
      <c r="C25" s="56" t="s">
        <v>68</v>
      </c>
      <c r="D25" s="44">
        <f t="shared" si="1"/>
        <v>572301.14</v>
      </c>
      <c r="E25" s="58"/>
      <c r="F25" s="57"/>
      <c r="G25" s="57"/>
      <c r="H25" s="57"/>
      <c r="I25" s="57"/>
      <c r="J25" s="57"/>
      <c r="K25" s="58"/>
      <c r="L25" s="58"/>
      <c r="M25" s="58"/>
      <c r="N25" s="58">
        <f>572301.14</f>
        <v>572301.14</v>
      </c>
      <c r="O25" s="57"/>
      <c r="P25" s="57"/>
      <c r="Q25" s="57"/>
      <c r="R25" s="8">
        <f t="shared" si="2"/>
        <v>0.004976531652173913</v>
      </c>
    </row>
    <row r="26" spans="1:18" ht="12.75">
      <c r="A26" s="56" t="s">
        <v>29</v>
      </c>
      <c r="B26" s="56" t="s">
        <v>73</v>
      </c>
      <c r="C26" s="68" t="s">
        <v>65</v>
      </c>
      <c r="D26" s="44">
        <f t="shared" si="1"/>
        <v>298887.60000000003</v>
      </c>
      <c r="E26" s="58"/>
      <c r="F26" s="57"/>
      <c r="G26" s="57"/>
      <c r="H26" s="57"/>
      <c r="I26" s="57"/>
      <c r="J26" s="57"/>
      <c r="K26" s="58"/>
      <c r="L26" s="58"/>
      <c r="M26" s="58"/>
      <c r="N26" s="57"/>
      <c r="O26" s="58">
        <f>294077.65+4809.95</f>
        <v>298887.60000000003</v>
      </c>
      <c r="P26" s="57"/>
      <c r="Q26" s="57"/>
      <c r="R26" s="8">
        <f t="shared" si="2"/>
        <v>0.0025990226086956524</v>
      </c>
    </row>
    <row r="27" spans="1:19" ht="12.75">
      <c r="A27" s="56" t="s">
        <v>30</v>
      </c>
      <c r="B27" s="56" t="s">
        <v>119</v>
      </c>
      <c r="C27" s="68" t="s">
        <v>65</v>
      </c>
      <c r="D27" s="44">
        <f t="shared" si="1"/>
        <v>111939.12</v>
      </c>
      <c r="E27" s="58"/>
      <c r="F27" s="57"/>
      <c r="G27" s="57"/>
      <c r="H27" s="57"/>
      <c r="I27" s="57"/>
      <c r="J27" s="57"/>
      <c r="K27" s="58"/>
      <c r="L27" s="58"/>
      <c r="M27" s="58"/>
      <c r="N27" s="57"/>
      <c r="O27" s="58"/>
      <c r="P27" s="58">
        <f>45489+18525.16+47924.96</f>
        <v>111939.12</v>
      </c>
      <c r="Q27" s="58"/>
      <c r="R27" s="8">
        <f t="shared" si="2"/>
        <v>0.000973383652173913</v>
      </c>
      <c r="S27" s="8">
        <f>SUM(R7:R27)</f>
        <v>0.2932791991304348</v>
      </c>
    </row>
    <row r="28" spans="1:18" ht="12.75">
      <c r="A28" s="2" t="s">
        <v>19</v>
      </c>
      <c r="B28" s="69" t="s">
        <v>93</v>
      </c>
      <c r="C28" s="59" t="s">
        <v>94</v>
      </c>
      <c r="D28" s="44">
        <f>SUM(E28:Q28)</f>
        <v>7763653.73</v>
      </c>
      <c r="E28" s="44">
        <f>7763653.73</f>
        <v>7763653.73</v>
      </c>
      <c r="R28" s="8">
        <f>D28/$D$5</f>
        <v>0.06751003243478261</v>
      </c>
    </row>
    <row r="29" spans="1:18" ht="12.75">
      <c r="A29" s="69" t="s">
        <v>19</v>
      </c>
      <c r="B29" s="69" t="s">
        <v>138</v>
      </c>
      <c r="C29" s="70" t="s">
        <v>105</v>
      </c>
      <c r="D29" s="44">
        <f>SUM(E29:Q29)</f>
        <v>22140.4</v>
      </c>
      <c r="E29" s="44">
        <f>8888+13252.4</f>
        <v>22140.4</v>
      </c>
      <c r="R29" s="8">
        <f>D29/$D$5</f>
        <v>0.00019252521739130437</v>
      </c>
    </row>
    <row r="30" spans="1:19" ht="12.75">
      <c r="A30" s="56" t="s">
        <v>19</v>
      </c>
      <c r="B30" s="68" t="s">
        <v>120</v>
      </c>
      <c r="C30" s="56" t="s">
        <v>88</v>
      </c>
      <c r="D30" s="44">
        <f t="shared" si="1"/>
        <v>3530544.42</v>
      </c>
      <c r="E30" s="58">
        <f>2533717.65+996826.77</f>
        <v>3530544.42</v>
      </c>
      <c r="F30" s="57"/>
      <c r="G30" s="57"/>
      <c r="H30" s="57"/>
      <c r="I30" s="57"/>
      <c r="J30" s="57"/>
      <c r="K30" s="58"/>
      <c r="L30" s="58"/>
      <c r="M30" s="58"/>
      <c r="N30" s="57"/>
      <c r="O30" s="58"/>
      <c r="P30" s="58"/>
      <c r="Q30" s="58"/>
      <c r="R30" s="8">
        <f t="shared" si="2"/>
        <v>0.030700386260869565</v>
      </c>
      <c r="S30" s="8"/>
    </row>
    <row r="31" spans="1:18" ht="12.75">
      <c r="A31" s="2" t="s">
        <v>19</v>
      </c>
      <c r="B31" s="69" t="s">
        <v>87</v>
      </c>
      <c r="C31" s="59" t="s">
        <v>89</v>
      </c>
      <c r="D31" s="44">
        <f t="shared" si="1"/>
        <v>4696282.54</v>
      </c>
      <c r="E31" s="44">
        <f>4696282.54</f>
        <v>4696282.54</v>
      </c>
      <c r="R31" s="8">
        <f t="shared" si="2"/>
        <v>0.04083723947826087</v>
      </c>
    </row>
    <row r="32" spans="1:18" ht="12.75">
      <c r="A32" s="69" t="s">
        <v>19</v>
      </c>
      <c r="B32" s="69" t="s">
        <v>85</v>
      </c>
      <c r="C32" s="70" t="s">
        <v>121</v>
      </c>
      <c r="D32" s="44">
        <f t="shared" si="1"/>
        <v>419922.48</v>
      </c>
      <c r="E32" s="44">
        <f>419922.48</f>
        <v>419922.48</v>
      </c>
      <c r="R32" s="8">
        <f t="shared" si="2"/>
        <v>0.0036514998260869565</v>
      </c>
    </row>
    <row r="33" spans="1:18" ht="12.75">
      <c r="A33" s="69" t="s">
        <v>20</v>
      </c>
      <c r="B33" s="69" t="s">
        <v>101</v>
      </c>
      <c r="C33" s="70" t="s">
        <v>102</v>
      </c>
      <c r="D33" s="44">
        <f t="shared" si="1"/>
        <v>1508220.24</v>
      </c>
      <c r="F33" s="44">
        <f>1508220.24</f>
        <v>1508220.24</v>
      </c>
      <c r="R33" s="8">
        <f t="shared" si="2"/>
        <v>0.013114958608695652</v>
      </c>
    </row>
    <row r="34" spans="1:18" ht="12.75">
      <c r="A34" s="69" t="s">
        <v>23</v>
      </c>
      <c r="B34" s="69" t="s">
        <v>95</v>
      </c>
      <c r="C34" s="70" t="s">
        <v>90</v>
      </c>
      <c r="D34" s="44">
        <f t="shared" si="1"/>
        <v>10508538.88</v>
      </c>
      <c r="I34" s="44">
        <f>9848534.4+660004.48</f>
        <v>10508538.88</v>
      </c>
      <c r="R34" s="8">
        <f t="shared" si="2"/>
        <v>0.09137859895652174</v>
      </c>
    </row>
    <row r="35" spans="1:18" ht="12.75">
      <c r="A35" s="2" t="s">
        <v>23</v>
      </c>
      <c r="B35" s="69" t="s">
        <v>136</v>
      </c>
      <c r="C35" s="70" t="s">
        <v>137</v>
      </c>
      <c r="D35" s="44">
        <f t="shared" si="1"/>
        <v>80139.45</v>
      </c>
      <c r="I35" s="44">
        <f>80139.45</f>
        <v>80139.45</v>
      </c>
      <c r="R35" s="8">
        <f t="shared" si="2"/>
        <v>0.0006968647826086957</v>
      </c>
    </row>
    <row r="36" spans="1:18" ht="12.75">
      <c r="A36" s="69" t="s">
        <v>27</v>
      </c>
      <c r="B36" s="69" t="s">
        <v>85</v>
      </c>
      <c r="C36" s="70" t="s">
        <v>86</v>
      </c>
      <c r="D36" s="44">
        <f t="shared" si="1"/>
        <v>10388218.82</v>
      </c>
      <c r="M36" s="44">
        <f>10388218.82</f>
        <v>10388218.82</v>
      </c>
      <c r="R36" s="8">
        <f t="shared" si="2"/>
        <v>0.0903323375652174</v>
      </c>
    </row>
    <row r="37" spans="1:18" ht="12.75">
      <c r="A37" s="69" t="s">
        <v>27</v>
      </c>
      <c r="B37" s="69" t="s">
        <v>133</v>
      </c>
      <c r="C37" s="70" t="s">
        <v>113</v>
      </c>
      <c r="D37" s="44">
        <f t="shared" si="1"/>
        <v>5991283.09</v>
      </c>
      <c r="M37" s="44">
        <f>1677081.6+4314201.49</f>
        <v>5991283.09</v>
      </c>
      <c r="R37" s="8">
        <f t="shared" si="2"/>
        <v>0.05209811382608696</v>
      </c>
    </row>
    <row r="38" spans="1:18" ht="12.75">
      <c r="A38" s="2" t="s">
        <v>28</v>
      </c>
      <c r="B38" s="69" t="s">
        <v>101</v>
      </c>
      <c r="C38" s="70" t="s">
        <v>103</v>
      </c>
      <c r="D38" s="44">
        <f t="shared" si="1"/>
        <v>1541622.58</v>
      </c>
      <c r="N38" s="44">
        <f>1541622.58</f>
        <v>1541622.58</v>
      </c>
      <c r="R38" s="8">
        <f t="shared" si="2"/>
        <v>0.013405413739130435</v>
      </c>
    </row>
    <row r="39" spans="1:18" ht="12.75">
      <c r="A39" s="2" t="s">
        <v>28</v>
      </c>
      <c r="B39" s="69" t="s">
        <v>87</v>
      </c>
      <c r="C39" s="70" t="s">
        <v>122</v>
      </c>
      <c r="D39" s="44">
        <f t="shared" si="1"/>
        <v>686.15</v>
      </c>
      <c r="N39" s="44">
        <f>686.15</f>
        <v>686.15</v>
      </c>
      <c r="R39" s="8">
        <f t="shared" si="2"/>
        <v>5.966521739130434E-06</v>
      </c>
    </row>
    <row r="40" spans="1:18" ht="12.75">
      <c r="A40" s="2" t="s">
        <v>29</v>
      </c>
      <c r="B40" s="69" t="s">
        <v>134</v>
      </c>
      <c r="C40" t="s">
        <v>92</v>
      </c>
      <c r="D40" s="44">
        <f>SUM(E40:Q40)</f>
        <v>5733002.869999999</v>
      </c>
      <c r="O40" s="44">
        <f>5671217.34+930.6+60854.93</f>
        <v>5733002.869999999</v>
      </c>
      <c r="R40" s="8">
        <f>D40/$D$5</f>
        <v>0.04985219886956521</v>
      </c>
    </row>
    <row r="41" spans="1:18" ht="12.75">
      <c r="A41" s="2" t="s">
        <v>29</v>
      </c>
      <c r="B41" s="69" t="s">
        <v>123</v>
      </c>
      <c r="C41" t="s">
        <v>135</v>
      </c>
      <c r="D41" s="44">
        <f>SUM(E41:Q41)</f>
        <v>2919409.1999999997</v>
      </c>
      <c r="O41" s="44">
        <f>2838867.17+45776.75+34765.28</f>
        <v>2919409.1999999997</v>
      </c>
      <c r="R41" s="8">
        <f>D41/$D$5</f>
        <v>0.025386166956521735</v>
      </c>
    </row>
    <row r="42" spans="1:18" ht="12.75">
      <c r="A42" s="2" t="s">
        <v>29</v>
      </c>
      <c r="B42" s="69" t="s">
        <v>95</v>
      </c>
      <c r="C42" t="s">
        <v>91</v>
      </c>
      <c r="D42" s="44">
        <f t="shared" si="1"/>
        <v>20212062.03</v>
      </c>
      <c r="O42" s="44">
        <f>17649472.64+2562589.39</f>
        <v>20212062.03</v>
      </c>
      <c r="R42" s="8">
        <f t="shared" si="2"/>
        <v>0.1757570611304348</v>
      </c>
    </row>
    <row r="43" spans="1:18" ht="12.75">
      <c r="A43" s="69" t="s">
        <v>29</v>
      </c>
      <c r="B43" s="69" t="s">
        <v>106</v>
      </c>
      <c r="C43" s="71" t="s">
        <v>107</v>
      </c>
      <c r="D43" s="44">
        <f>SUM(E43:Q43)</f>
        <v>2730.56</v>
      </c>
      <c r="O43" s="44">
        <f>2730.56</f>
        <v>2730.56</v>
      </c>
      <c r="R43" s="8">
        <f>D43/$D$5</f>
        <v>2.3744E-05</v>
      </c>
    </row>
    <row r="44" spans="1:19" ht="12.75">
      <c r="A44" s="69" t="s">
        <v>29</v>
      </c>
      <c r="B44" s="69" t="s">
        <v>97</v>
      </c>
      <c r="C44" s="71" t="s">
        <v>99</v>
      </c>
      <c r="D44" s="44">
        <f t="shared" si="1"/>
        <v>2555.03</v>
      </c>
      <c r="O44" s="44">
        <f>2555.03</f>
        <v>2555.03</v>
      </c>
      <c r="R44" s="8">
        <f t="shared" si="2"/>
        <v>2.2217652173913046E-05</v>
      </c>
      <c r="S44" s="8">
        <f>SUM(R28:R44)</f>
        <v>0.654965325826087</v>
      </c>
    </row>
    <row r="45" spans="1:19" ht="12.75">
      <c r="A45" s="2"/>
      <c r="B45" s="2"/>
      <c r="C45" s="71" t="s">
        <v>61</v>
      </c>
      <c r="D45" s="44">
        <f t="shared" si="1"/>
        <v>5951879.629999995</v>
      </c>
      <c r="Q45" s="44">
        <f>431186.96+115000000-109479307.33</f>
        <v>5951879.629999995</v>
      </c>
      <c r="R45" s="8">
        <f t="shared" si="2"/>
        <v>0.051755475043478216</v>
      </c>
      <c r="S45" s="8"/>
    </row>
    <row r="46" spans="5:18" ht="12.75"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spans="2:18" s="8" customFormat="1" ht="13.5" thickBot="1">
      <c r="B47" s="62"/>
      <c r="C47" s="63" t="s">
        <v>33</v>
      </c>
      <c r="D47" s="64">
        <f>SUM(E47:Q47)</f>
        <v>0.9999999999999999</v>
      </c>
      <c r="E47" s="65">
        <f>E5/D5</f>
        <v>0.3427454020869565</v>
      </c>
      <c r="F47" s="65">
        <f>F5/D5</f>
        <v>0.017761641826086957</v>
      </c>
      <c r="G47" s="65">
        <f>G5/D5</f>
        <v>0.00036578982608695653</v>
      </c>
      <c r="H47" s="65">
        <f>H5/D5</f>
        <v>0.019291602782608695</v>
      </c>
      <c r="I47" s="65">
        <f>I5/D5</f>
        <v>0.11843388573913043</v>
      </c>
      <c r="J47" s="65">
        <f>J5/D5</f>
        <v>0.0005441327826086956</v>
      </c>
      <c r="K47" s="65">
        <f>K5/D5</f>
        <v>0.007346307043478262</v>
      </c>
      <c r="L47" s="65">
        <f>L5/D5</f>
        <v>0.010025870347826085</v>
      </c>
      <c r="M47" s="65">
        <f>M5/D5</f>
        <v>0.14929564826086958</v>
      </c>
      <c r="N47" s="65">
        <f>N5/D5</f>
        <v>0.02782044939130435</v>
      </c>
      <c r="O47" s="65">
        <f>O5/D5</f>
        <v>0.2536404112173913</v>
      </c>
      <c r="P47" s="65">
        <f>P5/D5</f>
        <v>0.000973383652173913</v>
      </c>
      <c r="Q47" s="65">
        <f>Q5/D5</f>
        <v>0.051755475043478216</v>
      </c>
      <c r="R47" s="65">
        <f>SUM(R6:R46)</f>
        <v>1</v>
      </c>
    </row>
    <row r="48" spans="1:18" s="8" customFormat="1" ht="13.5" thickTop="1">
      <c r="A48" s="66"/>
      <c r="C48" s="63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</sheetData>
  <sheetProtection/>
  <printOptions/>
  <pageMargins left="0" right="0" top="0.75" bottom="0.75" header="0.3" footer="0.3"/>
  <pageSetup horizontalDpi="600" verticalDpi="600" orientation="landscape" paperSize="5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="166" zoomScaleNormal="166" zoomScalePageLayoutView="0" workbookViewId="0" topLeftCell="A1">
      <pane xSplit="3" ySplit="5" topLeftCell="O3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40" sqref="R40"/>
    </sheetView>
  </sheetViews>
  <sheetFormatPr defaultColWidth="8.7109375" defaultRowHeight="12.75"/>
  <cols>
    <col min="1" max="1" width="8.710937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7109375" style="44" customWidth="1"/>
    <col min="8" max="8" width="13.140625" style="44" customWidth="1"/>
    <col min="9" max="9" width="14.421875" style="44" customWidth="1"/>
    <col min="10" max="10" width="10.00390625" style="44" customWidth="1"/>
    <col min="11" max="11" width="12.421875" style="44" customWidth="1"/>
    <col min="12" max="12" width="11.7109375" style="44" customWidth="1"/>
    <col min="13" max="13" width="13.00390625" style="44" customWidth="1"/>
    <col min="14" max="14" width="13.140625" style="44" customWidth="1"/>
    <col min="15" max="15" width="13.00390625" style="44" customWidth="1"/>
    <col min="16" max="16" width="14.421875" style="44" customWidth="1"/>
    <col min="17" max="17" width="10.421875" style="44" customWidth="1"/>
    <col min="18" max="18" width="11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145</v>
      </c>
      <c r="K4" s="49" t="s">
        <v>24</v>
      </c>
      <c r="L4" s="49" t="s">
        <v>25</v>
      </c>
      <c r="M4" s="49" t="s">
        <v>26</v>
      </c>
      <c r="N4" s="49" t="s">
        <v>27</v>
      </c>
      <c r="O4" s="49" t="s">
        <v>28</v>
      </c>
      <c r="P4" s="49" t="s">
        <v>29</v>
      </c>
      <c r="Q4" s="49" t="s">
        <v>30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123755494.13000001</v>
      </c>
      <c r="E5" s="52">
        <f aca="true" t="shared" si="0" ref="E5:Q5">SUM(E6:E50)</f>
        <v>41609731.53999999</v>
      </c>
      <c r="F5" s="52">
        <f t="shared" si="0"/>
        <v>2042588.81</v>
      </c>
      <c r="G5" s="52">
        <f t="shared" si="0"/>
        <v>42065.83</v>
      </c>
      <c r="H5" s="52">
        <f t="shared" si="0"/>
        <v>2286530.43</v>
      </c>
      <c r="I5" s="52">
        <f t="shared" si="0"/>
        <v>14130910.780000001</v>
      </c>
      <c r="J5" s="52">
        <f t="shared" si="0"/>
        <v>1180.17</v>
      </c>
      <c r="K5" s="52">
        <f t="shared" si="0"/>
        <v>472565.65</v>
      </c>
      <c r="L5" s="52">
        <f t="shared" si="0"/>
        <v>846381.1100000001</v>
      </c>
      <c r="M5" s="52">
        <f t="shared" si="0"/>
        <v>1243463.72</v>
      </c>
      <c r="N5" s="52">
        <f t="shared" si="0"/>
        <v>23798120.240000002</v>
      </c>
      <c r="O5" s="52">
        <f t="shared" si="0"/>
        <v>3165102.53</v>
      </c>
      <c r="P5" s="52">
        <f t="shared" si="0"/>
        <v>33859716.7</v>
      </c>
      <c r="Q5" s="52">
        <f t="shared" si="0"/>
        <v>257136.62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148</v>
      </c>
      <c r="C7" s="68" t="s">
        <v>65</v>
      </c>
      <c r="D7" s="44">
        <f aca="true" t="shared" si="1" ref="D7:D49">SUM(E7:Q7)</f>
        <v>12623848.09</v>
      </c>
      <c r="E7" s="58">
        <f>194905.04+7300000+5128943.05</f>
        <v>12623848.09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0.10200636487895375</v>
      </c>
    </row>
    <row r="8" spans="1:18" ht="12.75">
      <c r="A8" s="68" t="s">
        <v>19</v>
      </c>
      <c r="B8" s="68" t="s">
        <v>118</v>
      </c>
      <c r="C8" s="68" t="s">
        <v>67</v>
      </c>
      <c r="D8" s="44">
        <f t="shared" si="1"/>
        <v>942392.5599999999</v>
      </c>
      <c r="E8" s="58">
        <f>235771.07+444747.89+261873.6</f>
        <v>942392.5599999999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0.0076149553328925795</v>
      </c>
    </row>
    <row r="9" spans="1:18" ht="12.75">
      <c r="A9" s="56" t="s">
        <v>19</v>
      </c>
      <c r="B9" s="68" t="s">
        <v>64</v>
      </c>
      <c r="C9" s="56" t="s">
        <v>63</v>
      </c>
      <c r="D9" s="44">
        <f t="shared" si="1"/>
        <v>9676071.5</v>
      </c>
      <c r="E9" s="58">
        <f>9676071.5</f>
        <v>9676071.5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0.07818700549840388</v>
      </c>
    </row>
    <row r="10" spans="1:18" ht="12.75">
      <c r="A10" s="56" t="s">
        <v>20</v>
      </c>
      <c r="B10" s="68" t="s">
        <v>153</v>
      </c>
      <c r="C10" s="68" t="s">
        <v>65</v>
      </c>
      <c r="D10" s="44">
        <f t="shared" si="1"/>
        <v>503773.48999999993</v>
      </c>
      <c r="E10" s="58"/>
      <c r="F10" s="58">
        <f>13390+36926.03+184961.16+89262.15+49881.91+70720.87+18478.54+8437.42+24575.41+7140</f>
        <v>503773.48999999993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 aca="true" t="shared" si="2" ref="R10:R49">D10/$D$5</f>
        <v>0.004070716161262358</v>
      </c>
    </row>
    <row r="11" spans="1:18" ht="12.75">
      <c r="A11" s="56" t="s">
        <v>20</v>
      </c>
      <c r="B11" s="68" t="s">
        <v>83</v>
      </c>
      <c r="C11" s="56" t="s">
        <v>71</v>
      </c>
      <c r="D11" s="44">
        <f t="shared" si="1"/>
        <v>30595.08</v>
      </c>
      <c r="E11" s="58"/>
      <c r="F11" s="58">
        <f>30595.08</f>
        <v>30595.08</v>
      </c>
      <c r="G11" s="58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 t="shared" si="2"/>
        <v>0.00024722199377961464</v>
      </c>
    </row>
    <row r="12" spans="1:18" ht="12.75">
      <c r="A12" s="56" t="s">
        <v>21</v>
      </c>
      <c r="B12" s="68" t="s">
        <v>84</v>
      </c>
      <c r="C12" s="56" t="s">
        <v>71</v>
      </c>
      <c r="D12" s="44">
        <f t="shared" si="1"/>
        <v>42065.83</v>
      </c>
      <c r="E12" s="58"/>
      <c r="F12" s="58"/>
      <c r="G12" s="58">
        <f>42065.83</f>
        <v>42065.83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t="shared" si="2"/>
        <v>0.00033991080796632423</v>
      </c>
    </row>
    <row r="13" spans="1:18" ht="12.75">
      <c r="A13" s="56" t="s">
        <v>22</v>
      </c>
      <c r="B13" s="68" t="s">
        <v>129</v>
      </c>
      <c r="C13" s="68" t="s">
        <v>65</v>
      </c>
      <c r="D13" s="44">
        <f t="shared" si="1"/>
        <v>2220361.07</v>
      </c>
      <c r="E13" s="58"/>
      <c r="F13" s="58"/>
      <c r="G13" s="57"/>
      <c r="H13" s="58">
        <f>637427.17+564739+641430.27+376764.63</f>
        <v>2220361.07</v>
      </c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0.017941515127139346</v>
      </c>
    </row>
    <row r="14" spans="1:18" ht="12.75">
      <c r="A14" s="56" t="s">
        <v>22</v>
      </c>
      <c r="B14" s="68" t="s">
        <v>142</v>
      </c>
      <c r="C14" s="68" t="s">
        <v>143</v>
      </c>
      <c r="D14" s="44">
        <f t="shared" si="1"/>
        <v>3442.39</v>
      </c>
      <c r="E14" s="58"/>
      <c r="F14" s="58"/>
      <c r="G14" s="57"/>
      <c r="H14" s="58">
        <f>3442.39</f>
        <v>3442.39</v>
      </c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2.781605797948584E-05</v>
      </c>
    </row>
    <row r="15" spans="1:18" ht="12.75">
      <c r="A15" s="56" t="s">
        <v>22</v>
      </c>
      <c r="B15" s="68" t="s">
        <v>142</v>
      </c>
      <c r="C15" s="68" t="s">
        <v>144</v>
      </c>
      <c r="D15" s="44">
        <f t="shared" si="1"/>
        <v>51347.72</v>
      </c>
      <c r="E15" s="58"/>
      <c r="F15" s="58"/>
      <c r="G15" s="57"/>
      <c r="H15" s="58">
        <f>51347.72</f>
        <v>51347.72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 t="shared" si="2"/>
        <v>0.0004149126498259653</v>
      </c>
    </row>
    <row r="16" spans="1:18" ht="12.75">
      <c r="A16" s="56" t="s">
        <v>22</v>
      </c>
      <c r="B16" s="68" t="s">
        <v>132</v>
      </c>
      <c r="C16" s="68" t="s">
        <v>71</v>
      </c>
      <c r="D16" s="44">
        <f t="shared" si="1"/>
        <v>11379.25</v>
      </c>
      <c r="E16" s="58"/>
      <c r="F16" s="58"/>
      <c r="G16" s="57"/>
      <c r="H16" s="58">
        <f>11379.25</f>
        <v>11379.25</v>
      </c>
      <c r="I16" s="57"/>
      <c r="J16" s="57"/>
      <c r="K16" s="57"/>
      <c r="L16" s="57"/>
      <c r="M16" s="57"/>
      <c r="N16" s="57"/>
      <c r="O16" s="57"/>
      <c r="P16" s="57"/>
      <c r="Q16" s="57"/>
      <c r="R16" s="8">
        <f t="shared" si="2"/>
        <v>9.194945307273849E-05</v>
      </c>
    </row>
    <row r="17" spans="1:18" ht="12.75">
      <c r="A17" s="56" t="s">
        <v>23</v>
      </c>
      <c r="B17" s="68" t="s">
        <v>116</v>
      </c>
      <c r="C17" s="68" t="s">
        <v>65</v>
      </c>
      <c r="D17" s="44">
        <f t="shared" si="1"/>
        <v>1792834.58</v>
      </c>
      <c r="E17" s="58"/>
      <c r="F17" s="58"/>
      <c r="G17" s="57"/>
      <c r="H17" s="58"/>
      <c r="I17" s="58">
        <f>340834.58+1452000</f>
        <v>1792834.58</v>
      </c>
      <c r="J17" s="58"/>
      <c r="K17" s="57"/>
      <c r="L17" s="57"/>
      <c r="M17" s="57"/>
      <c r="N17" s="57"/>
      <c r="O17" s="57"/>
      <c r="P17" s="57"/>
      <c r="Q17" s="57"/>
      <c r="R17" s="8">
        <f t="shared" si="2"/>
        <v>0.01448690898617157</v>
      </c>
    </row>
    <row r="18" spans="1:18" ht="12.75">
      <c r="A18" s="68" t="s">
        <v>23</v>
      </c>
      <c r="B18" s="68" t="s">
        <v>77</v>
      </c>
      <c r="C18" s="68" t="s">
        <v>78</v>
      </c>
      <c r="D18" s="44">
        <f t="shared" si="1"/>
        <v>5989.98</v>
      </c>
      <c r="E18" s="58"/>
      <c r="F18" s="58"/>
      <c r="G18" s="57"/>
      <c r="H18" s="58"/>
      <c r="I18" s="58">
        <f>5989.98</f>
        <v>5989.98</v>
      </c>
      <c r="J18" s="58"/>
      <c r="K18" s="57"/>
      <c r="L18" s="57"/>
      <c r="M18" s="57"/>
      <c r="N18" s="57"/>
      <c r="O18" s="57"/>
      <c r="P18" s="57"/>
      <c r="Q18" s="57"/>
      <c r="R18" s="8">
        <f t="shared" si="2"/>
        <v>4.840172989578769E-05</v>
      </c>
    </row>
    <row r="19" spans="1:18" ht="12.75">
      <c r="A19" s="68" t="s">
        <v>23</v>
      </c>
      <c r="B19" s="68" t="s">
        <v>126</v>
      </c>
      <c r="C19" s="68" t="s">
        <v>127</v>
      </c>
      <c r="D19" s="44">
        <f t="shared" si="1"/>
        <v>1519594.09</v>
      </c>
      <c r="E19" s="58"/>
      <c r="F19" s="58"/>
      <c r="G19" s="57"/>
      <c r="H19" s="58"/>
      <c r="I19" s="58">
        <f>1519594.09</f>
        <v>1519594.09</v>
      </c>
      <c r="J19" s="58"/>
      <c r="K19" s="57"/>
      <c r="L19" s="57"/>
      <c r="M19" s="57"/>
      <c r="N19" s="57"/>
      <c r="O19" s="57"/>
      <c r="P19" s="57"/>
      <c r="Q19" s="57"/>
      <c r="R19" s="8">
        <f t="shared" si="2"/>
        <v>0.012279003050997717</v>
      </c>
    </row>
    <row r="20" spans="1:18" ht="12.75">
      <c r="A20" s="56" t="s">
        <v>24</v>
      </c>
      <c r="B20" s="68" t="s">
        <v>119</v>
      </c>
      <c r="C20" s="68" t="s">
        <v>65</v>
      </c>
      <c r="D20" s="44">
        <f t="shared" si="1"/>
        <v>447969.26</v>
      </c>
      <c r="E20" s="58"/>
      <c r="F20" s="58"/>
      <c r="G20" s="57"/>
      <c r="H20" s="58"/>
      <c r="I20" s="57"/>
      <c r="J20" s="57"/>
      <c r="K20" s="58">
        <f>2937.02+317000+128032.24</f>
        <v>447969.26</v>
      </c>
      <c r="L20" s="57"/>
      <c r="M20" s="57"/>
      <c r="N20" s="57"/>
      <c r="O20" s="57"/>
      <c r="P20" s="57"/>
      <c r="Q20" s="57"/>
      <c r="R20" s="8">
        <f t="shared" si="2"/>
        <v>0.003619792908179308</v>
      </c>
    </row>
    <row r="21" spans="1:18" ht="12.75">
      <c r="A21" s="56" t="s">
        <v>24</v>
      </c>
      <c r="B21" s="68" t="s">
        <v>152</v>
      </c>
      <c r="C21" s="56" t="s">
        <v>71</v>
      </c>
      <c r="D21" s="44">
        <f t="shared" si="1"/>
        <v>24596.39</v>
      </c>
      <c r="E21" s="58"/>
      <c r="F21" s="58"/>
      <c r="G21" s="57"/>
      <c r="H21" s="58"/>
      <c r="I21" s="57"/>
      <c r="J21" s="57"/>
      <c r="K21" s="58">
        <f>184.52+18204.73+6207.14</f>
        <v>24596.39</v>
      </c>
      <c r="L21" s="57"/>
      <c r="M21" s="57"/>
      <c r="N21" s="57"/>
      <c r="O21" s="57"/>
      <c r="P21" s="57"/>
      <c r="Q21" s="57"/>
      <c r="R21" s="8">
        <f t="shared" si="2"/>
        <v>0.00019874988317013638</v>
      </c>
    </row>
    <row r="22" spans="1:18" ht="12.75">
      <c r="A22" s="56" t="s">
        <v>145</v>
      </c>
      <c r="B22" s="68" t="s">
        <v>146</v>
      </c>
      <c r="C22" s="68" t="s">
        <v>147</v>
      </c>
      <c r="D22" s="44">
        <f t="shared" si="1"/>
        <v>1180.17</v>
      </c>
      <c r="E22" s="58"/>
      <c r="F22" s="58"/>
      <c r="G22" s="57"/>
      <c r="H22" s="58"/>
      <c r="I22" s="57"/>
      <c r="J22" s="58">
        <v>1180.17</v>
      </c>
      <c r="K22" s="58"/>
      <c r="L22" s="57"/>
      <c r="M22" s="57"/>
      <c r="N22" s="57"/>
      <c r="O22" s="57"/>
      <c r="P22" s="57"/>
      <c r="Q22" s="57"/>
      <c r="R22" s="8">
        <f t="shared" si="2"/>
        <v>9.536303889347171E-06</v>
      </c>
    </row>
    <row r="23" spans="1:18" ht="12.75">
      <c r="A23" s="56" t="s">
        <v>25</v>
      </c>
      <c r="B23" s="68" t="s">
        <v>130</v>
      </c>
      <c r="C23" s="68" t="s">
        <v>65</v>
      </c>
      <c r="D23" s="44">
        <f t="shared" si="1"/>
        <v>824692.7200000001</v>
      </c>
      <c r="E23" s="58"/>
      <c r="F23" s="58"/>
      <c r="G23" s="57"/>
      <c r="H23" s="58"/>
      <c r="I23" s="57"/>
      <c r="J23" s="57"/>
      <c r="K23" s="58"/>
      <c r="L23" s="58">
        <f>144688.18+159826.61+78156.58+12202.63+305523.09+123763.1+532.53</f>
        <v>824692.7200000001</v>
      </c>
      <c r="M23" s="57"/>
      <c r="N23" s="57"/>
      <c r="O23" s="57"/>
      <c r="P23" s="57"/>
      <c r="Q23" s="57"/>
      <c r="R23" s="8">
        <f t="shared" si="2"/>
        <v>0.006663887739268324</v>
      </c>
    </row>
    <row r="24" spans="1:18" ht="12.75">
      <c r="A24" s="56" t="s">
        <v>25</v>
      </c>
      <c r="B24" s="56" t="s">
        <v>80</v>
      </c>
      <c r="C24" s="56" t="s">
        <v>81</v>
      </c>
      <c r="D24" s="44">
        <f t="shared" si="1"/>
        <v>21688.39</v>
      </c>
      <c r="E24" s="58"/>
      <c r="F24" s="57"/>
      <c r="G24" s="57"/>
      <c r="H24" s="57"/>
      <c r="I24" s="57"/>
      <c r="J24" s="57"/>
      <c r="K24" s="57"/>
      <c r="L24" s="58">
        <f>21688.39</f>
        <v>21688.39</v>
      </c>
      <c r="M24" s="57"/>
      <c r="N24" s="57"/>
      <c r="O24" s="57"/>
      <c r="P24" s="57"/>
      <c r="Q24" s="57"/>
      <c r="R24" s="8">
        <f t="shared" si="2"/>
        <v>0.0001752519365097217</v>
      </c>
    </row>
    <row r="25" spans="1:18" ht="12.75">
      <c r="A25" s="56" t="s">
        <v>26</v>
      </c>
      <c r="B25" s="68" t="s">
        <v>131</v>
      </c>
      <c r="C25" s="68" t="s">
        <v>65</v>
      </c>
      <c r="D25" s="44">
        <f t="shared" si="1"/>
        <v>642470.77</v>
      </c>
      <c r="E25" s="58"/>
      <c r="F25" s="57"/>
      <c r="G25" s="57"/>
      <c r="H25" s="57"/>
      <c r="I25" s="57"/>
      <c r="J25" s="57"/>
      <c r="K25" s="57"/>
      <c r="L25" s="58"/>
      <c r="M25" s="58">
        <f>274238.46+309000+59232.31</f>
        <v>642470.77</v>
      </c>
      <c r="N25" s="57"/>
      <c r="O25" s="57"/>
      <c r="P25" s="57"/>
      <c r="Q25" s="57"/>
      <c r="R25" s="8">
        <f t="shared" si="2"/>
        <v>0.005191452504929689</v>
      </c>
    </row>
    <row r="26" spans="1:18" ht="12.75">
      <c r="A26" s="56" t="s">
        <v>26</v>
      </c>
      <c r="B26" s="56" t="s">
        <v>74</v>
      </c>
      <c r="C26" s="56" t="s">
        <v>71</v>
      </c>
      <c r="D26" s="44">
        <f t="shared" si="1"/>
        <v>600992.95</v>
      </c>
      <c r="E26" s="58"/>
      <c r="F26" s="57"/>
      <c r="G26" s="57"/>
      <c r="H26" s="57"/>
      <c r="I26" s="57"/>
      <c r="J26" s="57"/>
      <c r="K26" s="57"/>
      <c r="L26" s="58"/>
      <c r="M26" s="58">
        <f>425919.2+175073.75</f>
        <v>600992.95</v>
      </c>
      <c r="N26" s="57"/>
      <c r="O26" s="57"/>
      <c r="P26" s="57"/>
      <c r="Q26" s="57"/>
      <c r="R26" s="8">
        <f t="shared" si="2"/>
        <v>0.004856293081975672</v>
      </c>
    </row>
    <row r="27" spans="1:18" ht="12.75">
      <c r="A27" s="56" t="s">
        <v>27</v>
      </c>
      <c r="B27" s="68" t="s">
        <v>151</v>
      </c>
      <c r="C27" s="68" t="s">
        <v>65</v>
      </c>
      <c r="D27" s="44">
        <f t="shared" si="1"/>
        <v>916943.69</v>
      </c>
      <c r="E27" s="58"/>
      <c r="F27" s="57"/>
      <c r="G27" s="57"/>
      <c r="H27" s="57"/>
      <c r="I27" s="57"/>
      <c r="J27" s="57"/>
      <c r="K27" s="57"/>
      <c r="L27" s="58"/>
      <c r="M27" s="58"/>
      <c r="N27" s="58">
        <f>36199.86+96350+611741.64+49097+67737+41350.19+14468</f>
        <v>916943.69</v>
      </c>
      <c r="O27" s="57"/>
      <c r="P27" s="57"/>
      <c r="Q27" s="57"/>
      <c r="R27" s="8">
        <f t="shared" si="2"/>
        <v>0.007409317028275033</v>
      </c>
    </row>
    <row r="28" spans="1:18" ht="12.75">
      <c r="A28" s="56" t="s">
        <v>28</v>
      </c>
      <c r="B28" s="56" t="s">
        <v>70</v>
      </c>
      <c r="C28" s="68" t="s">
        <v>65</v>
      </c>
      <c r="D28" s="44">
        <f t="shared" si="1"/>
        <v>1050492.66</v>
      </c>
      <c r="E28" s="58"/>
      <c r="F28" s="57"/>
      <c r="G28" s="57"/>
      <c r="H28" s="57"/>
      <c r="I28" s="57"/>
      <c r="J28" s="57"/>
      <c r="K28" s="57"/>
      <c r="L28" s="58"/>
      <c r="M28" s="58"/>
      <c r="N28" s="58"/>
      <c r="O28" s="58">
        <f>536000+514492.66</f>
        <v>1050492.66</v>
      </c>
      <c r="P28" s="57"/>
      <c r="Q28" s="57"/>
      <c r="R28" s="8">
        <f t="shared" si="2"/>
        <v>0.008488452713836697</v>
      </c>
    </row>
    <row r="29" spans="1:18" ht="12.75">
      <c r="A29" s="56" t="s">
        <v>28</v>
      </c>
      <c r="B29" s="56" t="s">
        <v>66</v>
      </c>
      <c r="C29" s="56" t="s">
        <v>68</v>
      </c>
      <c r="D29" s="44">
        <f t="shared" si="1"/>
        <v>572301.14</v>
      </c>
      <c r="E29" s="58"/>
      <c r="F29" s="57"/>
      <c r="G29" s="57"/>
      <c r="H29" s="57"/>
      <c r="I29" s="57"/>
      <c r="J29" s="57"/>
      <c r="K29" s="57"/>
      <c r="L29" s="58"/>
      <c r="M29" s="58"/>
      <c r="N29" s="58"/>
      <c r="O29" s="58">
        <f>572301.14</f>
        <v>572301.14</v>
      </c>
      <c r="P29" s="57"/>
      <c r="Q29" s="57"/>
      <c r="R29" s="8">
        <f t="shared" si="2"/>
        <v>0.00462445036499811</v>
      </c>
    </row>
    <row r="30" spans="1:18" ht="12.75">
      <c r="A30" s="56" t="s">
        <v>29</v>
      </c>
      <c r="B30" s="68" t="s">
        <v>150</v>
      </c>
      <c r="C30" s="68" t="s">
        <v>65</v>
      </c>
      <c r="D30" s="44">
        <f t="shared" si="1"/>
        <v>868914.33</v>
      </c>
      <c r="E30" s="58"/>
      <c r="F30" s="57"/>
      <c r="G30" s="57"/>
      <c r="H30" s="57"/>
      <c r="I30" s="57"/>
      <c r="J30" s="57"/>
      <c r="K30" s="57"/>
      <c r="L30" s="58"/>
      <c r="M30" s="58"/>
      <c r="N30" s="58"/>
      <c r="O30" s="57"/>
      <c r="P30" s="58">
        <f>410335.12+453769.26+4809.95</f>
        <v>868914.33</v>
      </c>
      <c r="Q30" s="57"/>
      <c r="R30" s="8">
        <f t="shared" si="2"/>
        <v>0.007021218218297779</v>
      </c>
    </row>
    <row r="31" spans="1:19" ht="12.75">
      <c r="A31" s="56" t="s">
        <v>30</v>
      </c>
      <c r="B31" s="68" t="s">
        <v>149</v>
      </c>
      <c r="C31" s="68" t="s">
        <v>65</v>
      </c>
      <c r="D31" s="44">
        <f t="shared" si="1"/>
        <v>257136.62</v>
      </c>
      <c r="E31" s="58"/>
      <c r="F31" s="57"/>
      <c r="G31" s="57"/>
      <c r="H31" s="57"/>
      <c r="I31" s="57"/>
      <c r="J31" s="57"/>
      <c r="K31" s="57"/>
      <c r="L31" s="58"/>
      <c r="M31" s="58"/>
      <c r="N31" s="58"/>
      <c r="O31" s="57"/>
      <c r="P31" s="58"/>
      <c r="Q31" s="58">
        <f>13371.5+177315+18525.16+47924.96</f>
        <v>257136.62</v>
      </c>
      <c r="R31" s="8">
        <f t="shared" si="2"/>
        <v>0.002077779429573354</v>
      </c>
      <c r="S31" s="8">
        <f>SUM(R7:R31)</f>
        <v>0.2880928638412442</v>
      </c>
    </row>
    <row r="32" spans="1:18" ht="12.75">
      <c r="A32" s="2" t="s">
        <v>19</v>
      </c>
      <c r="B32" s="69" t="s">
        <v>93</v>
      </c>
      <c r="C32" s="59" t="s">
        <v>94</v>
      </c>
      <c r="D32" s="44">
        <f t="shared" si="1"/>
        <v>7826920.79</v>
      </c>
      <c r="E32" s="44">
        <f>7826920.79</f>
        <v>7826920.79</v>
      </c>
      <c r="R32" s="8">
        <f>D32/$D$5</f>
        <v>0.06324503687713569</v>
      </c>
    </row>
    <row r="33" spans="1:18" ht="12.75">
      <c r="A33" s="69" t="s">
        <v>19</v>
      </c>
      <c r="B33" s="69" t="s">
        <v>138</v>
      </c>
      <c r="C33" s="70" t="s">
        <v>105</v>
      </c>
      <c r="D33" s="44">
        <f t="shared" si="1"/>
        <v>22140.4</v>
      </c>
      <c r="E33" s="44">
        <f>8888+13252.4</f>
        <v>22140.4</v>
      </c>
      <c r="R33" s="8">
        <f>D33/$D$5</f>
        <v>0.00017890438041273893</v>
      </c>
    </row>
    <row r="34" spans="1:19" ht="12.75">
      <c r="A34" s="56" t="s">
        <v>19</v>
      </c>
      <c r="B34" s="68" t="s">
        <v>154</v>
      </c>
      <c r="C34" s="56" t="s">
        <v>88</v>
      </c>
      <c r="D34" s="44">
        <f t="shared" si="1"/>
        <v>4151357.57</v>
      </c>
      <c r="E34" s="58">
        <f>154530.8+3000000+996826.77</f>
        <v>4151357.57</v>
      </c>
      <c r="F34" s="57"/>
      <c r="G34" s="57"/>
      <c r="H34" s="57"/>
      <c r="I34" s="57"/>
      <c r="J34" s="57"/>
      <c r="K34" s="57"/>
      <c r="L34" s="58"/>
      <c r="M34" s="58"/>
      <c r="N34" s="58"/>
      <c r="O34" s="57"/>
      <c r="P34" s="58"/>
      <c r="Q34" s="58"/>
      <c r="R34" s="8">
        <f t="shared" si="2"/>
        <v>0.03354483450762332</v>
      </c>
      <c r="S34" s="8"/>
    </row>
    <row r="35" spans="1:18" ht="12.75">
      <c r="A35" s="2" t="s">
        <v>19</v>
      </c>
      <c r="B35" s="69" t="s">
        <v>87</v>
      </c>
      <c r="C35" s="59" t="s">
        <v>89</v>
      </c>
      <c r="D35" s="44">
        <f t="shared" si="1"/>
        <v>5947078.15</v>
      </c>
      <c r="E35" s="44">
        <f>5947078.15</f>
        <v>5947078.15</v>
      </c>
      <c r="R35" s="8">
        <f t="shared" si="2"/>
        <v>0.048055063670569984</v>
      </c>
    </row>
    <row r="36" spans="1:18" ht="12.75">
      <c r="A36" s="69" t="s">
        <v>19</v>
      </c>
      <c r="B36" s="69" t="s">
        <v>85</v>
      </c>
      <c r="C36" s="70" t="s">
        <v>121</v>
      </c>
      <c r="D36" s="44">
        <f t="shared" si="1"/>
        <v>419922.48</v>
      </c>
      <c r="E36" s="44">
        <f>419922.48</f>
        <v>419922.48</v>
      </c>
      <c r="R36" s="8">
        <f t="shared" si="2"/>
        <v>0.0033931623234350213</v>
      </c>
    </row>
    <row r="37" spans="1:18" ht="12.75">
      <c r="A37" s="69" t="s">
        <v>20</v>
      </c>
      <c r="B37" s="69" t="s">
        <v>101</v>
      </c>
      <c r="C37" s="70" t="s">
        <v>102</v>
      </c>
      <c r="D37" s="44">
        <f t="shared" si="1"/>
        <v>1508220.24</v>
      </c>
      <c r="F37" s="44">
        <f>1508220.24</f>
        <v>1508220.24</v>
      </c>
      <c r="R37" s="8">
        <f t="shared" si="2"/>
        <v>0.012187097232351375</v>
      </c>
    </row>
    <row r="38" spans="1:18" ht="12.75">
      <c r="A38" s="69" t="s">
        <v>23</v>
      </c>
      <c r="B38" s="69" t="s">
        <v>95</v>
      </c>
      <c r="C38" s="70" t="s">
        <v>90</v>
      </c>
      <c r="D38" s="44">
        <f t="shared" si="1"/>
        <v>10706138.120000001</v>
      </c>
      <c r="I38" s="44">
        <f>10046133.64+660004.48</f>
        <v>10706138.120000001</v>
      </c>
      <c r="R38" s="8">
        <f t="shared" si="2"/>
        <v>0.0865104066309464</v>
      </c>
    </row>
    <row r="39" spans="1:18" ht="12.75">
      <c r="A39" s="2" t="s">
        <v>23</v>
      </c>
      <c r="B39" s="69" t="s">
        <v>136</v>
      </c>
      <c r="C39" s="70" t="s">
        <v>137</v>
      </c>
      <c r="D39" s="44">
        <f t="shared" si="1"/>
        <v>80139.45</v>
      </c>
      <c r="I39" s="44">
        <f>80139.45</f>
        <v>80139.45</v>
      </c>
      <c r="R39" s="8">
        <f t="shared" si="2"/>
        <v>0.000647562765300883</v>
      </c>
    </row>
    <row r="40" spans="1:18" ht="12.75">
      <c r="A40" s="69" t="s">
        <v>23</v>
      </c>
      <c r="B40" s="69" t="s">
        <v>155</v>
      </c>
      <c r="C40" s="70" t="s">
        <v>156</v>
      </c>
      <c r="D40" s="44">
        <f t="shared" si="1"/>
        <v>26214.56</v>
      </c>
      <c r="I40" s="44">
        <f>26214.56</f>
        <v>26214.56</v>
      </c>
      <c r="R40" s="8">
        <f t="shared" si="2"/>
        <v>0.00021182542386734518</v>
      </c>
    </row>
    <row r="41" spans="1:18" ht="12.75">
      <c r="A41" s="69" t="s">
        <v>27</v>
      </c>
      <c r="B41" s="69" t="s">
        <v>85</v>
      </c>
      <c r="C41" s="70" t="s">
        <v>86</v>
      </c>
      <c r="D41" s="44">
        <f t="shared" si="1"/>
        <v>16576413.36</v>
      </c>
      <c r="N41" s="44">
        <f>16576413.36</f>
        <v>16576413.36</v>
      </c>
      <c r="R41" s="8">
        <f t="shared" si="2"/>
        <v>0.13394486827863306</v>
      </c>
    </row>
    <row r="42" spans="1:18" ht="12.75">
      <c r="A42" s="69" t="s">
        <v>27</v>
      </c>
      <c r="B42" s="69" t="s">
        <v>133</v>
      </c>
      <c r="C42" s="70" t="s">
        <v>113</v>
      </c>
      <c r="D42" s="44">
        <f t="shared" si="1"/>
        <v>6304763.19</v>
      </c>
      <c r="N42" s="44">
        <f>1990561.7+4314201.49</f>
        <v>6304763.19</v>
      </c>
      <c r="R42" s="8">
        <f t="shared" si="2"/>
        <v>0.05094531951346829</v>
      </c>
    </row>
    <row r="43" spans="1:18" ht="12.75">
      <c r="A43" s="2" t="s">
        <v>28</v>
      </c>
      <c r="B43" s="69" t="s">
        <v>101</v>
      </c>
      <c r="C43" s="70" t="s">
        <v>103</v>
      </c>
      <c r="D43" s="44">
        <f t="shared" si="1"/>
        <v>1541622.58</v>
      </c>
      <c r="O43" s="44">
        <f>1541622.58</f>
        <v>1541622.58</v>
      </c>
      <c r="R43" s="8">
        <f t="shared" si="2"/>
        <v>0.012457003148325598</v>
      </c>
    </row>
    <row r="44" spans="1:18" ht="12.75">
      <c r="A44" s="2" t="s">
        <v>28</v>
      </c>
      <c r="B44" s="69" t="s">
        <v>87</v>
      </c>
      <c r="C44" s="70" t="s">
        <v>122</v>
      </c>
      <c r="D44" s="44">
        <f t="shared" si="1"/>
        <v>686.15</v>
      </c>
      <c r="O44" s="44">
        <f>686.15</f>
        <v>686.15</v>
      </c>
      <c r="R44" s="8">
        <f t="shared" si="2"/>
        <v>5.5444003098499035E-06</v>
      </c>
    </row>
    <row r="45" spans="1:18" ht="12.75">
      <c r="A45" s="2" t="s">
        <v>29</v>
      </c>
      <c r="B45" s="69" t="s">
        <v>134</v>
      </c>
      <c r="C45" t="s">
        <v>92</v>
      </c>
      <c r="D45" s="44">
        <f t="shared" si="1"/>
        <v>5733002.869999999</v>
      </c>
      <c r="P45" s="44">
        <f>5671217.34+930.6+60854.93</f>
        <v>5733002.869999999</v>
      </c>
      <c r="R45" s="8">
        <f>D45/$D$5</f>
        <v>0.04632523921707846</v>
      </c>
    </row>
    <row r="46" spans="1:18" ht="12.75">
      <c r="A46" s="2" t="s">
        <v>29</v>
      </c>
      <c r="B46" s="69" t="s">
        <v>123</v>
      </c>
      <c r="C46" t="s">
        <v>135</v>
      </c>
      <c r="D46" s="44">
        <f t="shared" si="1"/>
        <v>2954290.8899999997</v>
      </c>
      <c r="P46" s="44">
        <f>2868185.05+51340.56+34765.28</f>
        <v>2954290.8899999997</v>
      </c>
      <c r="R46" s="8">
        <f>D46/$D$5</f>
        <v>0.02387199785163994</v>
      </c>
    </row>
    <row r="47" spans="1:18" ht="12.75">
      <c r="A47" s="2" t="s">
        <v>29</v>
      </c>
      <c r="B47" s="69" t="s">
        <v>157</v>
      </c>
      <c r="C47" t="s">
        <v>91</v>
      </c>
      <c r="D47" s="44">
        <f t="shared" si="1"/>
        <v>24298223.02</v>
      </c>
      <c r="P47" s="44">
        <f>112506.16+21474979.46+2710737.4</f>
        <v>24298223.02</v>
      </c>
      <c r="R47" s="8">
        <f t="shared" si="2"/>
        <v>0.19634055999546754</v>
      </c>
    </row>
    <row r="48" spans="1:18" ht="12.75">
      <c r="A48" s="69" t="s">
        <v>29</v>
      </c>
      <c r="B48" s="69" t="s">
        <v>106</v>
      </c>
      <c r="C48" s="71" t="s">
        <v>107</v>
      </c>
      <c r="D48" s="44">
        <f t="shared" si="1"/>
        <v>2730.56</v>
      </c>
      <c r="P48" s="44">
        <f>2730.56</f>
        <v>2730.56</v>
      </c>
      <c r="R48" s="8">
        <f>D48/$D$5</f>
        <v>2.206415173076405E-05</v>
      </c>
    </row>
    <row r="49" spans="1:19" ht="12.75">
      <c r="A49" s="69" t="s">
        <v>29</v>
      </c>
      <c r="B49" s="69" t="s">
        <v>97</v>
      </c>
      <c r="C49" s="71" t="s">
        <v>99</v>
      </c>
      <c r="D49" s="44">
        <f t="shared" si="1"/>
        <v>2555.03</v>
      </c>
      <c r="P49" s="44">
        <f>2555.03</f>
        <v>2555.03</v>
      </c>
      <c r="R49" s="8">
        <f t="shared" si="2"/>
        <v>2.0645790459339503E-05</v>
      </c>
      <c r="S49" s="8">
        <f>SUM(R32:R49)</f>
        <v>0.7119071361587557</v>
      </c>
    </row>
    <row r="50" spans="5:18" ht="12.75"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spans="2:18" s="8" customFormat="1" ht="13.5" thickBot="1">
      <c r="B51" s="62"/>
      <c r="C51" s="63" t="s">
        <v>33</v>
      </c>
      <c r="D51" s="64">
        <f>SUM(E51:Q51)</f>
        <v>0.9999999999999998</v>
      </c>
      <c r="E51" s="65">
        <f>E5/D5</f>
        <v>0.3362253274694269</v>
      </c>
      <c r="F51" s="65">
        <f>F5/D5</f>
        <v>0.016505035387393348</v>
      </c>
      <c r="G51" s="65">
        <f>G5/D5</f>
        <v>0.00033991080796632423</v>
      </c>
      <c r="H51" s="65">
        <f>H5/D5</f>
        <v>0.01847619328801754</v>
      </c>
      <c r="I51" s="65">
        <f>I5/D5</f>
        <v>0.1141841085871797</v>
      </c>
      <c r="J51" s="65">
        <f>J5/D5</f>
        <v>9.536303889347171E-06</v>
      </c>
      <c r="K51" s="65">
        <f>K5/D5</f>
        <v>0.0038185427913494446</v>
      </c>
      <c r="L51" s="65">
        <f>L5/D5</f>
        <v>0.006839139675778046</v>
      </c>
      <c r="M51" s="65">
        <f>M5/D5</f>
        <v>0.010047745586905361</v>
      </c>
      <c r="N51" s="65">
        <f>N5/D5</f>
        <v>0.19229950482037642</v>
      </c>
      <c r="O51" s="65">
        <f>O5/D5</f>
        <v>0.025575450627470252</v>
      </c>
      <c r="P51" s="65">
        <f>P5/D5</f>
        <v>0.27360172522467385</v>
      </c>
      <c r="Q51" s="65">
        <f>Q5/D5</f>
        <v>0.002077779429573354</v>
      </c>
      <c r="R51" s="65">
        <f>SUM(R6:R50)</f>
        <v>0.9999999999999998</v>
      </c>
    </row>
    <row r="52" spans="1:18" s="8" customFormat="1" ht="13.5" thickTop="1">
      <c r="A52" s="66"/>
      <c r="C52" s="63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</sheetData>
  <sheetProtection/>
  <printOptions/>
  <pageMargins left="0" right="0" top="0.75" bottom="0" header="0.3" footer="0.3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2022-02-09T19:46:18Z</cp:lastPrinted>
  <dcterms:created xsi:type="dcterms:W3CDTF">2011-02-21T16:49:07Z</dcterms:created>
  <dcterms:modified xsi:type="dcterms:W3CDTF">2022-02-09T19:46:20Z</dcterms:modified>
  <cp:category/>
  <cp:version/>
  <cp:contentType/>
  <cp:contentStatus/>
</cp:coreProperties>
</file>