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20" windowHeight="13872" tabRatio="841" activeTab="0"/>
  </bookViews>
  <sheets>
    <sheet name="2019A" sheetId="1" r:id="rId1"/>
    <sheet name="20 Yr Academic Project " sheetId="2" r:id="rId2"/>
    <sheet name="10 yr Facilities Renewal" sheetId="3" r:id="rId3"/>
    <sheet name="Percentage-021220" sheetId="4" r:id="rId4"/>
    <sheet name="Percentage-082020" sheetId="5" r:id="rId5"/>
    <sheet name="Percentage-02242021" sheetId="6" r:id="rId6"/>
  </sheets>
  <definedNames>
    <definedName name="_xlfn._FV" hidden="1">#NAME?</definedName>
    <definedName name="_xlnm.Print_Area" localSheetId="3">'Percentage-021220'!$A$1:$S$57</definedName>
    <definedName name="_xlnm.Print_Titles" localSheetId="2">'10 yr Facilities Renewal'!$A:$A</definedName>
    <definedName name="_xlnm.Print_Titles" localSheetId="1">'20 Yr Academic Project '!$A:$A</definedName>
    <definedName name="_xlnm.Print_Titles" localSheetId="0">'2019A'!$A:$A</definedName>
  </definedNames>
  <calcPr fullCalcOnLoad="1"/>
</workbook>
</file>

<file path=xl/sharedStrings.xml><?xml version="1.0" encoding="utf-8"?>
<sst xmlns="http://schemas.openxmlformats.org/spreadsheetml/2006/main" count="878" uniqueCount="178">
  <si>
    <t>Payment</t>
  </si>
  <si>
    <t>Date</t>
  </si>
  <si>
    <t>Principal</t>
  </si>
  <si>
    <t>Interest</t>
  </si>
  <si>
    <t>Total</t>
  </si>
  <si>
    <t xml:space="preserve">       UMB Facilities Renewal (Academic) </t>
  </si>
  <si>
    <t xml:space="preserve">         UMBC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</si>
  <si>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</si>
  <si>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</si>
  <si>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</si>
  <si>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</si>
  <si>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</si>
  <si>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</si>
  <si>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</si>
  <si>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</si>
  <si>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</si>
  <si>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</si>
  <si>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</si>
  <si>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</si>
  <si>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</si>
  <si>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</si>
  <si>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</si>
  <si>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</si>
  <si>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</si>
  <si>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</si>
  <si>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</si>
  <si>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</si>
  <si>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</si>
  <si>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</si>
  <si>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UMB Elevator &amp; Fire Alarm Improvement (Aux)</t>
  </si>
  <si>
    <t xml:space="preserve">  UMCP Campus-Wide Bldg System (Acad)</t>
  </si>
  <si>
    <t xml:space="preserve">        UMBC Event Center and Arena (Aux)</t>
  </si>
  <si>
    <t xml:space="preserve">   UMCP Dorchester Residence Hall (Auxiliary)</t>
  </si>
  <si>
    <t xml:space="preserve">         UMCP Facilities Renewal (Acad)</t>
  </si>
  <si>
    <t xml:space="preserve">     TU Union Addition/Renovation (Auxiliary)</t>
  </si>
  <si>
    <t xml:space="preserve">  UMCP N. Campus Dining Hall Replace (Aux)</t>
  </si>
  <si>
    <t xml:space="preserve">      UMCP Two New Residence Halls (Aux)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</si>
  <si>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</si>
  <si>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</si>
  <si>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</si>
  <si>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</si>
  <si>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</si>
  <si>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</si>
  <si>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Emergency Projects</t>
  </si>
  <si>
    <t>36th Acad</t>
  </si>
  <si>
    <t>36,37th Acad</t>
  </si>
  <si>
    <t>35,36th Acad</t>
  </si>
  <si>
    <t>29th Acad</t>
  </si>
  <si>
    <t>Fine and Performing Arts Center</t>
  </si>
  <si>
    <t>28th Acad</t>
  </si>
  <si>
    <t>27th Acad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</si>
  <si>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</si>
  <si>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</si>
  <si>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</si>
  <si>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</si>
  <si>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</si>
  <si>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</si>
  <si>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38th Aux</t>
  </si>
  <si>
    <t>Dorchester Residence Hall Renovation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</si>
  <si>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</si>
  <si>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</si>
  <si>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</si>
  <si>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</si>
  <si>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</si>
  <si>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</si>
  <si>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</si>
  <si>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</si>
  <si>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</si>
  <si>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</si>
  <si>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</si>
  <si>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</si>
  <si>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     FSU New Residence Hall(Aux)</t>
  </si>
  <si>
    <t>Five Dorm Renovation</t>
  </si>
  <si>
    <t xml:space="preserve">       FSU Five Dorm Renovation (Auxiliary)</t>
  </si>
  <si>
    <t>Debt Svc from Earnings\Accrued Int\Plant Fund</t>
  </si>
  <si>
    <t>40th Acad</t>
  </si>
  <si>
    <t>41st Acad</t>
  </si>
  <si>
    <t>Flood Mitigation</t>
  </si>
  <si>
    <t>USM</t>
  </si>
  <si>
    <t>41th Acad</t>
  </si>
  <si>
    <t>41st Aux</t>
  </si>
  <si>
    <t xml:space="preserve">          Total Debt Services - 2019 Series A</t>
  </si>
  <si>
    <t xml:space="preserve">        Total Academic Projects - 2019A</t>
  </si>
  <si>
    <t xml:space="preserve">    2019 Series A Bond Funded Projects</t>
  </si>
  <si>
    <t xml:space="preserve">           Total Auxiliary Projects - 2019A</t>
  </si>
  <si>
    <t>2019 Series A Bonds</t>
  </si>
  <si>
    <t>Pharmacy and Health Professions</t>
  </si>
  <si>
    <t>South MD Higher Education Center Bldg III</t>
  </si>
  <si>
    <t>Interdisciplinary Life Science Building</t>
  </si>
  <si>
    <t>2019A</t>
  </si>
  <si>
    <t>41,40,39,38th Acad</t>
  </si>
  <si>
    <t>38th Acad</t>
  </si>
  <si>
    <t>41,40,36th Acad</t>
  </si>
  <si>
    <t>40,39,38,37,36,35,29th Acad</t>
  </si>
  <si>
    <t>41th Aux</t>
  </si>
  <si>
    <t>Retriever Activities Center Renewal</t>
  </si>
  <si>
    <t>Glen Towers Addition &amp; Renovation</t>
  </si>
  <si>
    <t>40,39,38th Aux</t>
  </si>
  <si>
    <t>2019A Balance</t>
  </si>
  <si>
    <t xml:space="preserve">         Total Academic Projects - 2019A</t>
  </si>
  <si>
    <t>41,40th Aux</t>
  </si>
  <si>
    <t xml:space="preserve">   UMES Phamacy &amp; Health Professions (Acad) </t>
  </si>
  <si>
    <t xml:space="preserve">       UMES Flood Mitigation (Academic) </t>
  </si>
  <si>
    <t xml:space="preserve">  UMBC Interdisclipinary Life Sci Bldg (Acad)</t>
  </si>
  <si>
    <t xml:space="preserve">   BSU Facilities Renewal Projects (Academic)</t>
  </si>
  <si>
    <t xml:space="preserve">         CSU Facilities Renewal (Academic)</t>
  </si>
  <si>
    <t xml:space="preserve">         FSU Facilities Renewal (Academic)</t>
  </si>
  <si>
    <t xml:space="preserve">         SU Facilities Renewal (Academic)</t>
  </si>
  <si>
    <t xml:space="preserve">         TU Facilities Renewal (Academic)</t>
  </si>
  <si>
    <t xml:space="preserve">         UB Facilities Renewal (Academic)</t>
  </si>
  <si>
    <t xml:space="preserve"> TU Glen Towers &amp; Addition &amp; Renov (Auxiliary)</t>
  </si>
  <si>
    <t xml:space="preserve">           2019 A Bonds (10 Years Bonds)</t>
  </si>
  <si>
    <t xml:space="preserve">         Total Facilities Renewal - 2019A</t>
  </si>
  <si>
    <t xml:space="preserve">  USM S. MD Higher Edu Ctr Bldg III (Acad)</t>
  </si>
  <si>
    <t xml:space="preserve">           2019 A Bonds (20 Years Bonds)</t>
  </si>
  <si>
    <t xml:space="preserve">               2019 A Bonds - Total</t>
  </si>
  <si>
    <t>Principal-Total</t>
  </si>
  <si>
    <t>Interest-Total</t>
  </si>
  <si>
    <t xml:space="preserve">                                                              Total Debt Services - 2019 Series A</t>
  </si>
  <si>
    <t xml:space="preserve">      2019A - 20 Years Bond</t>
  </si>
  <si>
    <t xml:space="preserve">      2019A - 10 Years Bond</t>
  </si>
  <si>
    <t>UMBC Retriver Activities Center Renewal (Aux)</t>
  </si>
  <si>
    <t>10 Years Bonds:</t>
  </si>
  <si>
    <t xml:space="preserve">20 Years Bonds: </t>
  </si>
  <si>
    <t>36, 42th Acad</t>
  </si>
  <si>
    <t xml:space="preserve">UMBC </t>
  </si>
  <si>
    <t>Utility Upgrades</t>
  </si>
  <si>
    <t>40,39th Acad</t>
  </si>
  <si>
    <t>39,35,36th Acad</t>
  </si>
  <si>
    <t>41,40,38,36th Acad</t>
  </si>
  <si>
    <t>41,40,38,37th Acad</t>
  </si>
  <si>
    <t>37,36th Acad</t>
  </si>
  <si>
    <t>40,38,37,36,35th Acad</t>
  </si>
  <si>
    <t>41,40,39,38,37,36,35,34,32,29th Acad</t>
  </si>
  <si>
    <t>2019A-10 Years Bonds Balance</t>
  </si>
  <si>
    <t>New Health Services and Counseling Building</t>
  </si>
  <si>
    <t>Real Property Acquisition &amp; New Housing</t>
  </si>
  <si>
    <t>41,40,39,38th Aux</t>
  </si>
  <si>
    <t>41,37,39th Aux</t>
  </si>
  <si>
    <t>2019A-20 Years Bonds Balance</t>
  </si>
  <si>
    <t xml:space="preserve">       UMES Facilities Renewal (Academic) </t>
  </si>
  <si>
    <t xml:space="preserve">         CSU Emergency Projects (Academic)</t>
  </si>
  <si>
    <t>UMCP Brendan Iribe Ctr Comp Sci (Acad)</t>
  </si>
  <si>
    <t xml:space="preserve">        UMBC Utilitiy Upgrades (Acad)</t>
  </si>
  <si>
    <t>UMBC New Health Svc &amp; Counseling Bldg (Aux)</t>
  </si>
  <si>
    <t xml:space="preserve">    SU Real Property &amp; New Housing (Aux)</t>
  </si>
  <si>
    <t xml:space="preserve">                 2019A - 20 Years Bond</t>
  </si>
  <si>
    <t xml:space="preserve">                 2019A - 10 Years Bond</t>
  </si>
  <si>
    <t xml:space="preserve">  UMCES Facilities Renewal Projects (Acad)</t>
  </si>
  <si>
    <t xml:space="preserve"> USM SG Service Center and Nursing (Acad)</t>
  </si>
  <si>
    <t>42,41,40,39,38,37,36,35,34,32,29th Acad</t>
  </si>
  <si>
    <t>42nd,41st Acad</t>
  </si>
  <si>
    <t>42nd Acad</t>
  </si>
  <si>
    <t>Education &amp; Health Sciences</t>
  </si>
  <si>
    <t>42nd,41th Acad</t>
  </si>
  <si>
    <t>42,41,40,38,37th Acad</t>
  </si>
  <si>
    <t>New Science Facility</t>
  </si>
  <si>
    <t>42,41,40,38,37,36,35th Acad</t>
  </si>
  <si>
    <t>41st,40 Acad</t>
  </si>
  <si>
    <t>41,40,39,38,36th Acad</t>
  </si>
  <si>
    <t>40,39,34th Acad</t>
  </si>
  <si>
    <t>33rd Acad</t>
  </si>
  <si>
    <t>New Performing Arts &amp; Humanities Facility</t>
  </si>
  <si>
    <t>41,39th Acad</t>
  </si>
  <si>
    <t>40,38,37,36th Acad</t>
  </si>
  <si>
    <t>42,41st Aux</t>
  </si>
  <si>
    <t>42,41,40,39,38th Aux</t>
  </si>
  <si>
    <t>19th Aux</t>
  </si>
  <si>
    <t>CSS &amp; Residence Halls SCUB Expansion</t>
  </si>
  <si>
    <t xml:space="preserve">       UMES Emergency Projects (Academic) </t>
  </si>
  <si>
    <t>UMBC New Performing Art &amp; Humanity (Acad)</t>
  </si>
  <si>
    <t xml:space="preserve">   FSU Education &amp; Health Sciences (Acad)</t>
  </si>
  <si>
    <t xml:space="preserve">        TU New Science Facility (Acad)</t>
  </si>
  <si>
    <t xml:space="preserve">   UMCP CSS &amp; Residences Hall SCUB (Aux)</t>
  </si>
  <si>
    <t>Amort of</t>
  </si>
  <si>
    <t>Premium</t>
  </si>
  <si>
    <t>Paid off on March 1st</t>
  </si>
  <si>
    <t>Transferred from SU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</si>
</sst>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  <numFmt numFmtId="172" formatCode="0.000%"/>
  </numFmts>
  <fonts count="42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Border="1" applyAlignment="1">
      <alignment horizontal="center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38" fontId="41" fillId="0" borderId="13" xfId="0" applyNumberFormat="1" applyFont="1" applyBorder="1" applyAlignment="1">
      <alignment horizontal="left"/>
    </xf>
    <xf numFmtId="38" fontId="41" fillId="0" borderId="14" xfId="0" applyNumberFormat="1" applyFont="1" applyBorder="1" applyAlignment="1">
      <alignment horizontal="right"/>
    </xf>
    <xf numFmtId="38" fontId="41" fillId="0" borderId="20" xfId="0" applyNumberFormat="1" applyFont="1" applyBorder="1" applyAlignment="1">
      <alignment horizontal="right"/>
    </xf>
    <xf numFmtId="38" fontId="0" fillId="33" borderId="16" xfId="0" applyNumberFormat="1" applyFont="1" applyFill="1" applyBorder="1" applyAlignment="1" quotePrefix="1">
      <alignment horizontal="left"/>
    </xf>
    <xf numFmtId="38" fontId="0" fillId="33" borderId="14" xfId="0" applyNumberFormat="1" applyFill="1" applyBorder="1" applyAlignment="1">
      <alignment horizontal="right"/>
    </xf>
    <xf numFmtId="165" fontId="0" fillId="35" borderId="16" xfId="0" applyNumberFormat="1" applyFont="1" applyFill="1" applyBorder="1" applyAlignment="1" quotePrefix="1">
      <alignment/>
    </xf>
    <xf numFmtId="165" fontId="0" fillId="35" borderId="20" xfId="0" applyNumberFormat="1" applyFill="1" applyBorder="1" applyAlignment="1">
      <alignment/>
    </xf>
    <xf numFmtId="38" fontId="0" fillId="35" borderId="14" xfId="0" applyNumberFormat="1" applyFill="1" applyBorder="1" applyAlignment="1">
      <alignment horizontal="right"/>
    </xf>
    <xf numFmtId="38" fontId="0" fillId="35" borderId="13" xfId="0" applyNumberFormat="1" applyFont="1" applyFill="1" applyBorder="1" applyAlignment="1">
      <alignment horizontal="left"/>
    </xf>
    <xf numFmtId="38" fontId="0" fillId="35" borderId="20" xfId="0" applyNumberForma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4" xfId="0" applyFont="1" applyBorder="1" applyAlignment="1">
      <alignment horizontal="left"/>
    </xf>
    <xf numFmtId="40" fontId="0" fillId="0" borderId="24" xfId="0" applyNumberFormat="1" applyBorder="1" applyAlignment="1">
      <alignment/>
    </xf>
    <xf numFmtId="40" fontId="0" fillId="0" borderId="24" xfId="0" applyNumberFormat="1" applyBorder="1" applyAlignment="1">
      <alignment horizontal="right"/>
    </xf>
    <xf numFmtId="40" fontId="0" fillId="0" borderId="24" xfId="0" applyNumberFormat="1" applyBorder="1" applyAlignment="1">
      <alignment horizontal="center"/>
    </xf>
    <xf numFmtId="165" fontId="0" fillId="0" borderId="24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41" fillId="0" borderId="24" xfId="0" applyFont="1" applyBorder="1" applyAlignment="1">
      <alignment horizontal="left"/>
    </xf>
    <xf numFmtId="0" fontId="41" fillId="0" borderId="0" xfId="0" applyFont="1" applyAlignment="1">
      <alignment/>
    </xf>
    <xf numFmtId="165" fontId="0" fillId="35" borderId="12" xfId="0" applyNumberFormat="1" applyFill="1" applyBorder="1" applyAlignment="1">
      <alignment horizontal="right"/>
    </xf>
    <xf numFmtId="165" fontId="0" fillId="35" borderId="14" xfId="0" applyNumberFormat="1" applyFill="1" applyBorder="1" applyAlignment="1">
      <alignment/>
    </xf>
    <xf numFmtId="0" fontId="0" fillId="0" borderId="23" xfId="0" applyFont="1" applyBorder="1" applyAlignment="1">
      <alignment horizontal="left"/>
    </xf>
    <xf numFmtId="40" fontId="0" fillId="0" borderId="23" xfId="0" applyNumberFormat="1" applyBorder="1" applyAlignment="1">
      <alignment horizontal="right"/>
    </xf>
    <xf numFmtId="40" fontId="0" fillId="0" borderId="23" xfId="0" applyNumberFormat="1" applyBorder="1" applyAlignment="1">
      <alignment horizontal="center"/>
    </xf>
    <xf numFmtId="38" fontId="0" fillId="0" borderId="13" xfId="0" applyNumberFormat="1" applyFont="1" applyBorder="1" applyAlignment="1">
      <alignment horizontal="left"/>
    </xf>
    <xf numFmtId="165" fontId="0" fillId="0" borderId="20" xfId="0" applyNumberFormat="1" applyBorder="1" applyAlignment="1">
      <alignment/>
    </xf>
    <xf numFmtId="38" fontId="0" fillId="33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right"/>
    </xf>
    <xf numFmtId="9" fontId="0" fillId="0" borderId="0" xfId="59" applyFont="1" applyAlignment="1">
      <alignment horizontal="right"/>
    </xf>
    <xf numFmtId="165" fontId="41" fillId="0" borderId="13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G576"/>
  <sheetViews>
    <sheetView tabSelected="1" zoomScale="120" zoomScaleNormal="120" zoomScalePageLayoutView="0" workbookViewId="0" topLeftCell="A1">
      <pane xSplit="1" ySplit="8" topLeftCell="B4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44" sqref="B44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8" width="13.7109375" style="3" hidden="1" customWidth="1"/>
    <col min="9" max="12" width="13.7109375" style="3" customWidth="1"/>
    <col min="13" max="13" width="3.7109375" style="5" customWidth="1"/>
    <col min="14" max="17" width="13.7109375" style="5" customWidth="1"/>
    <col min="18" max="18" width="3.7109375" style="5" customWidth="1"/>
    <col min="19" max="22" width="13.7109375" style="5" customWidth="1"/>
    <col min="23" max="23" width="3.7109375" style="5" customWidth="1"/>
    <col min="24" max="27" width="13.7109375" style="0" customWidth="1"/>
    <col min="28" max="28" width="3.7109375" style="0" customWidth="1"/>
    <col min="29" max="32" width="13.7109375" style="0" customWidth="1"/>
    <col min="33" max="33" width="3.7109375" style="5" customWidth="1"/>
    <col min="34" max="37" width="13.7109375" style="0" customWidth="1"/>
    <col min="38" max="38" width="3.7109375" style="5" customWidth="1"/>
    <col min="39" max="42" width="13.7109375" style="5" customWidth="1"/>
    <col min="43" max="43" width="3.7109375" style="5" customWidth="1"/>
    <col min="44" max="47" width="13.7109375" style="5" customWidth="1"/>
    <col min="48" max="48" width="3.7109375" style="5" customWidth="1"/>
    <col min="49" max="52" width="13.7109375" style="5" customWidth="1"/>
    <col min="53" max="53" width="3.7109375" style="5" customWidth="1"/>
    <col min="54" max="57" width="13.7109375" style="5" customWidth="1"/>
    <col min="58" max="58" width="3.7109375" style="5" customWidth="1"/>
    <col min="59" max="62" width="13.7109375" style="5" customWidth="1"/>
    <col min="63" max="63" width="3.7109375" style="5" customWidth="1"/>
    <col min="64" max="67" width="13.7109375" style="5" customWidth="1"/>
    <col min="68" max="68" width="3.7109375" style="5" customWidth="1"/>
    <col min="69" max="72" width="13.7109375" style="5" customWidth="1"/>
    <col min="73" max="73" width="3.7109375" style="5" customWidth="1"/>
    <col min="74" max="77" width="13.7109375" style="5" customWidth="1"/>
    <col min="78" max="78" width="3.7109375" style="5" customWidth="1"/>
    <col min="79" max="82" width="13.7109375" style="5" customWidth="1"/>
    <col min="83" max="83" width="3.7109375" style="5" customWidth="1"/>
    <col min="84" max="87" width="13.7109375" style="5" customWidth="1"/>
    <col min="88" max="88" width="3.7109375" style="5" customWidth="1"/>
    <col min="89" max="92" width="13.7109375" style="5" customWidth="1"/>
    <col min="93" max="93" width="3.7109375" style="5" customWidth="1"/>
    <col min="94" max="97" width="13.7109375" style="5" customWidth="1"/>
    <col min="98" max="98" width="3.7109375" style="5" customWidth="1"/>
    <col min="99" max="101" width="13.7109375" style="6" customWidth="1"/>
    <col min="102" max="102" width="3.7109375" style="6" customWidth="1"/>
  </cols>
  <sheetData>
    <row r="1" spans="1:103" ht="12.75">
      <c r="A1" s="1"/>
      <c r="B1" s="2"/>
      <c r="D1" s="4"/>
      <c r="E1" s="4"/>
      <c r="F1" s="4" t="s">
        <v>27</v>
      </c>
      <c r="G1" s="4"/>
      <c r="H1" s="4"/>
      <c r="I1" s="4"/>
      <c r="J1" s="4"/>
      <c r="S1" s="4" t="s">
        <v>27</v>
      </c>
      <c r="X1" s="4"/>
      <c r="AH1" s="4" t="s">
        <v>27</v>
      </c>
      <c r="AW1" s="4" t="s">
        <v>27</v>
      </c>
      <c r="BL1" s="4" t="s">
        <v>27</v>
      </c>
      <c r="CA1" s="4" t="s">
        <v>27</v>
      </c>
      <c r="CP1" s="4" t="s">
        <v>27</v>
      </c>
      <c r="CT1" s="4"/>
      <c r="CY1" s="4"/>
    </row>
    <row r="2" spans="1:103" ht="12.75">
      <c r="A2" s="1"/>
      <c r="B2" s="2"/>
      <c r="D2" s="4"/>
      <c r="E2" s="4"/>
      <c r="F2" s="4" t="s">
        <v>26</v>
      </c>
      <c r="G2" s="4"/>
      <c r="H2" s="4"/>
      <c r="I2" s="4"/>
      <c r="J2" s="4"/>
      <c r="S2" s="4" t="s">
        <v>26</v>
      </c>
      <c r="X2" s="4"/>
      <c r="AH2" s="4" t="s">
        <v>26</v>
      </c>
      <c r="AW2" s="4" t="s">
        <v>26</v>
      </c>
      <c r="BL2" s="4" t="s">
        <v>26</v>
      </c>
      <c r="CA2" s="4" t="s">
        <v>26</v>
      </c>
      <c r="CP2" s="4" t="s">
        <v>26</v>
      </c>
      <c r="CT2" s="4"/>
      <c r="CY2" s="4"/>
    </row>
    <row r="3" spans="1:103" ht="12.75">
      <c r="A3" s="1"/>
      <c r="B3" s="2"/>
      <c r="D3" s="7"/>
      <c r="E3" s="7"/>
      <c r="F3" s="80" t="s">
        <v>83</v>
      </c>
      <c r="G3" s="7"/>
      <c r="H3" s="7"/>
      <c r="I3" s="7"/>
      <c r="J3" s="7"/>
      <c r="S3" s="80" t="s">
        <v>83</v>
      </c>
      <c r="X3" s="4"/>
      <c r="Y3" s="8"/>
      <c r="AH3" s="80" t="s">
        <v>83</v>
      </c>
      <c r="AW3" s="80" t="s">
        <v>83</v>
      </c>
      <c r="BL3" s="80" t="s">
        <v>83</v>
      </c>
      <c r="CA3" s="80" t="s">
        <v>83</v>
      </c>
      <c r="CP3" s="80" t="s">
        <v>83</v>
      </c>
      <c r="CT3" s="80"/>
      <c r="CY3" s="80"/>
    </row>
    <row r="4" spans="1:25" ht="12.75">
      <c r="A4" s="1"/>
      <c r="B4" s="2"/>
      <c r="C4" s="7"/>
      <c r="D4" s="4"/>
      <c r="E4" s="4"/>
      <c r="F4" s="4"/>
      <c r="G4" s="4"/>
      <c r="H4" s="4"/>
      <c r="I4" s="4"/>
      <c r="J4" s="4"/>
      <c r="X4" s="8"/>
      <c r="Y4" s="8"/>
    </row>
    <row r="5" spans="1:97" ht="12.75">
      <c r="A5" s="9" t="s">
        <v>0</v>
      </c>
      <c r="C5" s="87" t="s">
        <v>118</v>
      </c>
      <c r="D5" s="88"/>
      <c r="E5" s="10"/>
      <c r="F5" s="10"/>
      <c r="G5" s="10"/>
      <c r="H5" s="10"/>
      <c r="I5" s="10"/>
      <c r="J5" s="10"/>
      <c r="K5" s="11"/>
      <c r="L5" s="111"/>
      <c r="N5" s="76" t="s">
        <v>112</v>
      </c>
      <c r="O5" s="13"/>
      <c r="P5" s="14"/>
      <c r="Q5" s="34"/>
      <c r="S5" s="76" t="s">
        <v>82</v>
      </c>
      <c r="T5" s="13"/>
      <c r="U5" s="14"/>
      <c r="V5" s="34"/>
      <c r="X5" s="76" t="s">
        <v>84</v>
      </c>
      <c r="Y5" s="15"/>
      <c r="Z5" s="14"/>
      <c r="AA5" s="34"/>
      <c r="AB5" s="34"/>
      <c r="AC5" s="16" t="s">
        <v>32</v>
      </c>
      <c r="AD5" s="17"/>
      <c r="AE5" s="18"/>
      <c r="AF5" s="20"/>
      <c r="AH5" s="19" t="s">
        <v>35</v>
      </c>
      <c r="AI5" s="17"/>
      <c r="AJ5" s="18"/>
      <c r="AK5" s="20"/>
      <c r="AM5" s="19" t="s">
        <v>36</v>
      </c>
      <c r="AN5" s="17"/>
      <c r="AO5" s="18"/>
      <c r="AP5" s="20"/>
      <c r="AR5" s="78" t="s">
        <v>173</v>
      </c>
      <c r="AS5" s="17"/>
      <c r="AT5" s="18"/>
      <c r="AU5" s="20"/>
      <c r="AW5" s="16" t="s">
        <v>29</v>
      </c>
      <c r="AX5" s="17"/>
      <c r="AY5" s="18"/>
      <c r="AZ5" s="20"/>
      <c r="BA5" s="20"/>
      <c r="BB5" s="78" t="s">
        <v>31</v>
      </c>
      <c r="BC5" s="17"/>
      <c r="BD5" s="18"/>
      <c r="BE5" s="20"/>
      <c r="BF5" s="20"/>
      <c r="BG5" s="78" t="s">
        <v>144</v>
      </c>
      <c r="BH5" s="17"/>
      <c r="BI5" s="18"/>
      <c r="BJ5" s="20"/>
      <c r="BK5" s="20"/>
      <c r="BL5" s="78" t="s">
        <v>121</v>
      </c>
      <c r="BM5" s="17"/>
      <c r="BN5" s="18"/>
      <c r="BO5" s="20"/>
      <c r="BP5" s="20"/>
      <c r="BQ5" s="16" t="s">
        <v>71</v>
      </c>
      <c r="BR5" s="17"/>
      <c r="BS5" s="18"/>
      <c r="BT5" s="20"/>
      <c r="BU5" s="20"/>
      <c r="BV5" s="16" t="s">
        <v>73</v>
      </c>
      <c r="BW5" s="17"/>
      <c r="BX5" s="18"/>
      <c r="BY5" s="20"/>
      <c r="BZ5" s="20"/>
      <c r="CA5" s="78" t="s">
        <v>145</v>
      </c>
      <c r="CB5" s="17"/>
      <c r="CC5" s="18"/>
      <c r="CD5" s="20"/>
      <c r="CE5" s="20"/>
      <c r="CF5" s="78" t="s">
        <v>110</v>
      </c>
      <c r="CG5" s="17"/>
      <c r="CH5" s="18"/>
      <c r="CI5" s="20"/>
      <c r="CJ5" s="20"/>
      <c r="CK5" s="78" t="s">
        <v>34</v>
      </c>
      <c r="CL5" s="17"/>
      <c r="CM5" s="18"/>
      <c r="CN5" s="20"/>
      <c r="CP5" s="19" t="s">
        <v>74</v>
      </c>
      <c r="CQ5" s="17"/>
      <c r="CR5" s="18"/>
      <c r="CS5" s="20"/>
    </row>
    <row r="6" spans="1:98" s="8" customFormat="1" ht="12.75">
      <c r="A6" s="21" t="s">
        <v>1</v>
      </c>
      <c r="C6" s="89" t="s">
        <v>119</v>
      </c>
      <c r="D6" s="90"/>
      <c r="E6" s="30" t="s">
        <v>174</v>
      </c>
      <c r="F6" s="89" t="s">
        <v>120</v>
      </c>
      <c r="G6" s="91"/>
      <c r="H6" s="30" t="s">
        <v>174</v>
      </c>
      <c r="I6" s="92" t="s">
        <v>115</v>
      </c>
      <c r="J6" s="91"/>
      <c r="K6" s="93"/>
      <c r="L6" s="30" t="s">
        <v>174</v>
      </c>
      <c r="M6" s="5"/>
      <c r="N6" s="89" t="s">
        <v>147</v>
      </c>
      <c r="O6" s="105"/>
      <c r="P6" s="104"/>
      <c r="Q6" s="30" t="s">
        <v>174</v>
      </c>
      <c r="R6" s="5"/>
      <c r="S6" s="89" t="s">
        <v>146</v>
      </c>
      <c r="T6" s="105"/>
      <c r="U6" s="104"/>
      <c r="V6" s="30" t="s">
        <v>174</v>
      </c>
      <c r="W6" s="5"/>
      <c r="X6" s="89" t="s">
        <v>146</v>
      </c>
      <c r="Y6" s="105"/>
      <c r="Z6" s="104"/>
      <c r="AA6" s="30" t="s">
        <v>174</v>
      </c>
      <c r="AB6" s="67"/>
      <c r="AC6" s="26">
        <v>0.0010191</v>
      </c>
      <c r="AD6" s="27">
        <v>0.0009295</v>
      </c>
      <c r="AE6" s="24"/>
      <c r="AF6" s="30" t="s">
        <v>174</v>
      </c>
      <c r="AG6" s="5"/>
      <c r="AH6" s="26">
        <v>0.0700051</v>
      </c>
      <c r="AI6" s="27">
        <v>0.0741397</v>
      </c>
      <c r="AJ6" s="24"/>
      <c r="AK6" s="30" t="s">
        <v>174</v>
      </c>
      <c r="AL6" s="5"/>
      <c r="AM6" s="26">
        <v>0.1541392</v>
      </c>
      <c r="AN6" s="27">
        <v>0.1375542</v>
      </c>
      <c r="AO6" s="24"/>
      <c r="AP6" s="30" t="s">
        <v>174</v>
      </c>
      <c r="AQ6" s="5"/>
      <c r="AR6" s="26">
        <v>0</v>
      </c>
      <c r="AS6" s="27">
        <v>0.0002529</v>
      </c>
      <c r="AT6" s="24"/>
      <c r="AU6" s="30" t="s">
        <v>174</v>
      </c>
      <c r="AV6" s="5"/>
      <c r="AW6" s="26">
        <v>0.0002646</v>
      </c>
      <c r="AX6" s="27">
        <v>0.0002361</v>
      </c>
      <c r="AY6" s="24"/>
      <c r="AZ6" s="30" t="s">
        <v>174</v>
      </c>
      <c r="BA6" s="67"/>
      <c r="BB6" s="26">
        <v>0.0004303</v>
      </c>
      <c r="BC6" s="27">
        <v>0.0013726</v>
      </c>
      <c r="BD6" s="24"/>
      <c r="BE6" s="30" t="s">
        <v>174</v>
      </c>
      <c r="BF6" s="67"/>
      <c r="BG6" s="26">
        <v>0.0081921</v>
      </c>
      <c r="BH6" s="27">
        <v>0.0375715</v>
      </c>
      <c r="BI6" s="24"/>
      <c r="BJ6" s="30" t="s">
        <v>174</v>
      </c>
      <c r="BK6" s="67"/>
      <c r="BL6" s="26">
        <v>0.0707275</v>
      </c>
      <c r="BM6" s="27">
        <v>0.1476368</v>
      </c>
      <c r="BN6" s="24"/>
      <c r="BO6" s="30" t="s">
        <v>174</v>
      </c>
      <c r="BP6" s="67"/>
      <c r="BQ6" s="26">
        <v>0.1911765</v>
      </c>
      <c r="BR6" s="27">
        <v>0.1846889</v>
      </c>
      <c r="BS6" s="24"/>
      <c r="BT6" s="30" t="s">
        <v>174</v>
      </c>
      <c r="BU6" s="67"/>
      <c r="BV6" s="26">
        <v>0.0133906</v>
      </c>
      <c r="BW6" s="27">
        <v>0.0133239</v>
      </c>
      <c r="BX6" s="24"/>
      <c r="BY6" s="30" t="s">
        <v>174</v>
      </c>
      <c r="BZ6" s="67"/>
      <c r="CA6" s="26">
        <v>8.63E-05</v>
      </c>
      <c r="CB6" s="27">
        <v>7.7E-05</v>
      </c>
      <c r="CC6" s="24"/>
      <c r="CD6" s="30" t="s">
        <v>174</v>
      </c>
      <c r="CE6" s="67"/>
      <c r="CF6" s="26">
        <v>0.0214076</v>
      </c>
      <c r="CG6" s="27">
        <v>0.0216051</v>
      </c>
      <c r="CH6" s="24"/>
      <c r="CI6" s="30" t="s">
        <v>174</v>
      </c>
      <c r="CJ6" s="67"/>
      <c r="CK6" s="26">
        <v>0.2586924</v>
      </c>
      <c r="CL6" s="27">
        <v>0.3078856</v>
      </c>
      <c r="CM6" s="24"/>
      <c r="CN6" s="30" t="s">
        <v>174</v>
      </c>
      <c r="CO6" s="5"/>
      <c r="CP6" s="26">
        <v>0.1802109</v>
      </c>
      <c r="CQ6" s="27"/>
      <c r="CR6" s="24"/>
      <c r="CS6" s="30" t="s">
        <v>174</v>
      </c>
      <c r="CT6" s="5"/>
    </row>
    <row r="7" spans="1:98" s="8" customFormat="1" ht="12.75">
      <c r="A7" s="21"/>
      <c r="C7" s="41"/>
      <c r="D7" s="13"/>
      <c r="E7" s="30" t="s">
        <v>175</v>
      </c>
      <c r="F7" s="13"/>
      <c r="G7" s="13"/>
      <c r="H7" s="30" t="s">
        <v>175</v>
      </c>
      <c r="I7" s="13"/>
      <c r="J7" s="13"/>
      <c r="K7" s="40"/>
      <c r="L7" s="30" t="s">
        <v>175</v>
      </c>
      <c r="M7" s="5"/>
      <c r="N7" s="22"/>
      <c r="O7" s="23"/>
      <c r="P7" s="24"/>
      <c r="Q7" s="30" t="s">
        <v>175</v>
      </c>
      <c r="R7" s="5"/>
      <c r="S7" s="22">
        <v>0.0302577</v>
      </c>
      <c r="T7" s="23">
        <v>0.0727262</v>
      </c>
      <c r="U7" s="24"/>
      <c r="V7" s="30" t="s">
        <v>175</v>
      </c>
      <c r="W7" s="5"/>
      <c r="X7" s="22">
        <f>AC6+AH6+AM6+AW6+BB6+BL6+BQ6+BV6+CF6+CK6+CP6+BG6+CA6</f>
        <v>0.9697422</v>
      </c>
      <c r="Y7" s="67">
        <f>AD6+AI6+AN6+AS6+AX6+BC6+BH6+BM6+BR6+BW6+CB6+CG6+CL6</f>
        <v>0.9272737999999999</v>
      </c>
      <c r="Z7" s="25"/>
      <c r="AA7" s="30" t="s">
        <v>175</v>
      </c>
      <c r="AB7" s="67"/>
      <c r="AC7" s="26"/>
      <c r="AD7" s="27"/>
      <c r="AE7" s="24"/>
      <c r="AF7" s="30" t="s">
        <v>175</v>
      </c>
      <c r="AG7" s="5"/>
      <c r="AH7" s="26"/>
      <c r="AI7" s="27"/>
      <c r="AJ7" s="24"/>
      <c r="AK7" s="30" t="s">
        <v>175</v>
      </c>
      <c r="AL7" s="5"/>
      <c r="AM7" s="26"/>
      <c r="AN7" s="27"/>
      <c r="AO7" s="24"/>
      <c r="AP7" s="30" t="s">
        <v>175</v>
      </c>
      <c r="AQ7" s="5"/>
      <c r="AR7" s="26"/>
      <c r="AS7" s="27"/>
      <c r="AT7" s="24"/>
      <c r="AU7" s="30" t="s">
        <v>175</v>
      </c>
      <c r="AV7" s="5"/>
      <c r="AW7" s="26"/>
      <c r="AX7" s="27"/>
      <c r="AY7" s="24"/>
      <c r="AZ7" s="30" t="s">
        <v>175</v>
      </c>
      <c r="BA7" s="67"/>
      <c r="BB7" s="26"/>
      <c r="BC7" s="27"/>
      <c r="BD7" s="24"/>
      <c r="BE7" s="30" t="s">
        <v>175</v>
      </c>
      <c r="BF7" s="67"/>
      <c r="BG7" s="26"/>
      <c r="BH7" s="27"/>
      <c r="BI7" s="24"/>
      <c r="BJ7" s="30" t="s">
        <v>175</v>
      </c>
      <c r="BK7" s="67"/>
      <c r="BL7" s="26"/>
      <c r="BM7" s="27"/>
      <c r="BN7" s="24"/>
      <c r="BO7" s="30" t="s">
        <v>175</v>
      </c>
      <c r="BP7" s="67"/>
      <c r="BQ7" s="26"/>
      <c r="BR7" s="27"/>
      <c r="BS7" s="24"/>
      <c r="BT7" s="30" t="s">
        <v>175</v>
      </c>
      <c r="BU7" s="67"/>
      <c r="BV7" s="26"/>
      <c r="BW7" s="27"/>
      <c r="BX7" s="24"/>
      <c r="BY7" s="30" t="s">
        <v>175</v>
      </c>
      <c r="BZ7" s="67"/>
      <c r="CA7" s="114" t="s">
        <v>176</v>
      </c>
      <c r="CB7" s="27"/>
      <c r="CC7" s="24"/>
      <c r="CD7" s="30" t="s">
        <v>175</v>
      </c>
      <c r="CE7" s="67"/>
      <c r="CF7" s="26"/>
      <c r="CG7" s="27"/>
      <c r="CH7" s="24"/>
      <c r="CI7" s="30" t="s">
        <v>175</v>
      </c>
      <c r="CJ7" s="67"/>
      <c r="CK7" s="26"/>
      <c r="CL7" s="27"/>
      <c r="CM7" s="24"/>
      <c r="CN7" s="30" t="s">
        <v>175</v>
      </c>
      <c r="CO7" s="5"/>
      <c r="CP7" s="114" t="s">
        <v>177</v>
      </c>
      <c r="CQ7" s="27"/>
      <c r="CR7" s="24"/>
      <c r="CS7" s="30" t="s">
        <v>175</v>
      </c>
      <c r="CT7" s="5"/>
    </row>
    <row r="8" spans="1:97" ht="12.75">
      <c r="A8" s="29"/>
      <c r="C8" s="77" t="s">
        <v>2</v>
      </c>
      <c r="D8" s="30" t="s">
        <v>3</v>
      </c>
      <c r="E8" s="30" t="s">
        <v>4</v>
      </c>
      <c r="F8" s="77" t="s">
        <v>2</v>
      </c>
      <c r="G8" s="30" t="s">
        <v>3</v>
      </c>
      <c r="H8" s="30" t="s">
        <v>4</v>
      </c>
      <c r="I8" s="30" t="s">
        <v>116</v>
      </c>
      <c r="J8" s="30" t="s">
        <v>117</v>
      </c>
      <c r="K8" s="30" t="s">
        <v>4</v>
      </c>
      <c r="L8" s="30" t="s">
        <v>4</v>
      </c>
      <c r="N8" s="30" t="s">
        <v>2</v>
      </c>
      <c r="O8" s="77" t="s">
        <v>3</v>
      </c>
      <c r="P8" s="30" t="s">
        <v>4</v>
      </c>
      <c r="Q8" s="30" t="s">
        <v>4</v>
      </c>
      <c r="S8" s="30" t="s">
        <v>2</v>
      </c>
      <c r="T8" s="77" t="s">
        <v>3</v>
      </c>
      <c r="U8" s="30" t="s">
        <v>4</v>
      </c>
      <c r="V8" s="30" t="s">
        <v>4</v>
      </c>
      <c r="X8" s="30" t="s">
        <v>2</v>
      </c>
      <c r="Y8" s="30" t="s">
        <v>3</v>
      </c>
      <c r="Z8" s="30" t="s">
        <v>4</v>
      </c>
      <c r="AA8" s="30" t="s">
        <v>4</v>
      </c>
      <c r="AB8" s="79"/>
      <c r="AC8" s="31" t="s">
        <v>2</v>
      </c>
      <c r="AD8" s="31" t="s">
        <v>3</v>
      </c>
      <c r="AE8" s="31" t="s">
        <v>4</v>
      </c>
      <c r="AF8" s="30" t="s">
        <v>4</v>
      </c>
      <c r="AH8" s="31" t="s">
        <v>2</v>
      </c>
      <c r="AI8" s="31" t="s">
        <v>3</v>
      </c>
      <c r="AJ8" s="31" t="s">
        <v>4</v>
      </c>
      <c r="AK8" s="30" t="s">
        <v>4</v>
      </c>
      <c r="AM8" s="31" t="s">
        <v>2</v>
      </c>
      <c r="AN8" s="31" t="s">
        <v>3</v>
      </c>
      <c r="AO8" s="31" t="s">
        <v>4</v>
      </c>
      <c r="AP8" s="30" t="s">
        <v>4</v>
      </c>
      <c r="AR8" s="31" t="s">
        <v>2</v>
      </c>
      <c r="AS8" s="31" t="s">
        <v>3</v>
      </c>
      <c r="AT8" s="31" t="s">
        <v>4</v>
      </c>
      <c r="AU8" s="30" t="s">
        <v>4</v>
      </c>
      <c r="AW8" s="31" t="s">
        <v>2</v>
      </c>
      <c r="AX8" s="31" t="s">
        <v>3</v>
      </c>
      <c r="AY8" s="31" t="s">
        <v>4</v>
      </c>
      <c r="AZ8" s="30" t="s">
        <v>4</v>
      </c>
      <c r="BA8" s="32"/>
      <c r="BB8" s="31" t="s">
        <v>2</v>
      </c>
      <c r="BC8" s="31" t="s">
        <v>3</v>
      </c>
      <c r="BD8" s="31" t="s">
        <v>4</v>
      </c>
      <c r="BE8" s="30" t="s">
        <v>4</v>
      </c>
      <c r="BF8" s="32"/>
      <c r="BG8" s="31" t="s">
        <v>2</v>
      </c>
      <c r="BH8" s="31" t="s">
        <v>3</v>
      </c>
      <c r="BI8" s="31" t="s">
        <v>4</v>
      </c>
      <c r="BJ8" s="30" t="s">
        <v>4</v>
      </c>
      <c r="BK8" s="32"/>
      <c r="BL8" s="31" t="s">
        <v>2</v>
      </c>
      <c r="BM8" s="31" t="s">
        <v>3</v>
      </c>
      <c r="BN8" s="31" t="s">
        <v>4</v>
      </c>
      <c r="BO8" s="30" t="s">
        <v>4</v>
      </c>
      <c r="BP8" s="32"/>
      <c r="BQ8" s="31" t="s">
        <v>2</v>
      </c>
      <c r="BR8" s="31" t="s">
        <v>3</v>
      </c>
      <c r="BS8" s="31" t="s">
        <v>4</v>
      </c>
      <c r="BT8" s="30" t="s">
        <v>4</v>
      </c>
      <c r="BU8" s="32"/>
      <c r="BV8" s="31" t="s">
        <v>2</v>
      </c>
      <c r="BW8" s="31" t="s">
        <v>3</v>
      </c>
      <c r="BX8" s="31" t="s">
        <v>4</v>
      </c>
      <c r="BY8" s="30" t="s">
        <v>4</v>
      </c>
      <c r="BZ8" s="32"/>
      <c r="CA8" s="31" t="s">
        <v>2</v>
      </c>
      <c r="CB8" s="31" t="s">
        <v>3</v>
      </c>
      <c r="CC8" s="31" t="s">
        <v>4</v>
      </c>
      <c r="CD8" s="30" t="s">
        <v>4</v>
      </c>
      <c r="CE8" s="32"/>
      <c r="CF8" s="31" t="s">
        <v>2</v>
      </c>
      <c r="CG8" s="31" t="s">
        <v>3</v>
      </c>
      <c r="CH8" s="31" t="s">
        <v>4</v>
      </c>
      <c r="CI8" s="30" t="s">
        <v>4</v>
      </c>
      <c r="CJ8" s="32"/>
      <c r="CK8" s="31" t="s">
        <v>2</v>
      </c>
      <c r="CL8" s="31" t="s">
        <v>3</v>
      </c>
      <c r="CM8" s="31" t="s">
        <v>4</v>
      </c>
      <c r="CN8" s="30" t="s">
        <v>4</v>
      </c>
      <c r="CP8" s="31" t="s">
        <v>2</v>
      </c>
      <c r="CQ8" s="31" t="s">
        <v>3</v>
      </c>
      <c r="CR8" s="31" t="s">
        <v>4</v>
      </c>
      <c r="CS8" s="30" t="s">
        <v>4</v>
      </c>
    </row>
    <row r="9" spans="1:111" ht="12.75">
      <c r="A9" s="36">
        <v>44470</v>
      </c>
      <c r="D9" s="3">
        <v>1807875</v>
      </c>
      <c r="E9" s="34">
        <f aca="true" t="shared" si="0" ref="E9:E44">288361*0.83</f>
        <v>239339.62999999998</v>
      </c>
      <c r="G9" s="3">
        <v>420750</v>
      </c>
      <c r="H9" s="3">
        <v>103496</v>
      </c>
      <c r="I9" s="34"/>
      <c r="J9" s="34">
        <f aca="true" t="shared" si="1" ref="J9:J44">D9+G9</f>
        <v>2228625</v>
      </c>
      <c r="K9" s="34">
        <f aca="true" t="shared" si="2" ref="K9:K44">I9+J9</f>
        <v>2228625</v>
      </c>
      <c r="L9" s="34">
        <f aca="true" t="shared" si="3" ref="L9:L44">E9+H9</f>
        <v>342835.63</v>
      </c>
      <c r="M9" s="35"/>
      <c r="N9" s="3"/>
      <c r="O9" s="3">
        <f>'10 yr Facilities Renewal'!D9</f>
        <v>420750</v>
      </c>
      <c r="P9" s="35">
        <f aca="true" t="shared" si="4" ref="P9:P44">N9+O9</f>
        <v>420750</v>
      </c>
      <c r="Q9" s="34">
        <f>'10 yr Facilities Renewal'!F9</f>
        <v>103496</v>
      </c>
      <c r="S9" s="35"/>
      <c r="T9" s="35">
        <f>'20 Yr Academic Project '!I9</f>
        <v>131479.878825</v>
      </c>
      <c r="U9" s="35">
        <f aca="true" t="shared" si="5" ref="U9:U44">S9+T9</f>
        <v>131479.878825</v>
      </c>
      <c r="V9" s="34">
        <f>'20 Yr Academic Project '!K9</f>
        <v>17406.261799305998</v>
      </c>
      <c r="X9" s="35"/>
      <c r="Y9" s="34">
        <f>AD9+AI9+AN9+AS9+AX9+BC9+BH9+BM9+BR9+BW9+CB9+CG9+CL9+CQ9</f>
        <v>1676395.121175</v>
      </c>
      <c r="Z9" s="35">
        <f aca="true" t="shared" si="6" ref="Z9:Z44">X9+Y9</f>
        <v>1676395.121175</v>
      </c>
      <c r="AA9" s="34">
        <f>AF9+AK9+AP9+AU9+AZ9+BE9+BJ9+BO9+BT9+BY9+CD9+CI9+CN9+CS9</f>
        <v>221933.36820069398</v>
      </c>
      <c r="AB9" s="35"/>
      <c r="AC9" s="35"/>
      <c r="AD9" s="35">
        <f aca="true" t="shared" si="7" ref="AD9:AD44">D9*$AD$6</f>
        <v>1680.4198125</v>
      </c>
      <c r="AE9" s="35">
        <f aca="true" t="shared" si="8" ref="AE9:AE44">AC9+AD9</f>
        <v>1680.4198125</v>
      </c>
      <c r="AF9" s="34">
        <f aca="true" t="shared" si="9" ref="AF9:AF44">$E9*AD$6</f>
        <v>222.46618608499998</v>
      </c>
      <c r="AH9" s="35"/>
      <c r="AI9" s="35">
        <f aca="true" t="shared" si="10" ref="AI9:AI44">D9*$AI$6</f>
        <v>134035.3101375</v>
      </c>
      <c r="AJ9" s="35">
        <f aca="true" t="shared" si="11" ref="AJ9:AJ44">AH9+AI9</f>
        <v>134035.3101375</v>
      </c>
      <c r="AK9" s="34">
        <f aca="true" t="shared" si="12" ref="AK9:AK44">$E9*AI$6</f>
        <v>17744.568366311</v>
      </c>
      <c r="AM9" s="35"/>
      <c r="AN9" s="35">
        <f aca="true" t="shared" si="13" ref="AN9:AN44">D9*$AN$6</f>
        <v>248680.79932499997</v>
      </c>
      <c r="AO9" s="35">
        <f aca="true" t="shared" si="14" ref="AO9:AO44">AM9+AN9</f>
        <v>248680.79932499997</v>
      </c>
      <c r="AP9" s="34">
        <f aca="true" t="shared" si="15" ref="AP9:AP44">$E9*AN$6</f>
        <v>32922.171332945996</v>
      </c>
      <c r="AR9" s="35"/>
      <c r="AS9" s="35">
        <f aca="true" t="shared" si="16" ref="AS9:AS44">D9*$AS$6</f>
        <v>457.21158750000006</v>
      </c>
      <c r="AT9" s="35">
        <f aca="true" t="shared" si="17" ref="AT9:AT44">AR9+AS9</f>
        <v>457.21158750000006</v>
      </c>
      <c r="AU9" s="34">
        <f aca="true" t="shared" si="18" ref="AU9:AU44">$E9*AS$6</f>
        <v>60.528992427</v>
      </c>
      <c r="AW9" s="35"/>
      <c r="AX9" s="35">
        <f aca="true" t="shared" si="19" ref="AX9:AX44">D9*$AX$6</f>
        <v>426.8392875</v>
      </c>
      <c r="AY9" s="35">
        <f aca="true" t="shared" si="20" ref="AY9:AY44">AW9+AX9</f>
        <v>426.8392875</v>
      </c>
      <c r="AZ9" s="34">
        <f aca="true" t="shared" si="21" ref="AZ9:AZ44">$E9*AX$6</f>
        <v>56.50808664299999</v>
      </c>
      <c r="BA9" s="35"/>
      <c r="BB9" s="35"/>
      <c r="BC9" s="35">
        <f aca="true" t="shared" si="22" ref="BC9:BC44">D9*$BC$6</f>
        <v>2481.4892250000003</v>
      </c>
      <c r="BD9" s="35">
        <f aca="true" t="shared" si="23" ref="BD9:BD44">BB9+BC9</f>
        <v>2481.4892250000003</v>
      </c>
      <c r="BE9" s="34">
        <f aca="true" t="shared" si="24" ref="BE9:BE44">$E9*BC$6</f>
        <v>328.517576138</v>
      </c>
      <c r="BF9" s="35"/>
      <c r="BG9" s="35"/>
      <c r="BH9" s="35">
        <f aca="true" t="shared" si="25" ref="BH9:BH44">D9*$BH$6</f>
        <v>67924.5755625</v>
      </c>
      <c r="BI9" s="35">
        <f aca="true" t="shared" si="26" ref="BI9:BI44">BG9+BH9</f>
        <v>67924.5755625</v>
      </c>
      <c r="BJ9" s="34">
        <f aca="true" t="shared" si="27" ref="BJ9:BJ44">$E9*BH$6</f>
        <v>8992.348908545</v>
      </c>
      <c r="BK9" s="35"/>
      <c r="BL9" s="35"/>
      <c r="BM9" s="35">
        <f aca="true" t="shared" si="28" ref="BM9:BM44">D9*$BM$6</f>
        <v>266908.8798</v>
      </c>
      <c r="BN9" s="35">
        <f aca="true" t="shared" si="29" ref="BN9:BN44">BL9+BM9</f>
        <v>266908.8798</v>
      </c>
      <c r="BO9" s="34">
        <f aca="true" t="shared" si="30" ref="BO9:BO44">$E9*BM$6</f>
        <v>35335.337086384</v>
      </c>
      <c r="BP9" s="35"/>
      <c r="BQ9" s="35"/>
      <c r="BR9" s="35">
        <f aca="true" t="shared" si="31" ref="BR9:BR44">D9*$BR$6</f>
        <v>333894.4450875</v>
      </c>
      <c r="BS9" s="35">
        <f aca="true" t="shared" si="32" ref="BS9:BS44">BQ9+BR9</f>
        <v>333894.4450875</v>
      </c>
      <c r="BT9" s="34">
        <f aca="true" t="shared" si="33" ref="BT9:BT44">$E9*BR$6</f>
        <v>44203.37299110699</v>
      </c>
      <c r="BU9" s="35"/>
      <c r="BV9" s="35"/>
      <c r="BW9" s="35">
        <f aca="true" t="shared" si="34" ref="BW9:BW44">D9*$BW$6</f>
        <v>24087.9457125</v>
      </c>
      <c r="BX9" s="35">
        <f aca="true" t="shared" si="35" ref="BX9:BX44">BV9+BW9</f>
        <v>24087.9457125</v>
      </c>
      <c r="BY9" s="34">
        <f aca="true" t="shared" si="36" ref="BY9:BY44">$E9*BW$6</f>
        <v>3188.9372961569998</v>
      </c>
      <c r="BZ9" s="35"/>
      <c r="CA9" s="35"/>
      <c r="CB9" s="35">
        <v>139.206375</v>
      </c>
      <c r="CC9" s="35">
        <f aca="true" t="shared" si="37" ref="CC9:CC44">CA9+CB9</f>
        <v>139.206375</v>
      </c>
      <c r="CD9" s="34">
        <f>$E9*CB$6</f>
        <v>18.429151509999997</v>
      </c>
      <c r="CE9" s="35"/>
      <c r="CF9" s="35"/>
      <c r="CG9" s="35">
        <f aca="true" t="shared" si="38" ref="CG9:CG44">D9*$CG$6</f>
        <v>39059.3201625</v>
      </c>
      <c r="CH9" s="35">
        <f aca="true" t="shared" si="39" ref="CH9:CH44">CF9+CG9</f>
        <v>39059.3201625</v>
      </c>
      <c r="CI9" s="34">
        <f aca="true" t="shared" si="40" ref="CI9:CI44">$E9*CG$6</f>
        <v>5170.956640113</v>
      </c>
      <c r="CJ9" s="35"/>
      <c r="CK9" s="35"/>
      <c r="CL9" s="35">
        <f aca="true" t="shared" si="41" ref="CL9:CL44">D9*$CL$6</f>
        <v>556618.6791</v>
      </c>
      <c r="CM9" s="35">
        <f aca="true" t="shared" si="42" ref="CM9:CM44">CK9+CL9</f>
        <v>556618.6791</v>
      </c>
      <c r="CN9" s="34">
        <f aca="true" t="shared" si="43" ref="CN9:CN44">$E9*CL$6</f>
        <v>73689.22558632799</v>
      </c>
      <c r="CQ9" s="35"/>
      <c r="CR9" s="35">
        <f aca="true" t="shared" si="44" ref="CR9:CR44">CP9+CQ9</f>
        <v>0</v>
      </c>
      <c r="CS9" s="34">
        <f>$E9*CQ$6</f>
        <v>0</v>
      </c>
      <c r="CX9" s="5"/>
      <c r="CY9" s="5"/>
      <c r="CZ9" s="5"/>
      <c r="DA9" s="5"/>
      <c r="DB9" s="5"/>
      <c r="DC9" s="5"/>
      <c r="DD9" s="5"/>
      <c r="DE9" s="5"/>
      <c r="DF9" s="5"/>
      <c r="DG9" s="5"/>
    </row>
    <row r="10" spans="1:111" ht="12.75">
      <c r="A10" s="36">
        <v>44652</v>
      </c>
      <c r="C10" s="3">
        <v>3290000</v>
      </c>
      <c r="D10" s="3">
        <v>1807875</v>
      </c>
      <c r="E10" s="34">
        <f t="shared" si="0"/>
        <v>239339.62999999998</v>
      </c>
      <c r="F10" s="3">
        <v>1765000</v>
      </c>
      <c r="G10" s="3">
        <v>420750</v>
      </c>
      <c r="H10" s="3">
        <v>103496</v>
      </c>
      <c r="I10" s="34">
        <f aca="true" t="shared" si="45" ref="I10:I44">C10+F10</f>
        <v>5055000</v>
      </c>
      <c r="J10" s="34">
        <f t="shared" si="1"/>
        <v>2228625</v>
      </c>
      <c r="K10" s="34">
        <f t="shared" si="2"/>
        <v>7283625</v>
      </c>
      <c r="L10" s="34">
        <f t="shared" si="3"/>
        <v>342835.63</v>
      </c>
      <c r="M10" s="35"/>
      <c r="N10" s="3">
        <f>'10 yr Facilities Renewal'!C10</f>
        <v>1765000</v>
      </c>
      <c r="O10" s="3">
        <f>'10 yr Facilities Renewal'!D10</f>
        <v>420750</v>
      </c>
      <c r="P10" s="35">
        <f t="shared" si="4"/>
        <v>2185750</v>
      </c>
      <c r="Q10" s="34">
        <f>'10 yr Facilities Renewal'!F10</f>
        <v>103496</v>
      </c>
      <c r="S10" s="35">
        <f>'20 Yr Academic Project '!H10</f>
        <v>239269.198</v>
      </c>
      <c r="T10" s="35">
        <f>'20 Yr Academic Project '!I10</f>
        <v>131479.878825</v>
      </c>
      <c r="U10" s="35">
        <f t="shared" si="5"/>
        <v>370749.076825</v>
      </c>
      <c r="V10" s="34">
        <f>'20 Yr Academic Project '!K10</f>
        <v>17406.261799305998</v>
      </c>
      <c r="X10" s="35">
        <f>AC10+AH10+AM10+AR10+AW10+BB10+BG10+BL10+BQ10+BV10+CA10+CF10+CK10+CP10</f>
        <v>3050729.472</v>
      </c>
      <c r="Y10" s="34">
        <f aca="true" t="shared" si="46" ref="Y10:Y44">AD10+AI10+AN10+AS10+AX10+BC10+BH10+BM10+BR10+BW10+CB10+CG10+CL10+CQ10</f>
        <v>1676392.9148</v>
      </c>
      <c r="Z10" s="35">
        <f t="shared" si="6"/>
        <v>4727122.3868</v>
      </c>
      <c r="AA10" s="34">
        <f aca="true" t="shared" si="47" ref="AA10:AA44">AF10+AK10+AP10+AU10+AZ10+BE10+BJ10+BO10+BT10+BY10+CD10+CI10+CN10+CS10</f>
        <v>221933.36820069398</v>
      </c>
      <c r="AB10" s="35"/>
      <c r="AC10" s="35">
        <f aca="true" t="shared" si="48" ref="AC10:AC44">C10*$AD$6</f>
        <v>3058.055</v>
      </c>
      <c r="AD10" s="35">
        <f t="shared" si="7"/>
        <v>1680.4198125</v>
      </c>
      <c r="AE10" s="35">
        <f t="shared" si="8"/>
        <v>4738.4748125</v>
      </c>
      <c r="AF10" s="34">
        <f t="shared" si="9"/>
        <v>222.46618608499998</v>
      </c>
      <c r="AH10" s="35">
        <f aca="true" t="shared" si="49" ref="AH10:AH44">C10*$AI$6</f>
        <v>243919.613</v>
      </c>
      <c r="AI10" s="35">
        <f t="shared" si="10"/>
        <v>134035.3101375</v>
      </c>
      <c r="AJ10" s="35">
        <f t="shared" si="11"/>
        <v>377954.9231375</v>
      </c>
      <c r="AK10" s="34">
        <f t="shared" si="12"/>
        <v>17744.568366311</v>
      </c>
      <c r="AM10" s="35">
        <f aca="true" t="shared" si="50" ref="AM10:AM44">C10*$AN$6</f>
        <v>452553.31799999997</v>
      </c>
      <c r="AN10" s="35">
        <f t="shared" si="13"/>
        <v>248680.79932499997</v>
      </c>
      <c r="AO10" s="35">
        <f t="shared" si="14"/>
        <v>701234.117325</v>
      </c>
      <c r="AP10" s="34">
        <f t="shared" si="15"/>
        <v>32922.171332945996</v>
      </c>
      <c r="AR10" s="35">
        <f aca="true" t="shared" si="51" ref="AR10:AR44">C10*$AS$6</f>
        <v>832.041</v>
      </c>
      <c r="AS10" s="35">
        <f t="shared" si="16"/>
        <v>457.21158750000006</v>
      </c>
      <c r="AT10" s="35">
        <f t="shared" si="17"/>
        <v>1289.2525875000001</v>
      </c>
      <c r="AU10" s="34">
        <f t="shared" si="18"/>
        <v>60.528992427</v>
      </c>
      <c r="AW10" s="35">
        <f aca="true" t="shared" si="52" ref="AW10:AW44">C10*$AX$6</f>
        <v>776.769</v>
      </c>
      <c r="AX10" s="35">
        <f t="shared" si="19"/>
        <v>426.8392875</v>
      </c>
      <c r="AY10" s="35">
        <f t="shared" si="20"/>
        <v>1203.6082875</v>
      </c>
      <c r="AZ10" s="34">
        <f t="shared" si="21"/>
        <v>56.50808664299999</v>
      </c>
      <c r="BA10" s="35"/>
      <c r="BB10" s="35">
        <f aca="true" t="shared" si="53" ref="BB10:BB44">C10*$BC$6</f>
        <v>4515.854</v>
      </c>
      <c r="BC10" s="35">
        <f t="shared" si="22"/>
        <v>2481.4892250000003</v>
      </c>
      <c r="BD10" s="35">
        <f t="shared" si="23"/>
        <v>6997.3432250000005</v>
      </c>
      <c r="BE10" s="34">
        <f t="shared" si="24"/>
        <v>328.517576138</v>
      </c>
      <c r="BF10" s="35"/>
      <c r="BG10" s="35">
        <f aca="true" t="shared" si="54" ref="BG10:BG44">C10*$BH$6</f>
        <v>123610.235</v>
      </c>
      <c r="BH10" s="35">
        <f t="shared" si="25"/>
        <v>67924.5755625</v>
      </c>
      <c r="BI10" s="35">
        <f t="shared" si="26"/>
        <v>191534.8105625</v>
      </c>
      <c r="BJ10" s="34">
        <f t="shared" si="27"/>
        <v>8992.348908545</v>
      </c>
      <c r="BK10" s="35"/>
      <c r="BL10" s="35">
        <f aca="true" t="shared" si="55" ref="BL10:BL44">C10*$BM$6</f>
        <v>485725.07200000004</v>
      </c>
      <c r="BM10" s="35">
        <f t="shared" si="28"/>
        <v>266908.8798</v>
      </c>
      <c r="BN10" s="35">
        <f t="shared" si="29"/>
        <v>752633.9518</v>
      </c>
      <c r="BO10" s="34">
        <f t="shared" si="30"/>
        <v>35335.337086384</v>
      </c>
      <c r="BP10" s="35"/>
      <c r="BQ10" s="35">
        <f aca="true" t="shared" si="56" ref="BQ10:BQ44">C10*$BR$6</f>
        <v>607626.4809999999</v>
      </c>
      <c r="BR10" s="35">
        <f t="shared" si="31"/>
        <v>333894.4450875</v>
      </c>
      <c r="BS10" s="35">
        <f t="shared" si="32"/>
        <v>941520.9260874998</v>
      </c>
      <c r="BT10" s="34">
        <f t="shared" si="33"/>
        <v>44203.37299110699</v>
      </c>
      <c r="BU10" s="35"/>
      <c r="BV10" s="35">
        <f aca="true" t="shared" si="57" ref="BV10:BV44">C10*$BW$6</f>
        <v>43835.631</v>
      </c>
      <c r="BW10" s="35">
        <f t="shared" si="34"/>
        <v>24087.9457125</v>
      </c>
      <c r="BX10" s="35">
        <f t="shared" si="35"/>
        <v>67923.5767125</v>
      </c>
      <c r="BY10" s="34">
        <f t="shared" si="36"/>
        <v>3188.9372961569998</v>
      </c>
      <c r="BZ10" s="35"/>
      <c r="CA10" s="35">
        <v>6876</v>
      </c>
      <c r="CB10" s="35">
        <v>172</v>
      </c>
      <c r="CC10" s="35">
        <f t="shared" si="37"/>
        <v>7048</v>
      </c>
      <c r="CD10" s="34">
        <f>$E10*CB$6</f>
        <v>18.429151509999997</v>
      </c>
      <c r="CE10" s="35"/>
      <c r="CF10" s="35">
        <f aca="true" t="shared" si="58" ref="CF10:CF44">C10*$CG$6</f>
        <v>71080.779</v>
      </c>
      <c r="CG10" s="35">
        <f t="shared" si="38"/>
        <v>39059.3201625</v>
      </c>
      <c r="CH10" s="35">
        <f t="shared" si="39"/>
        <v>110140.0991625</v>
      </c>
      <c r="CI10" s="34">
        <f t="shared" si="40"/>
        <v>5170.956640113</v>
      </c>
      <c r="CJ10" s="35"/>
      <c r="CK10" s="35">
        <f aca="true" t="shared" si="59" ref="CK10:CK44">C10*$CL$6</f>
        <v>1012943.624</v>
      </c>
      <c r="CL10" s="35">
        <f t="shared" si="41"/>
        <v>556618.6791</v>
      </c>
      <c r="CM10" s="35">
        <f t="shared" si="42"/>
        <v>1569562.3031</v>
      </c>
      <c r="CN10" s="34">
        <f t="shared" si="43"/>
        <v>73689.22558632799</v>
      </c>
      <c r="CP10" s="5">
        <f>-6876+253-1</f>
        <v>-6624</v>
      </c>
      <c r="CQ10" s="5">
        <f>-172+139-2</f>
        <v>-35</v>
      </c>
      <c r="CR10" s="35">
        <f t="shared" si="44"/>
        <v>-6659</v>
      </c>
      <c r="CS10" s="34">
        <f>$E10*CQ$6</f>
        <v>0</v>
      </c>
      <c r="CX10" s="5"/>
      <c r="CY10" s="5"/>
      <c r="CZ10" s="5"/>
      <c r="DA10" s="5"/>
      <c r="DB10" s="5"/>
      <c r="DC10" s="5"/>
      <c r="DD10" s="5"/>
      <c r="DE10" s="5"/>
      <c r="DF10" s="5"/>
      <c r="DG10" s="5"/>
    </row>
    <row r="11" spans="1:111" ht="12.75">
      <c r="A11" s="36">
        <v>44835</v>
      </c>
      <c r="D11" s="3">
        <v>1725625</v>
      </c>
      <c r="E11" s="34">
        <f t="shared" si="0"/>
        <v>239339.62999999998</v>
      </c>
      <c r="G11" s="3">
        <v>376625</v>
      </c>
      <c r="H11" s="3">
        <v>103496</v>
      </c>
      <c r="I11" s="34"/>
      <c r="J11" s="34">
        <f t="shared" si="1"/>
        <v>2102250</v>
      </c>
      <c r="K11" s="34">
        <f t="shared" si="2"/>
        <v>2102250</v>
      </c>
      <c r="L11" s="34">
        <f t="shared" si="3"/>
        <v>342835.63</v>
      </c>
      <c r="M11" s="35"/>
      <c r="N11" s="3"/>
      <c r="O11" s="3">
        <f>'10 yr Facilities Renewal'!D11</f>
        <v>376625</v>
      </c>
      <c r="P11" s="35">
        <f t="shared" si="4"/>
        <v>376625</v>
      </c>
      <c r="Q11" s="34">
        <f>'10 yr Facilities Renewal'!F11</f>
        <v>103496</v>
      </c>
      <c r="S11" s="35"/>
      <c r="T11" s="35">
        <f>'20 Yr Academic Project '!I11</f>
        <v>125498.14887500001</v>
      </c>
      <c r="U11" s="35">
        <f t="shared" si="5"/>
        <v>125498.14887500001</v>
      </c>
      <c r="V11" s="34">
        <f>'20 Yr Academic Project '!K11</f>
        <v>17406.261799305998</v>
      </c>
      <c r="X11" s="35"/>
      <c r="Y11" s="34">
        <f t="shared" si="46"/>
        <v>1600126.9780000001</v>
      </c>
      <c r="Z11" s="35">
        <f t="shared" si="6"/>
        <v>1600126.9780000001</v>
      </c>
      <c r="AA11" s="34">
        <f t="shared" si="47"/>
        <v>221933.36820069398</v>
      </c>
      <c r="AB11" s="35"/>
      <c r="AC11" s="35"/>
      <c r="AD11" s="35">
        <f t="shared" si="7"/>
        <v>1603.9684375</v>
      </c>
      <c r="AE11" s="35">
        <f t="shared" si="8"/>
        <v>1603.9684375</v>
      </c>
      <c r="AF11" s="34">
        <f t="shared" si="9"/>
        <v>222.46618608499998</v>
      </c>
      <c r="AH11" s="35"/>
      <c r="AI11" s="35">
        <f t="shared" si="10"/>
        <v>127937.3198125</v>
      </c>
      <c r="AJ11" s="35">
        <f t="shared" si="11"/>
        <v>127937.3198125</v>
      </c>
      <c r="AK11" s="34">
        <f t="shared" si="12"/>
        <v>17744.568366311</v>
      </c>
      <c r="AM11" s="35"/>
      <c r="AN11" s="35">
        <f t="shared" si="13"/>
        <v>237366.966375</v>
      </c>
      <c r="AO11" s="35">
        <f t="shared" si="14"/>
        <v>237366.966375</v>
      </c>
      <c r="AP11" s="34">
        <f t="shared" si="15"/>
        <v>32922.171332945996</v>
      </c>
      <c r="AR11" s="35"/>
      <c r="AS11" s="35">
        <f t="shared" si="16"/>
        <v>436.4105625</v>
      </c>
      <c r="AT11" s="35">
        <f t="shared" si="17"/>
        <v>436.4105625</v>
      </c>
      <c r="AU11" s="34">
        <f t="shared" si="18"/>
        <v>60.528992427</v>
      </c>
      <c r="AW11" s="35"/>
      <c r="AX11" s="35">
        <f t="shared" si="19"/>
        <v>407.4200625</v>
      </c>
      <c r="AY11" s="35">
        <f t="shared" si="20"/>
        <v>407.4200625</v>
      </c>
      <c r="AZ11" s="34">
        <f t="shared" si="21"/>
        <v>56.50808664299999</v>
      </c>
      <c r="BA11" s="35"/>
      <c r="BB11" s="35"/>
      <c r="BC11" s="35">
        <f t="shared" si="22"/>
        <v>2368.5928750000003</v>
      </c>
      <c r="BD11" s="35">
        <f t="shared" si="23"/>
        <v>2368.5928750000003</v>
      </c>
      <c r="BE11" s="34">
        <f t="shared" si="24"/>
        <v>328.517576138</v>
      </c>
      <c r="BF11" s="35"/>
      <c r="BG11" s="35"/>
      <c r="BH11" s="35">
        <f t="shared" si="25"/>
        <v>64834.3196875</v>
      </c>
      <c r="BI11" s="35">
        <f t="shared" si="26"/>
        <v>64834.3196875</v>
      </c>
      <c r="BJ11" s="34">
        <f t="shared" si="27"/>
        <v>8992.348908545</v>
      </c>
      <c r="BK11" s="35"/>
      <c r="BL11" s="35"/>
      <c r="BM11" s="35">
        <f t="shared" si="28"/>
        <v>254765.75300000003</v>
      </c>
      <c r="BN11" s="35">
        <f t="shared" si="29"/>
        <v>254765.75300000003</v>
      </c>
      <c r="BO11" s="34">
        <f t="shared" si="30"/>
        <v>35335.337086384</v>
      </c>
      <c r="BP11" s="35"/>
      <c r="BQ11" s="35"/>
      <c r="BR11" s="35">
        <f t="shared" si="31"/>
        <v>318703.7830625</v>
      </c>
      <c r="BS11" s="35">
        <f t="shared" si="32"/>
        <v>318703.7830625</v>
      </c>
      <c r="BT11" s="34">
        <f t="shared" si="33"/>
        <v>44203.37299110699</v>
      </c>
      <c r="BU11" s="35"/>
      <c r="BV11" s="35"/>
      <c r="BW11" s="35">
        <f t="shared" si="34"/>
        <v>22992.0549375</v>
      </c>
      <c r="BX11" s="35">
        <f t="shared" si="35"/>
        <v>22992.0549375</v>
      </c>
      <c r="BY11" s="34">
        <f t="shared" si="36"/>
        <v>3188.9372961569998</v>
      </c>
      <c r="BZ11" s="35"/>
      <c r="CA11" s="35"/>
      <c r="CB11" s="35"/>
      <c r="CC11" s="35">
        <f t="shared" si="37"/>
        <v>0</v>
      </c>
      <c r="CD11" s="34"/>
      <c r="CE11" s="35"/>
      <c r="CF11" s="35"/>
      <c r="CG11" s="35">
        <f t="shared" si="38"/>
        <v>37282.3006875</v>
      </c>
      <c r="CH11" s="35">
        <f t="shared" si="39"/>
        <v>37282.3006875</v>
      </c>
      <c r="CI11" s="34">
        <f t="shared" si="40"/>
        <v>5170.956640113</v>
      </c>
      <c r="CJ11" s="35"/>
      <c r="CK11" s="35"/>
      <c r="CL11" s="35">
        <f t="shared" si="41"/>
        <v>531295.0885</v>
      </c>
      <c r="CM11" s="35">
        <f t="shared" si="42"/>
        <v>531295.0885</v>
      </c>
      <c r="CN11" s="34">
        <f t="shared" si="43"/>
        <v>73689.22558632799</v>
      </c>
      <c r="CQ11" s="5">
        <v>133</v>
      </c>
      <c r="CR11" s="35">
        <f t="shared" si="44"/>
        <v>133</v>
      </c>
      <c r="CS11" s="34">
        <v>18.429151509999997</v>
      </c>
      <c r="CX11" s="5"/>
      <c r="CY11" s="5"/>
      <c r="CZ11" s="5"/>
      <c r="DA11" s="5"/>
      <c r="DB11" s="5"/>
      <c r="DC11" s="5"/>
      <c r="DD11" s="5"/>
      <c r="DE11" s="5"/>
      <c r="DF11" s="5"/>
      <c r="DG11" s="5"/>
    </row>
    <row r="12" spans="1:111" ht="12.75">
      <c r="A12" s="36">
        <v>45017</v>
      </c>
      <c r="C12" s="3">
        <v>3455000</v>
      </c>
      <c r="D12" s="3">
        <v>1725625</v>
      </c>
      <c r="E12" s="34">
        <f t="shared" si="0"/>
        <v>239339.62999999998</v>
      </c>
      <c r="F12" s="3">
        <v>1850000</v>
      </c>
      <c r="G12" s="3">
        <v>376625</v>
      </c>
      <c r="H12" s="3">
        <v>103496</v>
      </c>
      <c r="I12" s="34">
        <f t="shared" si="45"/>
        <v>5305000</v>
      </c>
      <c r="J12" s="34">
        <f t="shared" si="1"/>
        <v>2102250</v>
      </c>
      <c r="K12" s="34">
        <f t="shared" si="2"/>
        <v>7407250</v>
      </c>
      <c r="L12" s="34">
        <f t="shared" si="3"/>
        <v>342835.63</v>
      </c>
      <c r="M12" s="35"/>
      <c r="N12" s="3">
        <f>'10 yr Facilities Renewal'!C12</f>
        <v>1850000</v>
      </c>
      <c r="O12" s="3">
        <f>'10 yr Facilities Renewal'!D12</f>
        <v>376625</v>
      </c>
      <c r="P12" s="35">
        <f t="shared" si="4"/>
        <v>2226625</v>
      </c>
      <c r="Q12" s="34">
        <f>'10 yr Facilities Renewal'!F12</f>
        <v>103496</v>
      </c>
      <c r="S12" s="35">
        <f>'20 Yr Academic Project '!H12</f>
        <v>251269.021</v>
      </c>
      <c r="T12" s="35">
        <f>'20 Yr Academic Project '!I12</f>
        <v>125498.14887500001</v>
      </c>
      <c r="U12" s="35">
        <f t="shared" si="5"/>
        <v>376767.169875</v>
      </c>
      <c r="V12" s="34">
        <f>'20 Yr Academic Project '!K12</f>
        <v>17406.261799305998</v>
      </c>
      <c r="X12" s="35">
        <f aca="true" t="shared" si="60" ref="X12:X44">AC12+AH12+AM12+AR12+AW12+BB12+BG12+BL12+BQ12+BV12+CA12+CF12+CK12+CP12</f>
        <v>3203730.944</v>
      </c>
      <c r="Y12" s="34">
        <f t="shared" si="46"/>
        <v>1600126.9780000001</v>
      </c>
      <c r="Z12" s="35">
        <f t="shared" si="6"/>
        <v>4803857.922</v>
      </c>
      <c r="AA12" s="34">
        <f t="shared" si="47"/>
        <v>221933.36820069398</v>
      </c>
      <c r="AB12" s="35"/>
      <c r="AC12" s="35">
        <f t="shared" si="48"/>
        <v>3211.4225</v>
      </c>
      <c r="AD12" s="35">
        <f t="shared" si="7"/>
        <v>1603.9684375</v>
      </c>
      <c r="AE12" s="35">
        <f t="shared" si="8"/>
        <v>4815.3909375</v>
      </c>
      <c r="AF12" s="34">
        <f t="shared" si="9"/>
        <v>222.46618608499998</v>
      </c>
      <c r="AH12" s="35">
        <f t="shared" si="49"/>
        <v>256152.66350000002</v>
      </c>
      <c r="AI12" s="35">
        <f t="shared" si="10"/>
        <v>127937.3198125</v>
      </c>
      <c r="AJ12" s="35">
        <f t="shared" si="11"/>
        <v>384089.98331250006</v>
      </c>
      <c r="AK12" s="34">
        <f t="shared" si="12"/>
        <v>17744.568366311</v>
      </c>
      <c r="AM12" s="35">
        <f t="shared" si="50"/>
        <v>475249.76099999994</v>
      </c>
      <c r="AN12" s="35">
        <f t="shared" si="13"/>
        <v>237366.966375</v>
      </c>
      <c r="AO12" s="35">
        <f t="shared" si="14"/>
        <v>712616.7273749999</v>
      </c>
      <c r="AP12" s="34">
        <f t="shared" si="15"/>
        <v>32922.171332945996</v>
      </c>
      <c r="AR12" s="35">
        <f t="shared" si="51"/>
        <v>873.7695000000001</v>
      </c>
      <c r="AS12" s="35">
        <f t="shared" si="16"/>
        <v>436.4105625</v>
      </c>
      <c r="AT12" s="35">
        <f t="shared" si="17"/>
        <v>1310.1800625</v>
      </c>
      <c r="AU12" s="34">
        <f t="shared" si="18"/>
        <v>60.528992427</v>
      </c>
      <c r="AW12" s="35">
        <f t="shared" si="52"/>
        <v>815.7255</v>
      </c>
      <c r="AX12" s="35">
        <f t="shared" si="19"/>
        <v>407.4200625</v>
      </c>
      <c r="AY12" s="35">
        <f t="shared" si="20"/>
        <v>1223.1455624999999</v>
      </c>
      <c r="AZ12" s="34">
        <f t="shared" si="21"/>
        <v>56.50808664299999</v>
      </c>
      <c r="BA12" s="35"/>
      <c r="BB12" s="35">
        <f t="shared" si="53"/>
        <v>4742.3330000000005</v>
      </c>
      <c r="BC12" s="35">
        <f t="shared" si="22"/>
        <v>2368.5928750000003</v>
      </c>
      <c r="BD12" s="35">
        <f t="shared" si="23"/>
        <v>7110.925875000001</v>
      </c>
      <c r="BE12" s="34">
        <f t="shared" si="24"/>
        <v>328.517576138</v>
      </c>
      <c r="BF12" s="35"/>
      <c r="BG12" s="35">
        <f t="shared" si="54"/>
        <v>129809.5325</v>
      </c>
      <c r="BH12" s="35">
        <f t="shared" si="25"/>
        <v>64834.3196875</v>
      </c>
      <c r="BI12" s="35">
        <f t="shared" si="26"/>
        <v>194643.8521875</v>
      </c>
      <c r="BJ12" s="34">
        <f t="shared" si="27"/>
        <v>8992.348908545</v>
      </c>
      <c r="BK12" s="35"/>
      <c r="BL12" s="35">
        <f t="shared" si="55"/>
        <v>510085.14400000003</v>
      </c>
      <c r="BM12" s="35">
        <f t="shared" si="28"/>
        <v>254765.75300000003</v>
      </c>
      <c r="BN12" s="35">
        <f t="shared" si="29"/>
        <v>764850.8970000001</v>
      </c>
      <c r="BO12" s="34">
        <f t="shared" si="30"/>
        <v>35335.337086384</v>
      </c>
      <c r="BP12" s="35"/>
      <c r="BQ12" s="35">
        <f t="shared" si="56"/>
        <v>638100.1494999999</v>
      </c>
      <c r="BR12" s="35">
        <f t="shared" si="31"/>
        <v>318703.7830625</v>
      </c>
      <c r="BS12" s="35">
        <f t="shared" si="32"/>
        <v>956803.9325625</v>
      </c>
      <c r="BT12" s="34">
        <f t="shared" si="33"/>
        <v>44203.37299110699</v>
      </c>
      <c r="BU12" s="35"/>
      <c r="BV12" s="35">
        <f t="shared" si="57"/>
        <v>46034.074499999995</v>
      </c>
      <c r="BW12" s="35">
        <f t="shared" si="34"/>
        <v>22992.0549375</v>
      </c>
      <c r="BX12" s="35">
        <f t="shared" si="35"/>
        <v>69026.1294375</v>
      </c>
      <c r="BY12" s="34">
        <f t="shared" si="36"/>
        <v>3188.9372961569998</v>
      </c>
      <c r="BZ12" s="35"/>
      <c r="CA12" s="35"/>
      <c r="CB12" s="35"/>
      <c r="CC12" s="35">
        <f t="shared" si="37"/>
        <v>0</v>
      </c>
      <c r="CD12" s="34"/>
      <c r="CE12" s="35"/>
      <c r="CF12" s="35">
        <f t="shared" si="58"/>
        <v>74645.62049999999</v>
      </c>
      <c r="CG12" s="35">
        <f t="shared" si="38"/>
        <v>37282.3006875</v>
      </c>
      <c r="CH12" s="35">
        <f t="shared" si="39"/>
        <v>111927.92118749999</v>
      </c>
      <c r="CI12" s="34">
        <f t="shared" si="40"/>
        <v>5170.956640113</v>
      </c>
      <c r="CJ12" s="35"/>
      <c r="CK12" s="35">
        <f t="shared" si="59"/>
        <v>1063744.748</v>
      </c>
      <c r="CL12" s="35">
        <f t="shared" si="41"/>
        <v>531295.0885</v>
      </c>
      <c r="CM12" s="35">
        <f t="shared" si="42"/>
        <v>1595039.8364999997</v>
      </c>
      <c r="CN12" s="34">
        <f t="shared" si="43"/>
        <v>73689.22558632799</v>
      </c>
      <c r="CP12" s="5">
        <v>266</v>
      </c>
      <c r="CQ12" s="5">
        <v>133</v>
      </c>
      <c r="CR12" s="35">
        <f t="shared" si="44"/>
        <v>399</v>
      </c>
      <c r="CS12" s="34">
        <v>18.429151509999997</v>
      </c>
      <c r="CX12" s="5"/>
      <c r="CY12" s="5"/>
      <c r="CZ12" s="5"/>
      <c r="DA12" s="5"/>
      <c r="DB12" s="5"/>
      <c r="DC12" s="5"/>
      <c r="DD12" s="5"/>
      <c r="DE12" s="5"/>
      <c r="DF12" s="5"/>
      <c r="DG12" s="5"/>
    </row>
    <row r="13" spans="1:111" ht="12.75">
      <c r="A13" s="36">
        <v>45200</v>
      </c>
      <c r="D13" s="3">
        <v>1639250</v>
      </c>
      <c r="E13" s="34">
        <f t="shared" si="0"/>
        <v>239339.62999999998</v>
      </c>
      <c r="G13" s="3">
        <v>330375</v>
      </c>
      <c r="H13" s="3">
        <v>103496</v>
      </c>
      <c r="I13" s="34">
        <f t="shared" si="45"/>
        <v>0</v>
      </c>
      <c r="J13" s="34">
        <f t="shared" si="1"/>
        <v>1969625</v>
      </c>
      <c r="K13" s="34">
        <f t="shared" si="2"/>
        <v>1969625</v>
      </c>
      <c r="L13" s="34">
        <f t="shared" si="3"/>
        <v>342835.63</v>
      </c>
      <c r="M13" s="35"/>
      <c r="N13" s="3">
        <f>'10 yr Facilities Renewal'!C13</f>
        <v>0</v>
      </c>
      <c r="O13" s="3">
        <f>'10 yr Facilities Renewal'!D13</f>
        <v>330375</v>
      </c>
      <c r="P13" s="35">
        <f t="shared" si="4"/>
        <v>330375</v>
      </c>
      <c r="Q13" s="34">
        <f>'10 yr Facilities Renewal'!F13</f>
        <v>103496</v>
      </c>
      <c r="S13" s="35">
        <f>'20 Yr Academic Project '!H13</f>
        <v>0</v>
      </c>
      <c r="T13" s="35">
        <f>'20 Yr Academic Project '!I13</f>
        <v>119216.42335</v>
      </c>
      <c r="U13" s="35">
        <f t="shared" si="5"/>
        <v>119216.42335</v>
      </c>
      <c r="V13" s="34">
        <f>'20 Yr Academic Project '!K13</f>
        <v>17406.261799305998</v>
      </c>
      <c r="X13" s="35">
        <f t="shared" si="60"/>
        <v>0</v>
      </c>
      <c r="Y13" s="34">
        <f t="shared" si="46"/>
        <v>1520033.3544</v>
      </c>
      <c r="Z13" s="35">
        <f t="shared" si="6"/>
        <v>1520033.3544</v>
      </c>
      <c r="AA13" s="34">
        <f t="shared" si="47"/>
        <v>221933.36820069398</v>
      </c>
      <c r="AB13" s="35"/>
      <c r="AC13" s="35"/>
      <c r="AD13" s="35">
        <f t="shared" si="7"/>
        <v>1523.682875</v>
      </c>
      <c r="AE13" s="35">
        <f t="shared" si="8"/>
        <v>1523.682875</v>
      </c>
      <c r="AF13" s="34">
        <f t="shared" si="9"/>
        <v>222.46618608499998</v>
      </c>
      <c r="AH13" s="35"/>
      <c r="AI13" s="35">
        <f t="shared" si="10"/>
        <v>121533.50322500001</v>
      </c>
      <c r="AJ13" s="35">
        <f t="shared" si="11"/>
        <v>121533.50322500001</v>
      </c>
      <c r="AK13" s="34">
        <f t="shared" si="12"/>
        <v>17744.568366311</v>
      </c>
      <c r="AM13" s="35"/>
      <c r="AN13" s="35">
        <f t="shared" si="13"/>
        <v>225485.72234999997</v>
      </c>
      <c r="AO13" s="35">
        <f t="shared" si="14"/>
        <v>225485.72234999997</v>
      </c>
      <c r="AP13" s="34">
        <f t="shared" si="15"/>
        <v>32922.171332945996</v>
      </c>
      <c r="AR13" s="35"/>
      <c r="AS13" s="35">
        <f t="shared" si="16"/>
        <v>414.56632500000006</v>
      </c>
      <c r="AT13" s="35">
        <f t="shared" si="17"/>
        <v>414.56632500000006</v>
      </c>
      <c r="AU13" s="34">
        <f t="shared" si="18"/>
        <v>60.528992427</v>
      </c>
      <c r="AW13" s="35"/>
      <c r="AX13" s="35">
        <f t="shared" si="19"/>
        <v>387.026925</v>
      </c>
      <c r="AY13" s="35">
        <f t="shared" si="20"/>
        <v>387.026925</v>
      </c>
      <c r="AZ13" s="34">
        <f t="shared" si="21"/>
        <v>56.50808664299999</v>
      </c>
      <c r="BA13" s="35"/>
      <c r="BB13" s="35"/>
      <c r="BC13" s="35">
        <f t="shared" si="22"/>
        <v>2250.0345500000003</v>
      </c>
      <c r="BD13" s="35">
        <f t="shared" si="23"/>
        <v>2250.0345500000003</v>
      </c>
      <c r="BE13" s="34">
        <f t="shared" si="24"/>
        <v>328.517576138</v>
      </c>
      <c r="BF13" s="35"/>
      <c r="BG13" s="35"/>
      <c r="BH13" s="35">
        <f t="shared" si="25"/>
        <v>61589.081375</v>
      </c>
      <c r="BI13" s="35">
        <f t="shared" si="26"/>
        <v>61589.081375</v>
      </c>
      <c r="BJ13" s="34">
        <f t="shared" si="27"/>
        <v>8992.348908545</v>
      </c>
      <c r="BK13" s="35"/>
      <c r="BL13" s="35"/>
      <c r="BM13" s="35">
        <f t="shared" si="28"/>
        <v>242013.62440000003</v>
      </c>
      <c r="BN13" s="35">
        <f t="shared" si="29"/>
        <v>242013.62440000003</v>
      </c>
      <c r="BO13" s="34">
        <f t="shared" si="30"/>
        <v>35335.337086384</v>
      </c>
      <c r="BP13" s="35"/>
      <c r="BQ13" s="35"/>
      <c r="BR13" s="35">
        <f t="shared" si="31"/>
        <v>302751.279325</v>
      </c>
      <c r="BS13" s="35">
        <f t="shared" si="32"/>
        <v>302751.279325</v>
      </c>
      <c r="BT13" s="34">
        <f t="shared" si="33"/>
        <v>44203.37299110699</v>
      </c>
      <c r="BU13" s="35"/>
      <c r="BV13" s="35"/>
      <c r="BW13" s="35">
        <f t="shared" si="34"/>
        <v>21841.203074999998</v>
      </c>
      <c r="BX13" s="35">
        <f t="shared" si="35"/>
        <v>21841.203074999998</v>
      </c>
      <c r="BY13" s="34">
        <f t="shared" si="36"/>
        <v>3188.9372961569998</v>
      </c>
      <c r="BZ13" s="35"/>
      <c r="CA13" s="35"/>
      <c r="CB13" s="35"/>
      <c r="CC13" s="35">
        <f t="shared" si="37"/>
        <v>0</v>
      </c>
      <c r="CD13" s="34"/>
      <c r="CE13" s="35"/>
      <c r="CF13" s="35"/>
      <c r="CG13" s="35">
        <f t="shared" si="38"/>
        <v>35416.160175</v>
      </c>
      <c r="CH13" s="35">
        <f t="shared" si="39"/>
        <v>35416.160175</v>
      </c>
      <c r="CI13" s="34">
        <f t="shared" si="40"/>
        <v>5170.956640113</v>
      </c>
      <c r="CJ13" s="35"/>
      <c r="CK13" s="35"/>
      <c r="CL13" s="35">
        <f t="shared" si="41"/>
        <v>504701.46979999996</v>
      </c>
      <c r="CM13" s="35">
        <f t="shared" si="42"/>
        <v>504701.46979999996</v>
      </c>
      <c r="CN13" s="34">
        <f t="shared" si="43"/>
        <v>73689.22558632799</v>
      </c>
      <c r="CQ13" s="5">
        <v>126</v>
      </c>
      <c r="CR13" s="35">
        <f t="shared" si="44"/>
        <v>126</v>
      </c>
      <c r="CS13" s="34">
        <v>18.429151509999997</v>
      </c>
      <c r="CX13" s="5"/>
      <c r="CY13" s="5"/>
      <c r="CZ13" s="5"/>
      <c r="DA13" s="5"/>
      <c r="DB13" s="5"/>
      <c r="DC13" s="5"/>
      <c r="DD13" s="5"/>
      <c r="DE13" s="5"/>
      <c r="DF13" s="5"/>
      <c r="DG13" s="5"/>
    </row>
    <row r="14" spans="1:111" ht="12.75">
      <c r="A14" s="36">
        <v>45383</v>
      </c>
      <c r="B14" s="37"/>
      <c r="C14" s="3">
        <v>3630000</v>
      </c>
      <c r="D14" s="3">
        <v>1639250</v>
      </c>
      <c r="E14" s="34">
        <f t="shared" si="0"/>
        <v>239339.62999999998</v>
      </c>
      <c r="F14" s="3">
        <v>1945000</v>
      </c>
      <c r="G14" s="3">
        <v>330375</v>
      </c>
      <c r="H14" s="3">
        <v>103496</v>
      </c>
      <c r="I14" s="34">
        <f t="shared" si="45"/>
        <v>5575000</v>
      </c>
      <c r="J14" s="34">
        <f t="shared" si="1"/>
        <v>1969625</v>
      </c>
      <c r="K14" s="34">
        <f t="shared" si="2"/>
        <v>7544625</v>
      </c>
      <c r="L14" s="34">
        <f t="shared" si="3"/>
        <v>342835.63</v>
      </c>
      <c r="M14" s="35"/>
      <c r="N14" s="3">
        <f>'10 yr Facilities Renewal'!C14</f>
        <v>1945000</v>
      </c>
      <c r="O14" s="3">
        <f>'10 yr Facilities Renewal'!D14</f>
        <v>330375</v>
      </c>
      <c r="P14" s="35">
        <f t="shared" si="4"/>
        <v>2275375</v>
      </c>
      <c r="Q14" s="34">
        <f>'10 yr Facilities Renewal'!F14</f>
        <v>103496</v>
      </c>
      <c r="S14" s="35">
        <f>'20 Yr Academic Project '!H14</f>
        <v>263996.106</v>
      </c>
      <c r="T14" s="35">
        <f>'20 Yr Academic Project '!I14</f>
        <v>119216.42335</v>
      </c>
      <c r="U14" s="35">
        <f t="shared" si="5"/>
        <v>383212.52935</v>
      </c>
      <c r="V14" s="34">
        <f>'20 Yr Academic Project '!K14</f>
        <v>17406.261799305998</v>
      </c>
      <c r="X14" s="35">
        <f t="shared" si="60"/>
        <v>3366004.3839999996</v>
      </c>
      <c r="Y14" s="34">
        <f t="shared" si="46"/>
        <v>1520033.3544</v>
      </c>
      <c r="Z14" s="35">
        <f t="shared" si="6"/>
        <v>4886037.738399999</v>
      </c>
      <c r="AA14" s="34">
        <f t="shared" si="47"/>
        <v>221933.36820069398</v>
      </c>
      <c r="AB14" s="35"/>
      <c r="AC14" s="35">
        <f t="shared" si="48"/>
        <v>3374.085</v>
      </c>
      <c r="AD14" s="35">
        <f t="shared" si="7"/>
        <v>1523.682875</v>
      </c>
      <c r="AE14" s="35">
        <f t="shared" si="8"/>
        <v>4897.767875</v>
      </c>
      <c r="AF14" s="34">
        <f t="shared" si="9"/>
        <v>222.46618608499998</v>
      </c>
      <c r="AH14" s="35">
        <f t="shared" si="49"/>
        <v>269127.11100000003</v>
      </c>
      <c r="AI14" s="35">
        <f t="shared" si="10"/>
        <v>121533.50322500001</v>
      </c>
      <c r="AJ14" s="35">
        <f t="shared" si="11"/>
        <v>390660.614225</v>
      </c>
      <c r="AK14" s="34">
        <f t="shared" si="12"/>
        <v>17744.568366311</v>
      </c>
      <c r="AM14" s="35">
        <f t="shared" si="50"/>
        <v>499321.7459999999</v>
      </c>
      <c r="AN14" s="35">
        <f t="shared" si="13"/>
        <v>225485.72234999997</v>
      </c>
      <c r="AO14" s="35">
        <f t="shared" si="14"/>
        <v>724807.4683499999</v>
      </c>
      <c r="AP14" s="34">
        <f t="shared" si="15"/>
        <v>32922.171332945996</v>
      </c>
      <c r="AR14" s="35">
        <f t="shared" si="51"/>
        <v>918.027</v>
      </c>
      <c r="AS14" s="35">
        <f t="shared" si="16"/>
        <v>414.56632500000006</v>
      </c>
      <c r="AT14" s="35">
        <f t="shared" si="17"/>
        <v>1332.593325</v>
      </c>
      <c r="AU14" s="34">
        <f t="shared" si="18"/>
        <v>60.528992427</v>
      </c>
      <c r="AW14" s="35">
        <f t="shared" si="52"/>
        <v>857.043</v>
      </c>
      <c r="AX14" s="35">
        <f t="shared" si="19"/>
        <v>387.026925</v>
      </c>
      <c r="AY14" s="35">
        <f t="shared" si="20"/>
        <v>1244.069925</v>
      </c>
      <c r="AZ14" s="34">
        <f t="shared" si="21"/>
        <v>56.50808664299999</v>
      </c>
      <c r="BA14" s="35"/>
      <c r="BB14" s="35">
        <f t="shared" si="53"/>
        <v>4982.5380000000005</v>
      </c>
      <c r="BC14" s="35">
        <f t="shared" si="22"/>
        <v>2250.0345500000003</v>
      </c>
      <c r="BD14" s="35">
        <f t="shared" si="23"/>
        <v>7232.572550000001</v>
      </c>
      <c r="BE14" s="34">
        <f t="shared" si="24"/>
        <v>328.517576138</v>
      </c>
      <c r="BF14" s="35"/>
      <c r="BG14" s="35">
        <f t="shared" si="54"/>
        <v>136384.545</v>
      </c>
      <c r="BH14" s="35">
        <f t="shared" si="25"/>
        <v>61589.081375</v>
      </c>
      <c r="BI14" s="35">
        <f t="shared" si="26"/>
        <v>197973.62637500002</v>
      </c>
      <c r="BJ14" s="34">
        <f t="shared" si="27"/>
        <v>8992.348908545</v>
      </c>
      <c r="BK14" s="35"/>
      <c r="BL14" s="35">
        <f t="shared" si="55"/>
        <v>535921.584</v>
      </c>
      <c r="BM14" s="35">
        <f t="shared" si="28"/>
        <v>242013.62440000003</v>
      </c>
      <c r="BN14" s="35">
        <f t="shared" si="29"/>
        <v>777935.2084000001</v>
      </c>
      <c r="BO14" s="34">
        <f t="shared" si="30"/>
        <v>35335.337086384</v>
      </c>
      <c r="BP14" s="35"/>
      <c r="BQ14" s="35">
        <f t="shared" si="56"/>
        <v>670420.7069999999</v>
      </c>
      <c r="BR14" s="35">
        <f t="shared" si="31"/>
        <v>302751.279325</v>
      </c>
      <c r="BS14" s="35">
        <f t="shared" si="32"/>
        <v>973171.986325</v>
      </c>
      <c r="BT14" s="34">
        <f t="shared" si="33"/>
        <v>44203.37299110699</v>
      </c>
      <c r="BU14" s="35"/>
      <c r="BV14" s="35">
        <f t="shared" si="57"/>
        <v>48365.757</v>
      </c>
      <c r="BW14" s="35">
        <f t="shared" si="34"/>
        <v>21841.203074999998</v>
      </c>
      <c r="BX14" s="35">
        <f t="shared" si="35"/>
        <v>70206.960075</v>
      </c>
      <c r="BY14" s="34">
        <f t="shared" si="36"/>
        <v>3188.9372961569998</v>
      </c>
      <c r="BZ14" s="35"/>
      <c r="CA14" s="35"/>
      <c r="CB14" s="35"/>
      <c r="CC14" s="35">
        <f t="shared" si="37"/>
        <v>0</v>
      </c>
      <c r="CD14" s="34"/>
      <c r="CE14" s="35"/>
      <c r="CF14" s="35">
        <f t="shared" si="58"/>
        <v>78426.51299999999</v>
      </c>
      <c r="CG14" s="35">
        <f t="shared" si="38"/>
        <v>35416.160175</v>
      </c>
      <c r="CH14" s="35">
        <f t="shared" si="39"/>
        <v>113842.67317499999</v>
      </c>
      <c r="CI14" s="34">
        <f t="shared" si="40"/>
        <v>5170.956640113</v>
      </c>
      <c r="CJ14" s="35"/>
      <c r="CK14" s="35">
        <f t="shared" si="59"/>
        <v>1117624.728</v>
      </c>
      <c r="CL14" s="35">
        <f t="shared" si="41"/>
        <v>504701.46979999996</v>
      </c>
      <c r="CM14" s="35">
        <f t="shared" si="42"/>
        <v>1622326.1977999997</v>
      </c>
      <c r="CN14" s="34">
        <f t="shared" si="43"/>
        <v>73689.22558632799</v>
      </c>
      <c r="CP14" s="5">
        <v>280</v>
      </c>
      <c r="CQ14" s="5">
        <v>126</v>
      </c>
      <c r="CR14" s="35">
        <f t="shared" si="44"/>
        <v>406</v>
      </c>
      <c r="CS14" s="34">
        <v>18.429151509999997</v>
      </c>
      <c r="CX14" s="5"/>
      <c r="CY14" s="5"/>
      <c r="CZ14" s="5"/>
      <c r="DA14" s="5"/>
      <c r="DB14" s="5"/>
      <c r="DC14" s="5"/>
      <c r="DD14" s="5"/>
      <c r="DE14" s="5"/>
      <c r="DF14" s="5"/>
      <c r="DG14" s="5"/>
    </row>
    <row r="15" spans="1:111" ht="12.75">
      <c r="A15" s="36">
        <v>45566</v>
      </c>
      <c r="D15" s="3">
        <v>1548500</v>
      </c>
      <c r="E15" s="34">
        <f t="shared" si="0"/>
        <v>239339.62999999998</v>
      </c>
      <c r="G15" s="3">
        <v>281750</v>
      </c>
      <c r="H15" s="3">
        <v>103496</v>
      </c>
      <c r="I15" s="34">
        <f t="shared" si="45"/>
        <v>0</v>
      </c>
      <c r="J15" s="34">
        <f t="shared" si="1"/>
        <v>1830250</v>
      </c>
      <c r="K15" s="34">
        <f t="shared" si="2"/>
        <v>1830250</v>
      </c>
      <c r="L15" s="34">
        <f t="shared" si="3"/>
        <v>342835.63</v>
      </c>
      <c r="M15" s="35"/>
      <c r="N15" s="3">
        <f>'10 yr Facilities Renewal'!C15</f>
        <v>0</v>
      </c>
      <c r="O15" s="3">
        <f>'10 yr Facilities Renewal'!D15</f>
        <v>281750</v>
      </c>
      <c r="P15" s="35">
        <f t="shared" si="4"/>
        <v>281750</v>
      </c>
      <c r="Q15" s="34">
        <f>'10 yr Facilities Renewal'!F15</f>
        <v>103496</v>
      </c>
      <c r="S15" s="35">
        <f>'20 Yr Academic Project '!H15</f>
        <v>0</v>
      </c>
      <c r="T15" s="35">
        <f>'20 Yr Academic Project '!I15</f>
        <v>112616.5207</v>
      </c>
      <c r="U15" s="35">
        <f t="shared" si="5"/>
        <v>112616.5207</v>
      </c>
      <c r="V15" s="34">
        <f>'20 Yr Academic Project '!K15</f>
        <v>17406.261799305998</v>
      </c>
      <c r="X15" s="35">
        <f t="shared" si="60"/>
        <v>0</v>
      </c>
      <c r="Y15" s="34">
        <f t="shared" si="46"/>
        <v>1435883.2448</v>
      </c>
      <c r="Z15" s="35">
        <f t="shared" si="6"/>
        <v>1435883.2448</v>
      </c>
      <c r="AA15" s="34">
        <f t="shared" si="47"/>
        <v>221933.36820069398</v>
      </c>
      <c r="AB15" s="35"/>
      <c r="AC15" s="35"/>
      <c r="AD15" s="35">
        <f t="shared" si="7"/>
        <v>1439.33075</v>
      </c>
      <c r="AE15" s="35">
        <f t="shared" si="8"/>
        <v>1439.33075</v>
      </c>
      <c r="AF15" s="34">
        <f t="shared" si="9"/>
        <v>222.46618608499998</v>
      </c>
      <c r="AH15" s="35"/>
      <c r="AI15" s="35">
        <f t="shared" si="10"/>
        <v>114805.32545</v>
      </c>
      <c r="AJ15" s="35">
        <f t="shared" si="11"/>
        <v>114805.32545</v>
      </c>
      <c r="AK15" s="34">
        <f t="shared" si="12"/>
        <v>17744.568366311</v>
      </c>
      <c r="AM15" s="35"/>
      <c r="AN15" s="35">
        <f t="shared" si="13"/>
        <v>213002.6787</v>
      </c>
      <c r="AO15" s="35">
        <f t="shared" si="14"/>
        <v>213002.6787</v>
      </c>
      <c r="AP15" s="34">
        <f t="shared" si="15"/>
        <v>32922.171332945996</v>
      </c>
      <c r="AR15" s="35"/>
      <c r="AS15" s="35">
        <f t="shared" si="16"/>
        <v>391.61565</v>
      </c>
      <c r="AT15" s="35">
        <f t="shared" si="17"/>
        <v>391.61565</v>
      </c>
      <c r="AU15" s="34">
        <f t="shared" si="18"/>
        <v>60.528992427</v>
      </c>
      <c r="AW15" s="35"/>
      <c r="AX15" s="35">
        <f t="shared" si="19"/>
        <v>365.60085</v>
      </c>
      <c r="AY15" s="35">
        <f t="shared" si="20"/>
        <v>365.60085</v>
      </c>
      <c r="AZ15" s="34">
        <f t="shared" si="21"/>
        <v>56.50808664299999</v>
      </c>
      <c r="BA15" s="35"/>
      <c r="BB15" s="35"/>
      <c r="BC15" s="35">
        <f t="shared" si="22"/>
        <v>2125.4711</v>
      </c>
      <c r="BD15" s="35">
        <f t="shared" si="23"/>
        <v>2125.4711</v>
      </c>
      <c r="BE15" s="34">
        <f t="shared" si="24"/>
        <v>328.517576138</v>
      </c>
      <c r="BF15" s="35"/>
      <c r="BG15" s="35"/>
      <c r="BH15" s="35">
        <f t="shared" si="25"/>
        <v>58179.46775</v>
      </c>
      <c r="BI15" s="35">
        <f t="shared" si="26"/>
        <v>58179.46775</v>
      </c>
      <c r="BJ15" s="34">
        <f t="shared" si="27"/>
        <v>8992.348908545</v>
      </c>
      <c r="BK15" s="35"/>
      <c r="BL15" s="35"/>
      <c r="BM15" s="35">
        <f t="shared" si="28"/>
        <v>228615.5848</v>
      </c>
      <c r="BN15" s="35">
        <f t="shared" si="29"/>
        <v>228615.5848</v>
      </c>
      <c r="BO15" s="34">
        <f t="shared" si="30"/>
        <v>35335.337086384</v>
      </c>
      <c r="BP15" s="35"/>
      <c r="BQ15" s="35"/>
      <c r="BR15" s="35">
        <f t="shared" si="31"/>
        <v>285990.76165</v>
      </c>
      <c r="BS15" s="35">
        <f t="shared" si="32"/>
        <v>285990.76165</v>
      </c>
      <c r="BT15" s="34">
        <f t="shared" si="33"/>
        <v>44203.37299110699</v>
      </c>
      <c r="BU15" s="35"/>
      <c r="BV15" s="35"/>
      <c r="BW15" s="35">
        <f t="shared" si="34"/>
        <v>20632.05915</v>
      </c>
      <c r="BX15" s="35">
        <f t="shared" si="35"/>
        <v>20632.05915</v>
      </c>
      <c r="BY15" s="34">
        <f t="shared" si="36"/>
        <v>3188.9372961569998</v>
      </c>
      <c r="BZ15" s="35"/>
      <c r="CA15" s="35"/>
      <c r="CB15" s="35"/>
      <c r="CC15" s="35">
        <f t="shared" si="37"/>
        <v>0</v>
      </c>
      <c r="CD15" s="34"/>
      <c r="CE15" s="35"/>
      <c r="CF15" s="35"/>
      <c r="CG15" s="35">
        <f t="shared" si="38"/>
        <v>33455.49735</v>
      </c>
      <c r="CH15" s="35">
        <f t="shared" si="39"/>
        <v>33455.49735</v>
      </c>
      <c r="CI15" s="34">
        <f t="shared" si="40"/>
        <v>5170.956640113</v>
      </c>
      <c r="CJ15" s="35"/>
      <c r="CK15" s="35"/>
      <c r="CL15" s="35">
        <f t="shared" si="41"/>
        <v>476760.8516</v>
      </c>
      <c r="CM15" s="35">
        <f t="shared" si="42"/>
        <v>476760.8516</v>
      </c>
      <c r="CN15" s="34">
        <f t="shared" si="43"/>
        <v>73689.22558632799</v>
      </c>
      <c r="CQ15" s="5">
        <v>119</v>
      </c>
      <c r="CR15" s="35">
        <f t="shared" si="44"/>
        <v>119</v>
      </c>
      <c r="CS15" s="34">
        <v>18.429151509999997</v>
      </c>
      <c r="CX15" s="5"/>
      <c r="CY15" s="5"/>
      <c r="CZ15" s="5"/>
      <c r="DA15" s="5"/>
      <c r="DB15" s="5"/>
      <c r="DC15" s="5"/>
      <c r="DD15" s="5"/>
      <c r="DE15" s="5"/>
      <c r="DF15" s="5"/>
      <c r="DG15" s="5"/>
    </row>
    <row r="16" spans="1:111" ht="12.75">
      <c r="A16" s="36">
        <v>45748</v>
      </c>
      <c r="C16" s="3">
        <v>3810000</v>
      </c>
      <c r="D16" s="3">
        <v>1548500</v>
      </c>
      <c r="E16" s="34">
        <f t="shared" si="0"/>
        <v>239339.62999999998</v>
      </c>
      <c r="F16" s="3">
        <v>2040000</v>
      </c>
      <c r="G16" s="3">
        <v>281750</v>
      </c>
      <c r="H16" s="3">
        <v>103496</v>
      </c>
      <c r="I16" s="34">
        <f t="shared" si="45"/>
        <v>5850000</v>
      </c>
      <c r="J16" s="34">
        <f t="shared" si="1"/>
        <v>1830250</v>
      </c>
      <c r="K16" s="34">
        <f t="shared" si="2"/>
        <v>7680250</v>
      </c>
      <c r="L16" s="34">
        <f t="shared" si="3"/>
        <v>342835.63</v>
      </c>
      <c r="M16" s="35"/>
      <c r="N16" s="3">
        <f>'10 yr Facilities Renewal'!C16</f>
        <v>2040000</v>
      </c>
      <c r="O16" s="3">
        <f>'10 yr Facilities Renewal'!D16</f>
        <v>281750</v>
      </c>
      <c r="P16" s="35">
        <f t="shared" si="4"/>
        <v>2321750</v>
      </c>
      <c r="Q16" s="34">
        <f>'10 yr Facilities Renewal'!F16</f>
        <v>103496</v>
      </c>
      <c r="S16" s="35">
        <f>'20 Yr Academic Project '!H16</f>
        <v>277086.822</v>
      </c>
      <c r="T16" s="35">
        <f>'20 Yr Academic Project '!I16</f>
        <v>112616.5207</v>
      </c>
      <c r="U16" s="35">
        <f t="shared" si="5"/>
        <v>389703.3427</v>
      </c>
      <c r="V16" s="34">
        <f>'20 Yr Academic Project '!K16</f>
        <v>17406.261799305998</v>
      </c>
      <c r="X16" s="35">
        <f t="shared" si="60"/>
        <v>3532912.8079999997</v>
      </c>
      <c r="Y16" s="34">
        <f t="shared" si="46"/>
        <v>1435883.2448</v>
      </c>
      <c r="Z16" s="35">
        <f t="shared" si="6"/>
        <v>4968796.0528</v>
      </c>
      <c r="AA16" s="34">
        <f t="shared" si="47"/>
        <v>221933.36820069398</v>
      </c>
      <c r="AB16" s="35"/>
      <c r="AC16" s="35">
        <f t="shared" si="48"/>
        <v>3541.395</v>
      </c>
      <c r="AD16" s="35">
        <f t="shared" si="7"/>
        <v>1439.33075</v>
      </c>
      <c r="AE16" s="35">
        <f t="shared" si="8"/>
        <v>4980.72575</v>
      </c>
      <c r="AF16" s="34">
        <f t="shared" si="9"/>
        <v>222.46618608499998</v>
      </c>
      <c r="AH16" s="35">
        <f t="shared" si="49"/>
        <v>282472.257</v>
      </c>
      <c r="AI16" s="35">
        <f t="shared" si="10"/>
        <v>114805.32545</v>
      </c>
      <c r="AJ16" s="35">
        <f t="shared" si="11"/>
        <v>397277.58245</v>
      </c>
      <c r="AK16" s="34">
        <f t="shared" si="12"/>
        <v>17744.568366311</v>
      </c>
      <c r="AM16" s="35">
        <f t="shared" si="50"/>
        <v>524081.502</v>
      </c>
      <c r="AN16" s="35">
        <f t="shared" si="13"/>
        <v>213002.6787</v>
      </c>
      <c r="AO16" s="35">
        <f t="shared" si="14"/>
        <v>737084.1806999999</v>
      </c>
      <c r="AP16" s="34">
        <f t="shared" si="15"/>
        <v>32922.171332945996</v>
      </c>
      <c r="AR16" s="35">
        <f t="shared" si="51"/>
        <v>963.5490000000001</v>
      </c>
      <c r="AS16" s="35">
        <f t="shared" si="16"/>
        <v>391.61565</v>
      </c>
      <c r="AT16" s="35">
        <f t="shared" si="17"/>
        <v>1355.1646500000002</v>
      </c>
      <c r="AU16" s="34">
        <f t="shared" si="18"/>
        <v>60.528992427</v>
      </c>
      <c r="AW16" s="35">
        <f t="shared" si="52"/>
        <v>899.5409999999999</v>
      </c>
      <c r="AX16" s="35">
        <f t="shared" si="19"/>
        <v>365.60085</v>
      </c>
      <c r="AY16" s="35">
        <f t="shared" si="20"/>
        <v>1265.14185</v>
      </c>
      <c r="AZ16" s="34">
        <f t="shared" si="21"/>
        <v>56.50808664299999</v>
      </c>
      <c r="BA16" s="35"/>
      <c r="BB16" s="35">
        <f t="shared" si="53"/>
        <v>5229.606000000001</v>
      </c>
      <c r="BC16" s="35">
        <f t="shared" si="22"/>
        <v>2125.4711</v>
      </c>
      <c r="BD16" s="35">
        <f t="shared" si="23"/>
        <v>7355.0771</v>
      </c>
      <c r="BE16" s="34">
        <f t="shared" si="24"/>
        <v>328.517576138</v>
      </c>
      <c r="BF16" s="35"/>
      <c r="BG16" s="35">
        <f t="shared" si="54"/>
        <v>143147.415</v>
      </c>
      <c r="BH16" s="35">
        <f t="shared" si="25"/>
        <v>58179.46775</v>
      </c>
      <c r="BI16" s="35">
        <f t="shared" si="26"/>
        <v>201326.88275000002</v>
      </c>
      <c r="BJ16" s="34">
        <f t="shared" si="27"/>
        <v>8992.348908545</v>
      </c>
      <c r="BK16" s="35"/>
      <c r="BL16" s="35">
        <f t="shared" si="55"/>
        <v>562496.2080000001</v>
      </c>
      <c r="BM16" s="35">
        <f t="shared" si="28"/>
        <v>228615.5848</v>
      </c>
      <c r="BN16" s="35">
        <f t="shared" si="29"/>
        <v>791111.7928000002</v>
      </c>
      <c r="BO16" s="34">
        <f t="shared" si="30"/>
        <v>35335.337086384</v>
      </c>
      <c r="BP16" s="35"/>
      <c r="BQ16" s="35">
        <f t="shared" si="56"/>
        <v>703664.7089999999</v>
      </c>
      <c r="BR16" s="35">
        <f t="shared" si="31"/>
        <v>285990.76165</v>
      </c>
      <c r="BS16" s="35">
        <f t="shared" si="32"/>
        <v>989655.4706499999</v>
      </c>
      <c r="BT16" s="34">
        <f t="shared" si="33"/>
        <v>44203.37299110699</v>
      </c>
      <c r="BU16" s="35"/>
      <c r="BV16" s="35">
        <f t="shared" si="57"/>
        <v>50764.059</v>
      </c>
      <c r="BW16" s="35">
        <f t="shared" si="34"/>
        <v>20632.05915</v>
      </c>
      <c r="BX16" s="35">
        <f t="shared" si="35"/>
        <v>71396.11815</v>
      </c>
      <c r="BY16" s="34">
        <f t="shared" si="36"/>
        <v>3188.9372961569998</v>
      </c>
      <c r="BZ16" s="35"/>
      <c r="CA16" s="35"/>
      <c r="CB16" s="35"/>
      <c r="CC16" s="35">
        <f t="shared" si="37"/>
        <v>0</v>
      </c>
      <c r="CD16" s="34"/>
      <c r="CE16" s="35"/>
      <c r="CF16" s="35">
        <f t="shared" si="58"/>
        <v>82315.431</v>
      </c>
      <c r="CG16" s="35">
        <f t="shared" si="38"/>
        <v>33455.49735</v>
      </c>
      <c r="CH16" s="35">
        <f t="shared" si="39"/>
        <v>115770.92835</v>
      </c>
      <c r="CI16" s="34">
        <f t="shared" si="40"/>
        <v>5170.956640113</v>
      </c>
      <c r="CJ16" s="35"/>
      <c r="CK16" s="35">
        <f t="shared" si="59"/>
        <v>1173044.136</v>
      </c>
      <c r="CL16" s="35">
        <f t="shared" si="41"/>
        <v>476760.8516</v>
      </c>
      <c r="CM16" s="35">
        <f t="shared" si="42"/>
        <v>1649804.9875999999</v>
      </c>
      <c r="CN16" s="34">
        <f t="shared" si="43"/>
        <v>73689.22558632799</v>
      </c>
      <c r="CP16" s="5">
        <v>293</v>
      </c>
      <c r="CQ16" s="5">
        <v>119</v>
      </c>
      <c r="CR16" s="35">
        <f t="shared" si="44"/>
        <v>412</v>
      </c>
      <c r="CS16" s="34">
        <v>18.429151509999997</v>
      </c>
      <c r="CX16" s="5"/>
      <c r="CY16" s="5"/>
      <c r="CZ16" s="5"/>
      <c r="DA16" s="5"/>
      <c r="DB16" s="5"/>
      <c r="DC16" s="5"/>
      <c r="DD16" s="5"/>
      <c r="DE16" s="5"/>
      <c r="DF16" s="5"/>
      <c r="DG16" s="5"/>
    </row>
    <row r="17" spans="1:111" ht="12.75">
      <c r="A17" s="36">
        <v>45931</v>
      </c>
      <c r="D17" s="3">
        <v>1453250</v>
      </c>
      <c r="E17" s="34">
        <f t="shared" si="0"/>
        <v>239339.62999999998</v>
      </c>
      <c r="G17" s="3">
        <v>230750</v>
      </c>
      <c r="H17" s="3">
        <v>103496</v>
      </c>
      <c r="I17" s="34">
        <f t="shared" si="45"/>
        <v>0</v>
      </c>
      <c r="J17" s="34">
        <f t="shared" si="1"/>
        <v>1684000</v>
      </c>
      <c r="K17" s="34">
        <f t="shared" si="2"/>
        <v>1684000</v>
      </c>
      <c r="L17" s="34">
        <f t="shared" si="3"/>
        <v>342835.63</v>
      </c>
      <c r="M17" s="35"/>
      <c r="N17" s="3">
        <f>'10 yr Facilities Renewal'!C17</f>
        <v>0</v>
      </c>
      <c r="O17" s="3">
        <f>'10 yr Facilities Renewal'!D17</f>
        <v>230750</v>
      </c>
      <c r="P17" s="35">
        <f t="shared" si="4"/>
        <v>230750</v>
      </c>
      <c r="Q17" s="34">
        <f>'10 yr Facilities Renewal'!F17</f>
        <v>103496</v>
      </c>
      <c r="S17" s="35">
        <f>'20 Yr Academic Project '!H17</f>
        <v>0</v>
      </c>
      <c r="T17" s="35">
        <f>'20 Yr Academic Project '!I17</f>
        <v>105689.35015</v>
      </c>
      <c r="U17" s="35">
        <f t="shared" si="5"/>
        <v>105689.35015</v>
      </c>
      <c r="V17" s="34">
        <f>'20 Yr Academic Project '!K17</f>
        <v>17406.261799305998</v>
      </c>
      <c r="X17" s="35">
        <f t="shared" si="60"/>
        <v>0</v>
      </c>
      <c r="Y17" s="34">
        <f t="shared" si="46"/>
        <v>1347560.7496</v>
      </c>
      <c r="Z17" s="35">
        <f t="shared" si="6"/>
        <v>1347560.7496</v>
      </c>
      <c r="AA17" s="34">
        <f t="shared" si="47"/>
        <v>221933.36820069398</v>
      </c>
      <c r="AB17" s="35"/>
      <c r="AC17" s="35"/>
      <c r="AD17" s="35">
        <f t="shared" si="7"/>
        <v>1350.795875</v>
      </c>
      <c r="AE17" s="35">
        <f t="shared" si="8"/>
        <v>1350.795875</v>
      </c>
      <c r="AF17" s="34">
        <f t="shared" si="9"/>
        <v>222.46618608499998</v>
      </c>
      <c r="AH17" s="35"/>
      <c r="AI17" s="35">
        <f t="shared" si="10"/>
        <v>107743.519025</v>
      </c>
      <c r="AJ17" s="35">
        <f t="shared" si="11"/>
        <v>107743.519025</v>
      </c>
      <c r="AK17" s="34">
        <f t="shared" si="12"/>
        <v>17744.568366311</v>
      </c>
      <c r="AM17" s="35"/>
      <c r="AN17" s="35">
        <f t="shared" si="13"/>
        <v>199900.64114999998</v>
      </c>
      <c r="AO17" s="35">
        <f t="shared" si="14"/>
        <v>199900.64114999998</v>
      </c>
      <c r="AP17" s="34">
        <f t="shared" si="15"/>
        <v>32922.171332945996</v>
      </c>
      <c r="AR17" s="35"/>
      <c r="AS17" s="35">
        <f t="shared" si="16"/>
        <v>367.526925</v>
      </c>
      <c r="AT17" s="35">
        <f t="shared" si="17"/>
        <v>367.526925</v>
      </c>
      <c r="AU17" s="34">
        <f t="shared" si="18"/>
        <v>60.528992427</v>
      </c>
      <c r="AW17" s="35"/>
      <c r="AX17" s="35">
        <f t="shared" si="19"/>
        <v>343.112325</v>
      </c>
      <c r="AY17" s="35">
        <f t="shared" si="20"/>
        <v>343.112325</v>
      </c>
      <c r="AZ17" s="34">
        <f t="shared" si="21"/>
        <v>56.50808664299999</v>
      </c>
      <c r="BA17" s="35"/>
      <c r="BB17" s="35"/>
      <c r="BC17" s="35">
        <f t="shared" si="22"/>
        <v>1994.7309500000001</v>
      </c>
      <c r="BD17" s="35">
        <f t="shared" si="23"/>
        <v>1994.7309500000001</v>
      </c>
      <c r="BE17" s="34">
        <f t="shared" si="24"/>
        <v>328.517576138</v>
      </c>
      <c r="BF17" s="35"/>
      <c r="BG17" s="35"/>
      <c r="BH17" s="35">
        <f t="shared" si="25"/>
        <v>54600.782375</v>
      </c>
      <c r="BI17" s="35">
        <f t="shared" si="26"/>
        <v>54600.782375</v>
      </c>
      <c r="BJ17" s="34">
        <f t="shared" si="27"/>
        <v>8992.348908545</v>
      </c>
      <c r="BK17" s="35"/>
      <c r="BL17" s="35"/>
      <c r="BM17" s="35">
        <f t="shared" si="28"/>
        <v>214553.17960000003</v>
      </c>
      <c r="BN17" s="35">
        <f t="shared" si="29"/>
        <v>214553.17960000003</v>
      </c>
      <c r="BO17" s="34">
        <f t="shared" si="30"/>
        <v>35335.337086384</v>
      </c>
      <c r="BP17" s="35"/>
      <c r="BQ17" s="35"/>
      <c r="BR17" s="35">
        <f t="shared" si="31"/>
        <v>268399.143925</v>
      </c>
      <c r="BS17" s="35">
        <f t="shared" si="32"/>
        <v>268399.143925</v>
      </c>
      <c r="BT17" s="34">
        <f t="shared" si="33"/>
        <v>44203.37299110699</v>
      </c>
      <c r="BU17" s="35"/>
      <c r="BV17" s="35"/>
      <c r="BW17" s="35">
        <f t="shared" si="34"/>
        <v>19362.957674999998</v>
      </c>
      <c r="BX17" s="35">
        <f t="shared" si="35"/>
        <v>19362.957674999998</v>
      </c>
      <c r="BY17" s="34">
        <f t="shared" si="36"/>
        <v>3188.9372961569998</v>
      </c>
      <c r="BZ17" s="35"/>
      <c r="CA17" s="35"/>
      <c r="CB17" s="35"/>
      <c r="CC17" s="35">
        <f t="shared" si="37"/>
        <v>0</v>
      </c>
      <c r="CD17" s="34"/>
      <c r="CE17" s="35"/>
      <c r="CF17" s="35"/>
      <c r="CG17" s="35">
        <f t="shared" si="38"/>
        <v>31397.611575</v>
      </c>
      <c r="CH17" s="35">
        <f t="shared" si="39"/>
        <v>31397.611575</v>
      </c>
      <c r="CI17" s="34">
        <f t="shared" si="40"/>
        <v>5170.956640113</v>
      </c>
      <c r="CJ17" s="35"/>
      <c r="CK17" s="35"/>
      <c r="CL17" s="35">
        <f t="shared" si="41"/>
        <v>447434.7482</v>
      </c>
      <c r="CM17" s="35">
        <f t="shared" si="42"/>
        <v>447434.7482</v>
      </c>
      <c r="CN17" s="34">
        <f t="shared" si="43"/>
        <v>73689.22558632799</v>
      </c>
      <c r="CQ17" s="5">
        <v>112</v>
      </c>
      <c r="CR17" s="35">
        <f t="shared" si="44"/>
        <v>112</v>
      </c>
      <c r="CS17" s="34">
        <v>18.429151509999997</v>
      </c>
      <c r="CX17" s="5"/>
      <c r="CY17" s="5"/>
      <c r="CZ17" s="5"/>
      <c r="DA17" s="5"/>
      <c r="DB17" s="5"/>
      <c r="DC17" s="5"/>
      <c r="DD17" s="5"/>
      <c r="DE17" s="5"/>
      <c r="DF17" s="5"/>
      <c r="DG17" s="5"/>
    </row>
    <row r="18" spans="1:111" ht="12.75">
      <c r="A18" s="36">
        <v>46113</v>
      </c>
      <c r="C18" s="3">
        <v>4000000</v>
      </c>
      <c r="D18" s="3">
        <v>1453250</v>
      </c>
      <c r="E18" s="34">
        <f t="shared" si="0"/>
        <v>239339.62999999998</v>
      </c>
      <c r="F18" s="3">
        <v>2140000</v>
      </c>
      <c r="G18" s="3">
        <v>230750</v>
      </c>
      <c r="H18" s="3">
        <v>103496</v>
      </c>
      <c r="I18" s="34">
        <f t="shared" si="45"/>
        <v>6140000</v>
      </c>
      <c r="J18" s="34">
        <f t="shared" si="1"/>
        <v>1684000</v>
      </c>
      <c r="K18" s="34">
        <f t="shared" si="2"/>
        <v>7824000</v>
      </c>
      <c r="L18" s="34">
        <f t="shared" si="3"/>
        <v>342835.63</v>
      </c>
      <c r="M18" s="35"/>
      <c r="N18" s="3">
        <f>'10 yr Facilities Renewal'!C18</f>
        <v>2140000</v>
      </c>
      <c r="O18" s="3">
        <f>'10 yr Facilities Renewal'!D18</f>
        <v>230750</v>
      </c>
      <c r="P18" s="35">
        <f t="shared" si="4"/>
        <v>2370750</v>
      </c>
      <c r="Q18" s="34">
        <f>'10 yr Facilities Renewal'!F18</f>
        <v>103496</v>
      </c>
      <c r="S18" s="35">
        <f>'20 Yr Academic Project '!H18</f>
        <v>290904.8</v>
      </c>
      <c r="T18" s="35">
        <f>'20 Yr Academic Project '!I18</f>
        <v>105689.35015</v>
      </c>
      <c r="U18" s="35">
        <f t="shared" si="5"/>
        <v>396594.15015</v>
      </c>
      <c r="V18" s="34">
        <f>'20 Yr Academic Project '!K18</f>
        <v>17406.261799305998</v>
      </c>
      <c r="X18" s="35">
        <f t="shared" si="60"/>
        <v>3709095.1999999997</v>
      </c>
      <c r="Y18" s="34">
        <f t="shared" si="46"/>
        <v>1347560.7496</v>
      </c>
      <c r="Z18" s="35">
        <f t="shared" si="6"/>
        <v>5056655.9496</v>
      </c>
      <c r="AA18" s="34">
        <f t="shared" si="47"/>
        <v>221933.36820069398</v>
      </c>
      <c r="AB18" s="35"/>
      <c r="AC18" s="35">
        <f t="shared" si="48"/>
        <v>3718</v>
      </c>
      <c r="AD18" s="35">
        <f t="shared" si="7"/>
        <v>1350.795875</v>
      </c>
      <c r="AE18" s="35">
        <f t="shared" si="8"/>
        <v>5068.795875</v>
      </c>
      <c r="AF18" s="34">
        <f t="shared" si="9"/>
        <v>222.46618608499998</v>
      </c>
      <c r="AH18" s="35">
        <f t="shared" si="49"/>
        <v>296558.8</v>
      </c>
      <c r="AI18" s="35">
        <f t="shared" si="10"/>
        <v>107743.519025</v>
      </c>
      <c r="AJ18" s="35">
        <f t="shared" si="11"/>
        <v>404302.319025</v>
      </c>
      <c r="AK18" s="34">
        <f t="shared" si="12"/>
        <v>17744.568366311</v>
      </c>
      <c r="AM18" s="35">
        <f t="shared" si="50"/>
        <v>550216.7999999999</v>
      </c>
      <c r="AN18" s="35">
        <f t="shared" si="13"/>
        <v>199900.64114999998</v>
      </c>
      <c r="AO18" s="35">
        <f t="shared" si="14"/>
        <v>750117.4411499999</v>
      </c>
      <c r="AP18" s="34">
        <f t="shared" si="15"/>
        <v>32922.171332945996</v>
      </c>
      <c r="AR18" s="35">
        <f t="shared" si="51"/>
        <v>1011.6000000000001</v>
      </c>
      <c r="AS18" s="35">
        <f t="shared" si="16"/>
        <v>367.526925</v>
      </c>
      <c r="AT18" s="35">
        <f t="shared" si="17"/>
        <v>1379.126925</v>
      </c>
      <c r="AU18" s="34">
        <f t="shared" si="18"/>
        <v>60.528992427</v>
      </c>
      <c r="AW18" s="35">
        <f t="shared" si="52"/>
        <v>944.4</v>
      </c>
      <c r="AX18" s="35">
        <f t="shared" si="19"/>
        <v>343.112325</v>
      </c>
      <c r="AY18" s="35">
        <f t="shared" si="20"/>
        <v>1287.512325</v>
      </c>
      <c r="AZ18" s="34">
        <f t="shared" si="21"/>
        <v>56.50808664299999</v>
      </c>
      <c r="BA18" s="35"/>
      <c r="BB18" s="35">
        <f t="shared" si="53"/>
        <v>5490.400000000001</v>
      </c>
      <c r="BC18" s="35">
        <f t="shared" si="22"/>
        <v>1994.7309500000001</v>
      </c>
      <c r="BD18" s="35">
        <f t="shared" si="23"/>
        <v>7485.130950000001</v>
      </c>
      <c r="BE18" s="34">
        <f t="shared" si="24"/>
        <v>328.517576138</v>
      </c>
      <c r="BF18" s="35"/>
      <c r="BG18" s="35">
        <f t="shared" si="54"/>
        <v>150286</v>
      </c>
      <c r="BH18" s="35">
        <f t="shared" si="25"/>
        <v>54600.782375</v>
      </c>
      <c r="BI18" s="35">
        <f t="shared" si="26"/>
        <v>204886.782375</v>
      </c>
      <c r="BJ18" s="34">
        <f t="shared" si="27"/>
        <v>8992.348908545</v>
      </c>
      <c r="BK18" s="35"/>
      <c r="BL18" s="35">
        <f t="shared" si="55"/>
        <v>590547.2000000001</v>
      </c>
      <c r="BM18" s="35">
        <f t="shared" si="28"/>
        <v>214553.17960000003</v>
      </c>
      <c r="BN18" s="35">
        <f t="shared" si="29"/>
        <v>805100.3796000001</v>
      </c>
      <c r="BO18" s="34">
        <f t="shared" si="30"/>
        <v>35335.337086384</v>
      </c>
      <c r="BP18" s="35"/>
      <c r="BQ18" s="35">
        <f t="shared" si="56"/>
        <v>738755.6</v>
      </c>
      <c r="BR18" s="35">
        <f t="shared" si="31"/>
        <v>268399.143925</v>
      </c>
      <c r="BS18" s="35">
        <f t="shared" si="32"/>
        <v>1007154.743925</v>
      </c>
      <c r="BT18" s="34">
        <f t="shared" si="33"/>
        <v>44203.37299110699</v>
      </c>
      <c r="BU18" s="35"/>
      <c r="BV18" s="35">
        <f t="shared" si="57"/>
        <v>53295.6</v>
      </c>
      <c r="BW18" s="35">
        <f t="shared" si="34"/>
        <v>19362.957674999998</v>
      </c>
      <c r="BX18" s="35">
        <f t="shared" si="35"/>
        <v>72658.55767499999</v>
      </c>
      <c r="BY18" s="34">
        <f t="shared" si="36"/>
        <v>3188.9372961569998</v>
      </c>
      <c r="BZ18" s="35"/>
      <c r="CA18" s="35"/>
      <c r="CB18" s="35"/>
      <c r="CC18" s="35">
        <f t="shared" si="37"/>
        <v>0</v>
      </c>
      <c r="CD18" s="34"/>
      <c r="CE18" s="35"/>
      <c r="CF18" s="35">
        <f t="shared" si="58"/>
        <v>86420.4</v>
      </c>
      <c r="CG18" s="35">
        <f t="shared" si="38"/>
        <v>31397.611575</v>
      </c>
      <c r="CH18" s="35">
        <f t="shared" si="39"/>
        <v>117818.011575</v>
      </c>
      <c r="CI18" s="34">
        <f t="shared" si="40"/>
        <v>5170.956640113</v>
      </c>
      <c r="CJ18" s="35"/>
      <c r="CK18" s="35">
        <f t="shared" si="59"/>
        <v>1231542.4</v>
      </c>
      <c r="CL18" s="35">
        <f t="shared" si="41"/>
        <v>447434.7482</v>
      </c>
      <c r="CM18" s="35">
        <f t="shared" si="42"/>
        <v>1678977.1482</v>
      </c>
      <c r="CN18" s="34">
        <f t="shared" si="43"/>
        <v>73689.22558632799</v>
      </c>
      <c r="CP18" s="5">
        <v>308</v>
      </c>
      <c r="CQ18" s="5">
        <v>112</v>
      </c>
      <c r="CR18" s="35">
        <f t="shared" si="44"/>
        <v>420</v>
      </c>
      <c r="CS18" s="34">
        <v>18.429151509999997</v>
      </c>
      <c r="CX18" s="5"/>
      <c r="CY18" s="5"/>
      <c r="CZ18" s="5"/>
      <c r="DA18" s="5"/>
      <c r="DB18" s="5"/>
      <c r="DC18" s="5"/>
      <c r="DD18" s="5"/>
      <c r="DE18" s="5"/>
      <c r="DF18" s="5"/>
      <c r="DG18" s="5"/>
    </row>
    <row r="19" spans="1:111" ht="12.75">
      <c r="A19" s="36">
        <v>46296</v>
      </c>
      <c r="D19" s="3">
        <v>1353250</v>
      </c>
      <c r="E19" s="34">
        <f t="shared" si="0"/>
        <v>239339.62999999998</v>
      </c>
      <c r="G19" s="3">
        <v>177250</v>
      </c>
      <c r="H19" s="3">
        <v>103496</v>
      </c>
      <c r="I19" s="34">
        <f t="shared" si="45"/>
        <v>0</v>
      </c>
      <c r="J19" s="34">
        <f t="shared" si="1"/>
        <v>1530500</v>
      </c>
      <c r="K19" s="34">
        <f t="shared" si="2"/>
        <v>1530500</v>
      </c>
      <c r="L19" s="34">
        <f t="shared" si="3"/>
        <v>342835.63</v>
      </c>
      <c r="M19" s="35"/>
      <c r="N19" s="3">
        <f>'10 yr Facilities Renewal'!C19</f>
        <v>0</v>
      </c>
      <c r="O19" s="3">
        <f>'10 yr Facilities Renewal'!D19</f>
        <v>177250</v>
      </c>
      <c r="P19" s="35">
        <f t="shared" si="4"/>
        <v>177250</v>
      </c>
      <c r="Q19" s="34">
        <f>'10 yr Facilities Renewal'!F19</f>
        <v>103496</v>
      </c>
      <c r="S19" s="35">
        <f>'20 Yr Academic Project '!H19</f>
        <v>0</v>
      </c>
      <c r="T19" s="35">
        <f>'20 Yr Academic Project '!I19</f>
        <v>98416.73014999999</v>
      </c>
      <c r="U19" s="35">
        <f t="shared" si="5"/>
        <v>98416.73014999999</v>
      </c>
      <c r="V19" s="34">
        <f>'20 Yr Academic Project '!K19</f>
        <v>17406.261799305998</v>
      </c>
      <c r="X19" s="35">
        <f t="shared" si="60"/>
        <v>0</v>
      </c>
      <c r="Y19" s="34">
        <f t="shared" si="46"/>
        <v>1254833.0695999998</v>
      </c>
      <c r="Z19" s="35">
        <f t="shared" si="6"/>
        <v>1254833.0695999998</v>
      </c>
      <c r="AA19" s="34">
        <f t="shared" si="47"/>
        <v>221933.36820069398</v>
      </c>
      <c r="AB19" s="35"/>
      <c r="AC19" s="35"/>
      <c r="AD19" s="35">
        <f t="shared" si="7"/>
        <v>1257.845875</v>
      </c>
      <c r="AE19" s="35">
        <f t="shared" si="8"/>
        <v>1257.845875</v>
      </c>
      <c r="AF19" s="34">
        <f t="shared" si="9"/>
        <v>222.46618608499998</v>
      </c>
      <c r="AH19" s="35"/>
      <c r="AI19" s="35">
        <f t="shared" si="10"/>
        <v>100329.549025</v>
      </c>
      <c r="AJ19" s="35">
        <f t="shared" si="11"/>
        <v>100329.549025</v>
      </c>
      <c r="AK19" s="34">
        <f t="shared" si="12"/>
        <v>17744.568366311</v>
      </c>
      <c r="AM19" s="35"/>
      <c r="AN19" s="35">
        <f t="shared" si="13"/>
        <v>186145.22115</v>
      </c>
      <c r="AO19" s="35">
        <f t="shared" si="14"/>
        <v>186145.22115</v>
      </c>
      <c r="AP19" s="34">
        <f t="shared" si="15"/>
        <v>32922.171332945996</v>
      </c>
      <c r="AR19" s="35"/>
      <c r="AS19" s="35">
        <f t="shared" si="16"/>
        <v>342.23692500000004</v>
      </c>
      <c r="AT19" s="35">
        <f t="shared" si="17"/>
        <v>342.23692500000004</v>
      </c>
      <c r="AU19" s="34">
        <f t="shared" si="18"/>
        <v>60.528992427</v>
      </c>
      <c r="AW19" s="35"/>
      <c r="AX19" s="35">
        <f t="shared" si="19"/>
        <v>319.502325</v>
      </c>
      <c r="AY19" s="35">
        <f t="shared" si="20"/>
        <v>319.502325</v>
      </c>
      <c r="AZ19" s="34">
        <f t="shared" si="21"/>
        <v>56.50808664299999</v>
      </c>
      <c r="BA19" s="35"/>
      <c r="BB19" s="35"/>
      <c r="BC19" s="35">
        <f t="shared" si="22"/>
        <v>1857.4709500000001</v>
      </c>
      <c r="BD19" s="35">
        <f t="shared" si="23"/>
        <v>1857.4709500000001</v>
      </c>
      <c r="BE19" s="34">
        <f t="shared" si="24"/>
        <v>328.517576138</v>
      </c>
      <c r="BF19" s="35"/>
      <c r="BG19" s="35"/>
      <c r="BH19" s="35">
        <f t="shared" si="25"/>
        <v>50843.632375</v>
      </c>
      <c r="BI19" s="35">
        <f t="shared" si="26"/>
        <v>50843.632375</v>
      </c>
      <c r="BJ19" s="34">
        <f t="shared" si="27"/>
        <v>8992.348908545</v>
      </c>
      <c r="BK19" s="35"/>
      <c r="BL19" s="35"/>
      <c r="BM19" s="35">
        <f t="shared" si="28"/>
        <v>199789.4996</v>
      </c>
      <c r="BN19" s="35">
        <f t="shared" si="29"/>
        <v>199789.4996</v>
      </c>
      <c r="BO19" s="34">
        <f t="shared" si="30"/>
        <v>35335.337086384</v>
      </c>
      <c r="BP19" s="35"/>
      <c r="BQ19" s="35"/>
      <c r="BR19" s="35">
        <f t="shared" si="31"/>
        <v>249930.253925</v>
      </c>
      <c r="BS19" s="35">
        <f t="shared" si="32"/>
        <v>249930.253925</v>
      </c>
      <c r="BT19" s="34">
        <f t="shared" si="33"/>
        <v>44203.37299110699</v>
      </c>
      <c r="BU19" s="35"/>
      <c r="BV19" s="35"/>
      <c r="BW19" s="35">
        <f t="shared" si="34"/>
        <v>18030.567675</v>
      </c>
      <c r="BX19" s="35">
        <f t="shared" si="35"/>
        <v>18030.567675</v>
      </c>
      <c r="BY19" s="34">
        <f t="shared" si="36"/>
        <v>3188.9372961569998</v>
      </c>
      <c r="BZ19" s="35"/>
      <c r="CA19" s="35"/>
      <c r="CB19" s="35"/>
      <c r="CC19" s="35">
        <f t="shared" si="37"/>
        <v>0</v>
      </c>
      <c r="CD19" s="34"/>
      <c r="CE19" s="35"/>
      <c r="CF19" s="35"/>
      <c r="CG19" s="35">
        <f t="shared" si="38"/>
        <v>29237.101574999997</v>
      </c>
      <c r="CH19" s="35">
        <f t="shared" si="39"/>
        <v>29237.101574999997</v>
      </c>
      <c r="CI19" s="34">
        <f t="shared" si="40"/>
        <v>5170.956640113</v>
      </c>
      <c r="CJ19" s="35"/>
      <c r="CK19" s="35"/>
      <c r="CL19" s="35">
        <f t="shared" si="41"/>
        <v>416646.1882</v>
      </c>
      <c r="CM19" s="35">
        <f t="shared" si="42"/>
        <v>416646.1882</v>
      </c>
      <c r="CN19" s="34">
        <f t="shared" si="43"/>
        <v>73689.22558632799</v>
      </c>
      <c r="CQ19" s="5">
        <v>104</v>
      </c>
      <c r="CR19" s="35">
        <f t="shared" si="44"/>
        <v>104</v>
      </c>
      <c r="CS19" s="34">
        <v>18.429151509999997</v>
      </c>
      <c r="CX19" s="5"/>
      <c r="CY19" s="5"/>
      <c r="CZ19" s="5"/>
      <c r="DA19" s="5"/>
      <c r="DB19" s="5"/>
      <c r="DC19" s="5"/>
      <c r="DD19" s="5"/>
      <c r="DE19" s="5"/>
      <c r="DF19" s="5"/>
      <c r="DG19" s="5"/>
    </row>
    <row r="20" spans="1:111" ht="12.75">
      <c r="A20" s="36">
        <v>46478</v>
      </c>
      <c r="C20" s="3">
        <v>4200000</v>
      </c>
      <c r="D20" s="3">
        <v>1353250</v>
      </c>
      <c r="E20" s="34">
        <f t="shared" si="0"/>
        <v>239339.62999999998</v>
      </c>
      <c r="F20" s="3">
        <v>2250000</v>
      </c>
      <c r="G20" s="3">
        <v>177250</v>
      </c>
      <c r="H20" s="3">
        <v>103496</v>
      </c>
      <c r="I20" s="34">
        <f t="shared" si="45"/>
        <v>6450000</v>
      </c>
      <c r="J20" s="34">
        <f t="shared" si="1"/>
        <v>1530500</v>
      </c>
      <c r="K20" s="34">
        <f t="shared" si="2"/>
        <v>7980500</v>
      </c>
      <c r="L20" s="34">
        <f t="shared" si="3"/>
        <v>342835.63</v>
      </c>
      <c r="M20" s="35"/>
      <c r="N20" s="3">
        <f>'10 yr Facilities Renewal'!C20</f>
        <v>2250000</v>
      </c>
      <c r="O20" s="3">
        <f>'10 yr Facilities Renewal'!D20</f>
        <v>177250</v>
      </c>
      <c r="P20" s="35">
        <f t="shared" si="4"/>
        <v>2427250</v>
      </c>
      <c r="Q20" s="34">
        <f>'10 yr Facilities Renewal'!F20</f>
        <v>103496</v>
      </c>
      <c r="S20" s="35">
        <f>'20 Yr Academic Project '!H20</f>
        <v>305450.04000000004</v>
      </c>
      <c r="T20" s="35">
        <f>'20 Yr Academic Project '!I20</f>
        <v>98416.73014999999</v>
      </c>
      <c r="U20" s="35">
        <f t="shared" si="5"/>
        <v>403866.77015</v>
      </c>
      <c r="V20" s="34">
        <f>'20 Yr Academic Project '!K20</f>
        <v>17406.261799305998</v>
      </c>
      <c r="X20" s="35">
        <f t="shared" si="60"/>
        <v>3894549.56</v>
      </c>
      <c r="Y20" s="34">
        <f t="shared" si="46"/>
        <v>1254833.0695999998</v>
      </c>
      <c r="Z20" s="35">
        <f t="shared" si="6"/>
        <v>5149382.6296</v>
      </c>
      <c r="AA20" s="34">
        <f t="shared" si="47"/>
        <v>221933.36820069398</v>
      </c>
      <c r="AB20" s="35"/>
      <c r="AC20" s="35">
        <f t="shared" si="48"/>
        <v>3903.9</v>
      </c>
      <c r="AD20" s="35">
        <f t="shared" si="7"/>
        <v>1257.845875</v>
      </c>
      <c r="AE20" s="35">
        <f t="shared" si="8"/>
        <v>5161.7458750000005</v>
      </c>
      <c r="AF20" s="34">
        <f t="shared" si="9"/>
        <v>222.46618608499998</v>
      </c>
      <c r="AH20" s="35">
        <f t="shared" si="49"/>
        <v>311386.74</v>
      </c>
      <c r="AI20" s="35">
        <f t="shared" si="10"/>
        <v>100329.549025</v>
      </c>
      <c r="AJ20" s="35">
        <f t="shared" si="11"/>
        <v>411716.289025</v>
      </c>
      <c r="AK20" s="34">
        <f t="shared" si="12"/>
        <v>17744.568366311</v>
      </c>
      <c r="AM20" s="35">
        <f t="shared" si="50"/>
        <v>577727.6399999999</v>
      </c>
      <c r="AN20" s="35">
        <f t="shared" si="13"/>
        <v>186145.22115</v>
      </c>
      <c r="AO20" s="35">
        <f t="shared" si="14"/>
        <v>763872.8611499999</v>
      </c>
      <c r="AP20" s="34">
        <f t="shared" si="15"/>
        <v>32922.171332945996</v>
      </c>
      <c r="AR20" s="35">
        <f t="shared" si="51"/>
        <v>1062.18</v>
      </c>
      <c r="AS20" s="35">
        <f t="shared" si="16"/>
        <v>342.23692500000004</v>
      </c>
      <c r="AT20" s="35">
        <f t="shared" si="17"/>
        <v>1404.416925</v>
      </c>
      <c r="AU20" s="34">
        <f t="shared" si="18"/>
        <v>60.528992427</v>
      </c>
      <c r="AW20" s="35">
        <f t="shared" si="52"/>
        <v>991.62</v>
      </c>
      <c r="AX20" s="35">
        <f t="shared" si="19"/>
        <v>319.502325</v>
      </c>
      <c r="AY20" s="35">
        <f t="shared" si="20"/>
        <v>1311.122325</v>
      </c>
      <c r="AZ20" s="34">
        <f t="shared" si="21"/>
        <v>56.50808664299999</v>
      </c>
      <c r="BA20" s="35"/>
      <c r="BB20" s="35">
        <f t="shared" si="53"/>
        <v>5764.92</v>
      </c>
      <c r="BC20" s="35">
        <f t="shared" si="22"/>
        <v>1857.4709500000001</v>
      </c>
      <c r="BD20" s="35">
        <f t="shared" si="23"/>
        <v>7622.39095</v>
      </c>
      <c r="BE20" s="34">
        <f t="shared" si="24"/>
        <v>328.517576138</v>
      </c>
      <c r="BF20" s="35"/>
      <c r="BG20" s="35">
        <f t="shared" si="54"/>
        <v>157800.30000000002</v>
      </c>
      <c r="BH20" s="35">
        <f t="shared" si="25"/>
        <v>50843.632375</v>
      </c>
      <c r="BI20" s="35">
        <f t="shared" si="26"/>
        <v>208643.93237500003</v>
      </c>
      <c r="BJ20" s="34">
        <f t="shared" si="27"/>
        <v>8992.348908545</v>
      </c>
      <c r="BK20" s="35"/>
      <c r="BL20" s="35">
        <f t="shared" si="55"/>
        <v>620074.56</v>
      </c>
      <c r="BM20" s="35">
        <f t="shared" si="28"/>
        <v>199789.4996</v>
      </c>
      <c r="BN20" s="35">
        <f t="shared" si="29"/>
        <v>819864.0596</v>
      </c>
      <c r="BO20" s="34">
        <f t="shared" si="30"/>
        <v>35335.337086384</v>
      </c>
      <c r="BP20" s="35"/>
      <c r="BQ20" s="35">
        <f t="shared" si="56"/>
        <v>775693.38</v>
      </c>
      <c r="BR20" s="35">
        <f t="shared" si="31"/>
        <v>249930.253925</v>
      </c>
      <c r="BS20" s="35">
        <f t="shared" si="32"/>
        <v>1025623.633925</v>
      </c>
      <c r="BT20" s="34">
        <f t="shared" si="33"/>
        <v>44203.37299110699</v>
      </c>
      <c r="BU20" s="35"/>
      <c r="BV20" s="35">
        <f t="shared" si="57"/>
        <v>55960.38</v>
      </c>
      <c r="BW20" s="35">
        <f t="shared" si="34"/>
        <v>18030.567675</v>
      </c>
      <c r="BX20" s="35">
        <f t="shared" si="35"/>
        <v>73990.947675</v>
      </c>
      <c r="BY20" s="34">
        <f t="shared" si="36"/>
        <v>3188.9372961569998</v>
      </c>
      <c r="BZ20" s="35"/>
      <c r="CA20" s="35"/>
      <c r="CB20" s="35"/>
      <c r="CC20" s="35">
        <f t="shared" si="37"/>
        <v>0</v>
      </c>
      <c r="CD20" s="34"/>
      <c r="CE20" s="35"/>
      <c r="CF20" s="35">
        <f t="shared" si="58"/>
        <v>90741.42</v>
      </c>
      <c r="CG20" s="35">
        <f t="shared" si="38"/>
        <v>29237.101574999997</v>
      </c>
      <c r="CH20" s="35">
        <f t="shared" si="39"/>
        <v>119978.52157499999</v>
      </c>
      <c r="CI20" s="34">
        <f t="shared" si="40"/>
        <v>5170.956640113</v>
      </c>
      <c r="CJ20" s="35"/>
      <c r="CK20" s="35">
        <f t="shared" si="59"/>
        <v>1293119.52</v>
      </c>
      <c r="CL20" s="35">
        <f t="shared" si="41"/>
        <v>416646.1882</v>
      </c>
      <c r="CM20" s="35">
        <f t="shared" si="42"/>
        <v>1709765.7082</v>
      </c>
      <c r="CN20" s="34">
        <f t="shared" si="43"/>
        <v>73689.22558632799</v>
      </c>
      <c r="CP20" s="5">
        <v>323</v>
      </c>
      <c r="CQ20" s="5">
        <v>104</v>
      </c>
      <c r="CR20" s="35">
        <f t="shared" si="44"/>
        <v>427</v>
      </c>
      <c r="CS20" s="34">
        <v>18.429151509999997</v>
      </c>
      <c r="CX20" s="5"/>
      <c r="CY20" s="5"/>
      <c r="CZ20" s="5"/>
      <c r="DA20" s="5"/>
      <c r="DB20" s="5"/>
      <c r="DC20" s="5"/>
      <c r="DD20" s="5"/>
      <c r="DE20" s="5"/>
      <c r="DF20" s="5"/>
      <c r="DG20" s="5"/>
    </row>
    <row r="21" spans="1:111" ht="12.75">
      <c r="A21" s="36">
        <v>46661</v>
      </c>
      <c r="D21" s="3">
        <v>1248250</v>
      </c>
      <c r="E21" s="34">
        <f t="shared" si="0"/>
        <v>239339.62999999998</v>
      </c>
      <c r="G21" s="3">
        <v>121000</v>
      </c>
      <c r="H21" s="3">
        <v>103496</v>
      </c>
      <c r="I21" s="34">
        <f t="shared" si="45"/>
        <v>0</v>
      </c>
      <c r="J21" s="34">
        <f t="shared" si="1"/>
        <v>1369250</v>
      </c>
      <c r="K21" s="34">
        <f t="shared" si="2"/>
        <v>1369250</v>
      </c>
      <c r="L21" s="34">
        <f t="shared" si="3"/>
        <v>342835.63</v>
      </c>
      <c r="M21" s="35"/>
      <c r="N21" s="3">
        <f>'10 yr Facilities Renewal'!C21</f>
        <v>0</v>
      </c>
      <c r="O21" s="3">
        <f>'10 yr Facilities Renewal'!D21</f>
        <v>121000</v>
      </c>
      <c r="P21" s="35">
        <f t="shared" si="4"/>
        <v>121000</v>
      </c>
      <c r="Q21" s="34">
        <f>'10 yr Facilities Renewal'!F21</f>
        <v>103496</v>
      </c>
      <c r="S21" s="35">
        <f>'20 Yr Academic Project '!H21</f>
        <v>0</v>
      </c>
      <c r="T21" s="35">
        <f>'20 Yr Academic Project '!I21</f>
        <v>90780.47915</v>
      </c>
      <c r="U21" s="35">
        <f t="shared" si="5"/>
        <v>90780.47915</v>
      </c>
      <c r="V21" s="34">
        <f>'20 Yr Academic Project '!K21</f>
        <v>17406.261799305998</v>
      </c>
      <c r="X21" s="35">
        <f t="shared" si="60"/>
        <v>0</v>
      </c>
      <c r="Y21" s="34">
        <f t="shared" si="46"/>
        <v>1157469.4056</v>
      </c>
      <c r="Z21" s="35">
        <f t="shared" si="6"/>
        <v>1157469.4056</v>
      </c>
      <c r="AA21" s="34">
        <f t="shared" si="47"/>
        <v>221933.36820069398</v>
      </c>
      <c r="AB21" s="35"/>
      <c r="AC21" s="35"/>
      <c r="AD21" s="35">
        <f t="shared" si="7"/>
        <v>1160.248375</v>
      </c>
      <c r="AE21" s="35">
        <f t="shared" si="8"/>
        <v>1160.248375</v>
      </c>
      <c r="AF21" s="34">
        <f t="shared" si="9"/>
        <v>222.46618608499998</v>
      </c>
      <c r="AH21" s="35"/>
      <c r="AI21" s="35">
        <f t="shared" si="10"/>
        <v>92544.880525</v>
      </c>
      <c r="AJ21" s="35">
        <f t="shared" si="11"/>
        <v>92544.880525</v>
      </c>
      <c r="AK21" s="34">
        <f t="shared" si="12"/>
        <v>17744.568366311</v>
      </c>
      <c r="AM21" s="35"/>
      <c r="AN21" s="35">
        <f t="shared" si="13"/>
        <v>171702.03014999998</v>
      </c>
      <c r="AO21" s="35">
        <f t="shared" si="14"/>
        <v>171702.03014999998</v>
      </c>
      <c r="AP21" s="34">
        <f t="shared" si="15"/>
        <v>32922.171332945996</v>
      </c>
      <c r="AR21" s="35"/>
      <c r="AS21" s="35">
        <f t="shared" si="16"/>
        <v>315.682425</v>
      </c>
      <c r="AT21" s="35">
        <f t="shared" si="17"/>
        <v>315.682425</v>
      </c>
      <c r="AU21" s="34">
        <f t="shared" si="18"/>
        <v>60.528992427</v>
      </c>
      <c r="AW21" s="35"/>
      <c r="AX21" s="35">
        <f t="shared" si="19"/>
        <v>294.711825</v>
      </c>
      <c r="AY21" s="35">
        <f t="shared" si="20"/>
        <v>294.711825</v>
      </c>
      <c r="AZ21" s="34">
        <f t="shared" si="21"/>
        <v>56.50808664299999</v>
      </c>
      <c r="BA21" s="35"/>
      <c r="BB21" s="35"/>
      <c r="BC21" s="35">
        <f t="shared" si="22"/>
        <v>1713.34795</v>
      </c>
      <c r="BD21" s="35">
        <f t="shared" si="23"/>
        <v>1713.34795</v>
      </c>
      <c r="BE21" s="34">
        <f t="shared" si="24"/>
        <v>328.517576138</v>
      </c>
      <c r="BF21" s="35"/>
      <c r="BG21" s="35"/>
      <c r="BH21" s="35">
        <f t="shared" si="25"/>
        <v>46898.624875</v>
      </c>
      <c r="BI21" s="35">
        <f t="shared" si="26"/>
        <v>46898.624875</v>
      </c>
      <c r="BJ21" s="34">
        <f t="shared" si="27"/>
        <v>8992.348908545</v>
      </c>
      <c r="BK21" s="35"/>
      <c r="BL21" s="35"/>
      <c r="BM21" s="35">
        <f t="shared" si="28"/>
        <v>184287.6356</v>
      </c>
      <c r="BN21" s="35">
        <f t="shared" si="29"/>
        <v>184287.6356</v>
      </c>
      <c r="BO21" s="34">
        <f t="shared" si="30"/>
        <v>35335.337086384</v>
      </c>
      <c r="BP21" s="35"/>
      <c r="BQ21" s="35"/>
      <c r="BR21" s="35">
        <f t="shared" si="31"/>
        <v>230537.919425</v>
      </c>
      <c r="BS21" s="35">
        <f t="shared" si="32"/>
        <v>230537.919425</v>
      </c>
      <c r="BT21" s="34">
        <f t="shared" si="33"/>
        <v>44203.37299110699</v>
      </c>
      <c r="BU21" s="35"/>
      <c r="BV21" s="35"/>
      <c r="BW21" s="35">
        <f t="shared" si="34"/>
        <v>16631.558175</v>
      </c>
      <c r="BX21" s="35">
        <f t="shared" si="35"/>
        <v>16631.558175</v>
      </c>
      <c r="BY21" s="34">
        <f t="shared" si="36"/>
        <v>3188.9372961569998</v>
      </c>
      <c r="BZ21" s="35"/>
      <c r="CA21" s="35"/>
      <c r="CB21" s="35"/>
      <c r="CC21" s="35">
        <f t="shared" si="37"/>
        <v>0</v>
      </c>
      <c r="CD21" s="34"/>
      <c r="CE21" s="35"/>
      <c r="CF21" s="35"/>
      <c r="CG21" s="35">
        <f t="shared" si="38"/>
        <v>26968.566075</v>
      </c>
      <c r="CH21" s="35">
        <f t="shared" si="39"/>
        <v>26968.566075</v>
      </c>
      <c r="CI21" s="34">
        <f t="shared" si="40"/>
        <v>5170.956640113</v>
      </c>
      <c r="CJ21" s="35"/>
      <c r="CK21" s="35"/>
      <c r="CL21" s="35">
        <f t="shared" si="41"/>
        <v>384318.20019999996</v>
      </c>
      <c r="CM21" s="35">
        <f t="shared" si="42"/>
        <v>384318.20019999996</v>
      </c>
      <c r="CN21" s="34">
        <f t="shared" si="43"/>
        <v>73689.22558632799</v>
      </c>
      <c r="CQ21" s="5">
        <v>96</v>
      </c>
      <c r="CR21" s="35">
        <f t="shared" si="44"/>
        <v>96</v>
      </c>
      <c r="CS21" s="34">
        <v>18.429151509999997</v>
      </c>
      <c r="CX21" s="5"/>
      <c r="CY21" s="5"/>
      <c r="CZ21" s="5"/>
      <c r="DA21" s="5"/>
      <c r="DB21" s="5"/>
      <c r="DC21" s="5"/>
      <c r="DD21" s="5"/>
      <c r="DE21" s="5"/>
      <c r="DF21" s="5"/>
      <c r="DG21" s="5"/>
    </row>
    <row r="22" spans="1:111" ht="12.75">
      <c r="A22" s="36">
        <v>46844</v>
      </c>
      <c r="C22" s="3">
        <v>4410000</v>
      </c>
      <c r="D22" s="3">
        <v>1248250</v>
      </c>
      <c r="E22" s="34">
        <f t="shared" si="0"/>
        <v>239339.62999999998</v>
      </c>
      <c r="F22" s="3">
        <v>2360000</v>
      </c>
      <c r="G22" s="3">
        <v>121000</v>
      </c>
      <c r="H22" s="3">
        <v>103496</v>
      </c>
      <c r="I22" s="34">
        <f t="shared" si="45"/>
        <v>6770000</v>
      </c>
      <c r="J22" s="34">
        <f t="shared" si="1"/>
        <v>1369250</v>
      </c>
      <c r="K22" s="34">
        <f t="shared" si="2"/>
        <v>8139250</v>
      </c>
      <c r="L22" s="34">
        <f t="shared" si="3"/>
        <v>342835.63</v>
      </c>
      <c r="M22" s="35"/>
      <c r="N22" s="3">
        <f>'10 yr Facilities Renewal'!C22</f>
        <v>2360000</v>
      </c>
      <c r="O22" s="3">
        <f>'10 yr Facilities Renewal'!D22</f>
        <v>121000</v>
      </c>
      <c r="P22" s="35">
        <f t="shared" si="4"/>
        <v>2481000</v>
      </c>
      <c r="Q22" s="34">
        <f>'10 yr Facilities Renewal'!F22</f>
        <v>103496</v>
      </c>
      <c r="S22" s="35">
        <f>'20 Yr Academic Project '!H22</f>
        <v>320722.542</v>
      </c>
      <c r="T22" s="35">
        <f>'20 Yr Academic Project '!I22</f>
        <v>90780.47915</v>
      </c>
      <c r="U22" s="35">
        <f t="shared" si="5"/>
        <v>411503.02115000004</v>
      </c>
      <c r="V22" s="34">
        <f>'20 Yr Academic Project '!K22</f>
        <v>17406.261799305998</v>
      </c>
      <c r="X22" s="35">
        <f t="shared" si="60"/>
        <v>4089277.888</v>
      </c>
      <c r="Y22" s="34">
        <f t="shared" si="46"/>
        <v>1157469.4056</v>
      </c>
      <c r="Z22" s="35">
        <f t="shared" si="6"/>
        <v>5246747.2935999995</v>
      </c>
      <c r="AA22" s="34">
        <f t="shared" si="47"/>
        <v>221933.36820069398</v>
      </c>
      <c r="AB22" s="35"/>
      <c r="AC22" s="35">
        <f t="shared" si="48"/>
        <v>4099.095</v>
      </c>
      <c r="AD22" s="35">
        <f t="shared" si="7"/>
        <v>1160.248375</v>
      </c>
      <c r="AE22" s="35">
        <f t="shared" si="8"/>
        <v>5259.343375</v>
      </c>
      <c r="AF22" s="34">
        <f t="shared" si="9"/>
        <v>222.46618608499998</v>
      </c>
      <c r="AH22" s="35">
        <f t="shared" si="49"/>
        <v>326956.077</v>
      </c>
      <c r="AI22" s="35">
        <f t="shared" si="10"/>
        <v>92544.880525</v>
      </c>
      <c r="AJ22" s="35">
        <f t="shared" si="11"/>
        <v>419500.957525</v>
      </c>
      <c r="AK22" s="34">
        <f t="shared" si="12"/>
        <v>17744.568366311</v>
      </c>
      <c r="AM22" s="35">
        <f t="shared" si="50"/>
        <v>606614.022</v>
      </c>
      <c r="AN22" s="35">
        <f t="shared" si="13"/>
        <v>171702.03014999998</v>
      </c>
      <c r="AO22" s="35">
        <f t="shared" si="14"/>
        <v>778316.05215</v>
      </c>
      <c r="AP22" s="34">
        <f t="shared" si="15"/>
        <v>32922.171332945996</v>
      </c>
      <c r="AR22" s="35">
        <f t="shared" si="51"/>
        <v>1115.289</v>
      </c>
      <c r="AS22" s="35">
        <f t="shared" si="16"/>
        <v>315.682425</v>
      </c>
      <c r="AT22" s="35">
        <f t="shared" si="17"/>
        <v>1430.971425</v>
      </c>
      <c r="AU22" s="34">
        <f t="shared" si="18"/>
        <v>60.528992427</v>
      </c>
      <c r="AW22" s="35">
        <f t="shared" si="52"/>
        <v>1041.201</v>
      </c>
      <c r="AX22" s="35">
        <f t="shared" si="19"/>
        <v>294.711825</v>
      </c>
      <c r="AY22" s="35">
        <f t="shared" si="20"/>
        <v>1335.9128249999999</v>
      </c>
      <c r="AZ22" s="34">
        <f t="shared" si="21"/>
        <v>56.50808664299999</v>
      </c>
      <c r="BA22" s="35"/>
      <c r="BB22" s="35">
        <f t="shared" si="53"/>
        <v>6053.166</v>
      </c>
      <c r="BC22" s="35">
        <f t="shared" si="22"/>
        <v>1713.34795</v>
      </c>
      <c r="BD22" s="35">
        <f t="shared" si="23"/>
        <v>7766.5139500000005</v>
      </c>
      <c r="BE22" s="34">
        <f t="shared" si="24"/>
        <v>328.517576138</v>
      </c>
      <c r="BF22" s="35"/>
      <c r="BG22" s="35">
        <f t="shared" si="54"/>
        <v>165690.315</v>
      </c>
      <c r="BH22" s="35">
        <f t="shared" si="25"/>
        <v>46898.624875</v>
      </c>
      <c r="BI22" s="35">
        <f t="shared" si="26"/>
        <v>212588.939875</v>
      </c>
      <c r="BJ22" s="34">
        <f t="shared" si="27"/>
        <v>8992.348908545</v>
      </c>
      <c r="BK22" s="35"/>
      <c r="BL22" s="35">
        <f t="shared" si="55"/>
        <v>651078.2880000001</v>
      </c>
      <c r="BM22" s="35">
        <f t="shared" si="28"/>
        <v>184287.6356</v>
      </c>
      <c r="BN22" s="35">
        <f t="shared" si="29"/>
        <v>835365.9236000001</v>
      </c>
      <c r="BO22" s="34">
        <f t="shared" si="30"/>
        <v>35335.337086384</v>
      </c>
      <c r="BP22" s="35"/>
      <c r="BQ22" s="35">
        <f t="shared" si="56"/>
        <v>814478.049</v>
      </c>
      <c r="BR22" s="35">
        <f t="shared" si="31"/>
        <v>230537.919425</v>
      </c>
      <c r="BS22" s="35">
        <f t="shared" si="32"/>
        <v>1045015.968425</v>
      </c>
      <c r="BT22" s="34">
        <f t="shared" si="33"/>
        <v>44203.37299110699</v>
      </c>
      <c r="BU22" s="35"/>
      <c r="BV22" s="35">
        <f t="shared" si="57"/>
        <v>58758.399</v>
      </c>
      <c r="BW22" s="35">
        <f t="shared" si="34"/>
        <v>16631.558175</v>
      </c>
      <c r="BX22" s="35">
        <f t="shared" si="35"/>
        <v>75389.95717499999</v>
      </c>
      <c r="BY22" s="34">
        <f t="shared" si="36"/>
        <v>3188.9372961569998</v>
      </c>
      <c r="BZ22" s="35"/>
      <c r="CA22" s="35"/>
      <c r="CB22" s="35"/>
      <c r="CC22" s="35">
        <f t="shared" si="37"/>
        <v>0</v>
      </c>
      <c r="CD22" s="34"/>
      <c r="CE22" s="35"/>
      <c r="CF22" s="35">
        <f t="shared" si="58"/>
        <v>95278.491</v>
      </c>
      <c r="CG22" s="35">
        <f t="shared" si="38"/>
        <v>26968.566075</v>
      </c>
      <c r="CH22" s="35">
        <f t="shared" si="39"/>
        <v>122247.05707499999</v>
      </c>
      <c r="CI22" s="34">
        <f t="shared" si="40"/>
        <v>5170.956640113</v>
      </c>
      <c r="CJ22" s="35"/>
      <c r="CK22" s="35">
        <f t="shared" si="59"/>
        <v>1357775.4959999998</v>
      </c>
      <c r="CL22" s="35">
        <f t="shared" si="41"/>
        <v>384318.20019999996</v>
      </c>
      <c r="CM22" s="35">
        <f t="shared" si="42"/>
        <v>1742093.6961999997</v>
      </c>
      <c r="CN22" s="34">
        <f t="shared" si="43"/>
        <v>73689.22558632799</v>
      </c>
      <c r="CP22" s="5">
        <v>340</v>
      </c>
      <c r="CQ22" s="5">
        <v>96</v>
      </c>
      <c r="CR22" s="35">
        <f t="shared" si="44"/>
        <v>436</v>
      </c>
      <c r="CS22" s="34">
        <v>18.429151509999997</v>
      </c>
      <c r="CX22" s="5"/>
      <c r="CY22" s="5"/>
      <c r="CZ22" s="5"/>
      <c r="DA22" s="5"/>
      <c r="DB22" s="5"/>
      <c r="DC22" s="5"/>
      <c r="DD22" s="5"/>
      <c r="DE22" s="5"/>
      <c r="DF22" s="5"/>
      <c r="DG22" s="5"/>
    </row>
    <row r="23" spans="1:111" ht="12.75">
      <c r="A23" s="36">
        <v>47027</v>
      </c>
      <c r="D23" s="3">
        <v>1138000</v>
      </c>
      <c r="E23" s="34">
        <f t="shared" si="0"/>
        <v>239339.62999999998</v>
      </c>
      <c r="G23" s="3">
        <v>62000</v>
      </c>
      <c r="H23" s="3">
        <v>103496</v>
      </c>
      <c r="I23" s="34">
        <f t="shared" si="45"/>
        <v>0</v>
      </c>
      <c r="J23" s="34">
        <f t="shared" si="1"/>
        <v>1200000</v>
      </c>
      <c r="K23" s="34">
        <f t="shared" si="2"/>
        <v>1200000</v>
      </c>
      <c r="L23" s="34">
        <f t="shared" si="3"/>
        <v>342835.63</v>
      </c>
      <c r="M23" s="35"/>
      <c r="N23" s="3">
        <f>'10 yr Facilities Renewal'!C23</f>
        <v>0</v>
      </c>
      <c r="O23" s="3">
        <f>'10 yr Facilities Renewal'!D23</f>
        <v>62000</v>
      </c>
      <c r="P23" s="35">
        <f t="shared" si="4"/>
        <v>62000</v>
      </c>
      <c r="Q23" s="34">
        <f>'10 yr Facilities Renewal'!F23</f>
        <v>103496</v>
      </c>
      <c r="S23" s="35">
        <f>'20 Yr Academic Project '!H23</f>
        <v>0</v>
      </c>
      <c r="T23" s="35">
        <f>'20 Yr Academic Project '!I23</f>
        <v>82762.41560000001</v>
      </c>
      <c r="U23" s="35">
        <f t="shared" si="5"/>
        <v>82762.41560000001</v>
      </c>
      <c r="V23" s="34">
        <f>'20 Yr Academic Project '!K23</f>
        <v>17406.261799305998</v>
      </c>
      <c r="X23" s="35">
        <f t="shared" si="60"/>
        <v>0</v>
      </c>
      <c r="Y23" s="34">
        <f t="shared" si="46"/>
        <v>1055237.9584</v>
      </c>
      <c r="Z23" s="35">
        <f t="shared" si="6"/>
        <v>1055237.9584</v>
      </c>
      <c r="AA23" s="34">
        <f t="shared" si="47"/>
        <v>221933.36820069398</v>
      </c>
      <c r="AB23" s="35"/>
      <c r="AC23" s="35"/>
      <c r="AD23" s="35">
        <f t="shared" si="7"/>
        <v>1057.771</v>
      </c>
      <c r="AE23" s="35">
        <f t="shared" si="8"/>
        <v>1057.771</v>
      </c>
      <c r="AF23" s="34">
        <f t="shared" si="9"/>
        <v>222.46618608499998</v>
      </c>
      <c r="AH23" s="35"/>
      <c r="AI23" s="35">
        <f t="shared" si="10"/>
        <v>84370.9786</v>
      </c>
      <c r="AJ23" s="35">
        <f t="shared" si="11"/>
        <v>84370.9786</v>
      </c>
      <c r="AK23" s="34">
        <f t="shared" si="12"/>
        <v>17744.568366311</v>
      </c>
      <c r="AM23" s="35"/>
      <c r="AN23" s="35">
        <f t="shared" si="13"/>
        <v>156536.67959999997</v>
      </c>
      <c r="AO23" s="35">
        <f t="shared" si="14"/>
        <v>156536.67959999997</v>
      </c>
      <c r="AP23" s="34">
        <f t="shared" si="15"/>
        <v>32922.171332945996</v>
      </c>
      <c r="AR23" s="35"/>
      <c r="AS23" s="35">
        <f t="shared" si="16"/>
        <v>287.8002</v>
      </c>
      <c r="AT23" s="35">
        <f t="shared" si="17"/>
        <v>287.8002</v>
      </c>
      <c r="AU23" s="34">
        <f t="shared" si="18"/>
        <v>60.528992427</v>
      </c>
      <c r="AW23" s="35"/>
      <c r="AX23" s="35">
        <f t="shared" si="19"/>
        <v>268.6818</v>
      </c>
      <c r="AY23" s="35">
        <f t="shared" si="20"/>
        <v>268.6818</v>
      </c>
      <c r="AZ23" s="34">
        <f t="shared" si="21"/>
        <v>56.50808664299999</v>
      </c>
      <c r="BA23" s="35"/>
      <c r="BB23" s="35"/>
      <c r="BC23" s="35">
        <f t="shared" si="22"/>
        <v>1562.0188</v>
      </c>
      <c r="BD23" s="35">
        <f t="shared" si="23"/>
        <v>1562.0188</v>
      </c>
      <c r="BE23" s="34">
        <f t="shared" si="24"/>
        <v>328.517576138</v>
      </c>
      <c r="BF23" s="35"/>
      <c r="BG23" s="35"/>
      <c r="BH23" s="35">
        <f t="shared" si="25"/>
        <v>42756.367</v>
      </c>
      <c r="BI23" s="35">
        <f t="shared" si="26"/>
        <v>42756.367</v>
      </c>
      <c r="BJ23" s="34">
        <f t="shared" si="27"/>
        <v>8992.348908545</v>
      </c>
      <c r="BK23" s="35"/>
      <c r="BL23" s="35"/>
      <c r="BM23" s="35">
        <f t="shared" si="28"/>
        <v>168010.6784</v>
      </c>
      <c r="BN23" s="35">
        <f t="shared" si="29"/>
        <v>168010.6784</v>
      </c>
      <c r="BO23" s="34">
        <f t="shared" si="30"/>
        <v>35335.337086384</v>
      </c>
      <c r="BP23" s="35"/>
      <c r="BQ23" s="35"/>
      <c r="BR23" s="35">
        <f t="shared" si="31"/>
        <v>210175.96819999997</v>
      </c>
      <c r="BS23" s="35">
        <f t="shared" si="32"/>
        <v>210175.96819999997</v>
      </c>
      <c r="BT23" s="34">
        <f t="shared" si="33"/>
        <v>44203.37299110699</v>
      </c>
      <c r="BU23" s="35"/>
      <c r="BV23" s="35"/>
      <c r="BW23" s="35">
        <f t="shared" si="34"/>
        <v>15162.5982</v>
      </c>
      <c r="BX23" s="35">
        <f t="shared" si="35"/>
        <v>15162.5982</v>
      </c>
      <c r="BY23" s="34">
        <f t="shared" si="36"/>
        <v>3188.9372961569998</v>
      </c>
      <c r="BZ23" s="35"/>
      <c r="CA23" s="35"/>
      <c r="CB23" s="35"/>
      <c r="CC23" s="35">
        <f t="shared" si="37"/>
        <v>0</v>
      </c>
      <c r="CD23" s="34"/>
      <c r="CE23" s="35"/>
      <c r="CF23" s="35"/>
      <c r="CG23" s="35">
        <f t="shared" si="38"/>
        <v>24586.603799999997</v>
      </c>
      <c r="CH23" s="35">
        <f t="shared" si="39"/>
        <v>24586.603799999997</v>
      </c>
      <c r="CI23" s="34">
        <f t="shared" si="40"/>
        <v>5170.956640113</v>
      </c>
      <c r="CJ23" s="35"/>
      <c r="CK23" s="35"/>
      <c r="CL23" s="35">
        <f t="shared" si="41"/>
        <v>350373.81279999996</v>
      </c>
      <c r="CM23" s="35">
        <f t="shared" si="42"/>
        <v>350373.81279999996</v>
      </c>
      <c r="CN23" s="34">
        <f t="shared" si="43"/>
        <v>73689.22558632799</v>
      </c>
      <c r="CQ23" s="5">
        <v>88</v>
      </c>
      <c r="CR23" s="35">
        <f t="shared" si="44"/>
        <v>88</v>
      </c>
      <c r="CS23" s="34">
        <v>18.429151509999997</v>
      </c>
      <c r="CX23" s="5"/>
      <c r="CY23" s="5"/>
      <c r="CZ23" s="5"/>
      <c r="DA23" s="5"/>
      <c r="DB23" s="5"/>
      <c r="DC23" s="5"/>
      <c r="DD23" s="5"/>
      <c r="DE23" s="5"/>
      <c r="DF23" s="5"/>
      <c r="DG23" s="5"/>
    </row>
    <row r="24" spans="1:111" ht="12.75">
      <c r="A24" s="36">
        <v>47209</v>
      </c>
      <c r="C24" s="3">
        <v>4630000</v>
      </c>
      <c r="D24" s="3">
        <v>1138000</v>
      </c>
      <c r="E24" s="34">
        <f t="shared" si="0"/>
        <v>239339.62999999998</v>
      </c>
      <c r="F24" s="3">
        <v>2480000</v>
      </c>
      <c r="G24" s="3">
        <v>62000</v>
      </c>
      <c r="H24" s="3">
        <v>103496</v>
      </c>
      <c r="I24" s="34">
        <f t="shared" si="45"/>
        <v>7110000</v>
      </c>
      <c r="J24" s="34">
        <f t="shared" si="1"/>
        <v>1200000</v>
      </c>
      <c r="K24" s="34">
        <f t="shared" si="2"/>
        <v>8310000</v>
      </c>
      <c r="L24" s="34">
        <f t="shared" si="3"/>
        <v>342835.63</v>
      </c>
      <c r="M24" s="35"/>
      <c r="N24" s="3">
        <f>'10 yr Facilities Renewal'!C24</f>
        <v>2480000</v>
      </c>
      <c r="O24" s="3">
        <f>'10 yr Facilities Renewal'!D24</f>
        <v>62000</v>
      </c>
      <c r="P24" s="35">
        <f t="shared" si="4"/>
        <v>2542000</v>
      </c>
      <c r="Q24" s="34">
        <f>'10 yr Facilities Renewal'!F24</f>
        <v>103496</v>
      </c>
      <c r="S24" s="35">
        <f>'20 Yr Academic Project '!H24</f>
        <v>336722.306</v>
      </c>
      <c r="T24" s="35">
        <f>'20 Yr Academic Project '!I24</f>
        <v>82762.41560000001</v>
      </c>
      <c r="U24" s="35">
        <f t="shared" si="5"/>
        <v>419484.7216</v>
      </c>
      <c r="V24" s="34">
        <f>'20 Yr Academic Project '!K24</f>
        <v>17406.261799305998</v>
      </c>
      <c r="X24" s="35">
        <f t="shared" si="60"/>
        <v>4293278.184</v>
      </c>
      <c r="Y24" s="34">
        <f t="shared" si="46"/>
        <v>1055237.9584</v>
      </c>
      <c r="Z24" s="35">
        <f t="shared" si="6"/>
        <v>5348516.1424</v>
      </c>
      <c r="AA24" s="34">
        <f t="shared" si="47"/>
        <v>221933.36820069398</v>
      </c>
      <c r="AB24" s="35"/>
      <c r="AC24" s="35">
        <f t="shared" si="48"/>
        <v>4303.585</v>
      </c>
      <c r="AD24" s="35">
        <f t="shared" si="7"/>
        <v>1057.771</v>
      </c>
      <c r="AE24" s="35">
        <f t="shared" si="8"/>
        <v>5361.356</v>
      </c>
      <c r="AF24" s="34">
        <f t="shared" si="9"/>
        <v>222.46618608499998</v>
      </c>
      <c r="AH24" s="35">
        <f t="shared" si="49"/>
        <v>343266.811</v>
      </c>
      <c r="AI24" s="35">
        <f t="shared" si="10"/>
        <v>84370.9786</v>
      </c>
      <c r="AJ24" s="35">
        <f t="shared" si="11"/>
        <v>427637.7896</v>
      </c>
      <c r="AK24" s="34">
        <f t="shared" si="12"/>
        <v>17744.568366311</v>
      </c>
      <c r="AM24" s="35">
        <f t="shared" si="50"/>
        <v>636875.946</v>
      </c>
      <c r="AN24" s="35">
        <f t="shared" si="13"/>
        <v>156536.67959999997</v>
      </c>
      <c r="AO24" s="35">
        <f t="shared" si="14"/>
        <v>793412.6255999999</v>
      </c>
      <c r="AP24" s="34">
        <f t="shared" si="15"/>
        <v>32922.171332945996</v>
      </c>
      <c r="AR24" s="35">
        <f t="shared" si="51"/>
        <v>1170.9270000000001</v>
      </c>
      <c r="AS24" s="35">
        <f t="shared" si="16"/>
        <v>287.8002</v>
      </c>
      <c r="AT24" s="35">
        <f t="shared" si="17"/>
        <v>1458.7272000000003</v>
      </c>
      <c r="AU24" s="34">
        <f t="shared" si="18"/>
        <v>60.528992427</v>
      </c>
      <c r="AW24" s="35">
        <f t="shared" si="52"/>
        <v>1093.143</v>
      </c>
      <c r="AX24" s="35">
        <f t="shared" si="19"/>
        <v>268.6818</v>
      </c>
      <c r="AY24" s="35">
        <f t="shared" si="20"/>
        <v>1361.8248</v>
      </c>
      <c r="AZ24" s="34">
        <f t="shared" si="21"/>
        <v>56.50808664299999</v>
      </c>
      <c r="BA24" s="35"/>
      <c r="BB24" s="35">
        <f t="shared" si="53"/>
        <v>6355.138</v>
      </c>
      <c r="BC24" s="35">
        <f t="shared" si="22"/>
        <v>1562.0188</v>
      </c>
      <c r="BD24" s="35">
        <f t="shared" si="23"/>
        <v>7917.1568</v>
      </c>
      <c r="BE24" s="34">
        <f t="shared" si="24"/>
        <v>328.517576138</v>
      </c>
      <c r="BF24" s="35"/>
      <c r="BG24" s="35">
        <f t="shared" si="54"/>
        <v>173956.045</v>
      </c>
      <c r="BH24" s="35">
        <f t="shared" si="25"/>
        <v>42756.367</v>
      </c>
      <c r="BI24" s="35">
        <f t="shared" si="26"/>
        <v>216712.412</v>
      </c>
      <c r="BJ24" s="34">
        <f t="shared" si="27"/>
        <v>8992.348908545</v>
      </c>
      <c r="BK24" s="35"/>
      <c r="BL24" s="35">
        <f t="shared" si="55"/>
        <v>683558.3840000001</v>
      </c>
      <c r="BM24" s="35">
        <f t="shared" si="28"/>
        <v>168010.6784</v>
      </c>
      <c r="BN24" s="35">
        <f t="shared" si="29"/>
        <v>851569.0624</v>
      </c>
      <c r="BO24" s="34">
        <f t="shared" si="30"/>
        <v>35335.337086384</v>
      </c>
      <c r="BP24" s="35"/>
      <c r="BQ24" s="35">
        <f t="shared" si="56"/>
        <v>855109.607</v>
      </c>
      <c r="BR24" s="35">
        <f t="shared" si="31"/>
        <v>210175.96819999997</v>
      </c>
      <c r="BS24" s="35">
        <f t="shared" si="32"/>
        <v>1065285.5751999998</v>
      </c>
      <c r="BT24" s="34">
        <f t="shared" si="33"/>
        <v>44203.37299110699</v>
      </c>
      <c r="BU24" s="35"/>
      <c r="BV24" s="35">
        <f t="shared" si="57"/>
        <v>61689.657</v>
      </c>
      <c r="BW24" s="35">
        <f t="shared" si="34"/>
        <v>15162.5982</v>
      </c>
      <c r="BX24" s="35">
        <f t="shared" si="35"/>
        <v>76852.2552</v>
      </c>
      <c r="BY24" s="34">
        <f t="shared" si="36"/>
        <v>3188.9372961569998</v>
      </c>
      <c r="BZ24" s="35"/>
      <c r="CA24" s="35"/>
      <c r="CB24" s="35"/>
      <c r="CC24" s="35">
        <f t="shared" si="37"/>
        <v>0</v>
      </c>
      <c r="CD24" s="34"/>
      <c r="CE24" s="35"/>
      <c r="CF24" s="35">
        <f t="shared" si="58"/>
        <v>100031.613</v>
      </c>
      <c r="CG24" s="35">
        <f t="shared" si="38"/>
        <v>24586.603799999997</v>
      </c>
      <c r="CH24" s="35">
        <f t="shared" si="39"/>
        <v>124618.2168</v>
      </c>
      <c r="CI24" s="34">
        <f t="shared" si="40"/>
        <v>5170.956640113</v>
      </c>
      <c r="CJ24" s="35"/>
      <c r="CK24" s="35">
        <f t="shared" si="59"/>
        <v>1425510.328</v>
      </c>
      <c r="CL24" s="35">
        <f t="shared" si="41"/>
        <v>350373.81279999996</v>
      </c>
      <c r="CM24" s="35">
        <f t="shared" si="42"/>
        <v>1775884.1408</v>
      </c>
      <c r="CN24" s="34">
        <f t="shared" si="43"/>
        <v>73689.22558632799</v>
      </c>
      <c r="CP24" s="5">
        <v>357</v>
      </c>
      <c r="CQ24" s="5">
        <v>88</v>
      </c>
      <c r="CR24" s="35">
        <f t="shared" si="44"/>
        <v>445</v>
      </c>
      <c r="CS24" s="34">
        <v>18.429151509999997</v>
      </c>
      <c r="CX24" s="5"/>
      <c r="CY24" s="5"/>
      <c r="CZ24" s="5"/>
      <c r="DA24" s="5"/>
      <c r="DB24" s="5"/>
      <c r="DC24" s="5"/>
      <c r="DD24" s="5"/>
      <c r="DE24" s="5"/>
      <c r="DF24" s="5"/>
      <c r="DG24" s="5"/>
    </row>
    <row r="25" spans="1:111" ht="12.75">
      <c r="A25" s="36">
        <v>47392</v>
      </c>
      <c r="D25" s="3">
        <v>1022250</v>
      </c>
      <c r="E25" s="34">
        <f t="shared" si="0"/>
        <v>239339.62999999998</v>
      </c>
      <c r="I25" s="34">
        <f t="shared" si="45"/>
        <v>0</v>
      </c>
      <c r="J25" s="34">
        <f t="shared" si="1"/>
        <v>1022250</v>
      </c>
      <c r="K25" s="34">
        <f t="shared" si="2"/>
        <v>1022250</v>
      </c>
      <c r="L25" s="34">
        <f t="shared" si="3"/>
        <v>239339.62999999998</v>
      </c>
      <c r="M25" s="35"/>
      <c r="N25" s="3"/>
      <c r="O25" s="35"/>
      <c r="P25" s="35">
        <f t="shared" si="4"/>
        <v>0</v>
      </c>
      <c r="Q25" s="34"/>
      <c r="S25" s="35">
        <f>'20 Yr Academic Project '!H25</f>
        <v>0</v>
      </c>
      <c r="T25" s="35">
        <f>'20 Yr Academic Project '!I25</f>
        <v>74344.35795</v>
      </c>
      <c r="U25" s="35">
        <f t="shared" si="5"/>
        <v>74344.35795</v>
      </c>
      <c r="V25" s="34">
        <f>'20 Yr Academic Project '!K25</f>
        <v>17406.261799305998</v>
      </c>
      <c r="X25" s="35">
        <f t="shared" si="60"/>
        <v>0</v>
      </c>
      <c r="Y25" s="34">
        <f t="shared" si="46"/>
        <v>947905.9287999999</v>
      </c>
      <c r="Z25" s="35">
        <f t="shared" si="6"/>
        <v>947905.9287999999</v>
      </c>
      <c r="AA25" s="34">
        <f t="shared" si="47"/>
        <v>221933.36820069398</v>
      </c>
      <c r="AB25" s="35"/>
      <c r="AC25" s="35"/>
      <c r="AD25" s="35">
        <f t="shared" si="7"/>
        <v>950.181375</v>
      </c>
      <c r="AE25" s="35">
        <f t="shared" si="8"/>
        <v>950.181375</v>
      </c>
      <c r="AF25" s="34">
        <f t="shared" si="9"/>
        <v>222.46618608499998</v>
      </c>
      <c r="AH25" s="35"/>
      <c r="AI25" s="35">
        <f t="shared" si="10"/>
        <v>75789.308325</v>
      </c>
      <c r="AJ25" s="35">
        <f t="shared" si="11"/>
        <v>75789.308325</v>
      </c>
      <c r="AK25" s="34">
        <f t="shared" si="12"/>
        <v>17744.568366311</v>
      </c>
      <c r="AM25" s="35"/>
      <c r="AN25" s="35">
        <f t="shared" si="13"/>
        <v>140614.78095</v>
      </c>
      <c r="AO25" s="35">
        <f t="shared" si="14"/>
        <v>140614.78095</v>
      </c>
      <c r="AP25" s="34">
        <f t="shared" si="15"/>
        <v>32922.171332945996</v>
      </c>
      <c r="AR25" s="35"/>
      <c r="AS25" s="35">
        <f t="shared" si="16"/>
        <v>258.52702500000004</v>
      </c>
      <c r="AT25" s="35">
        <f t="shared" si="17"/>
        <v>258.52702500000004</v>
      </c>
      <c r="AU25" s="34">
        <f t="shared" si="18"/>
        <v>60.528992427</v>
      </c>
      <c r="AW25" s="35"/>
      <c r="AX25" s="35">
        <f t="shared" si="19"/>
        <v>241.35322499999998</v>
      </c>
      <c r="AY25" s="35">
        <f t="shared" si="20"/>
        <v>241.35322499999998</v>
      </c>
      <c r="AZ25" s="34">
        <f t="shared" si="21"/>
        <v>56.50808664299999</v>
      </c>
      <c r="BA25" s="35"/>
      <c r="BB25" s="35"/>
      <c r="BC25" s="35">
        <f t="shared" si="22"/>
        <v>1403.1403500000001</v>
      </c>
      <c r="BD25" s="35">
        <f t="shared" si="23"/>
        <v>1403.1403500000001</v>
      </c>
      <c r="BE25" s="34">
        <f t="shared" si="24"/>
        <v>328.517576138</v>
      </c>
      <c r="BF25" s="35"/>
      <c r="BG25" s="35"/>
      <c r="BH25" s="35">
        <f t="shared" si="25"/>
        <v>38407.465875</v>
      </c>
      <c r="BI25" s="35">
        <f t="shared" si="26"/>
        <v>38407.465875</v>
      </c>
      <c r="BJ25" s="34">
        <f t="shared" si="27"/>
        <v>8992.348908545</v>
      </c>
      <c r="BK25" s="35"/>
      <c r="BL25" s="35"/>
      <c r="BM25" s="35">
        <f t="shared" si="28"/>
        <v>150921.7188</v>
      </c>
      <c r="BN25" s="35">
        <f t="shared" si="29"/>
        <v>150921.7188</v>
      </c>
      <c r="BO25" s="34">
        <f t="shared" si="30"/>
        <v>35335.337086384</v>
      </c>
      <c r="BP25" s="35"/>
      <c r="BQ25" s="35"/>
      <c r="BR25" s="35">
        <f t="shared" si="31"/>
        <v>188798.228025</v>
      </c>
      <c r="BS25" s="35">
        <f t="shared" si="32"/>
        <v>188798.228025</v>
      </c>
      <c r="BT25" s="34">
        <f t="shared" si="33"/>
        <v>44203.37299110699</v>
      </c>
      <c r="BU25" s="35"/>
      <c r="BV25" s="35"/>
      <c r="BW25" s="35">
        <f t="shared" si="34"/>
        <v>13620.356775</v>
      </c>
      <c r="BX25" s="35">
        <f t="shared" si="35"/>
        <v>13620.356775</v>
      </c>
      <c r="BY25" s="34">
        <f t="shared" si="36"/>
        <v>3188.9372961569998</v>
      </c>
      <c r="BZ25" s="35"/>
      <c r="CA25" s="35"/>
      <c r="CB25" s="35"/>
      <c r="CC25" s="35">
        <f t="shared" si="37"/>
        <v>0</v>
      </c>
      <c r="CD25" s="34"/>
      <c r="CE25" s="35"/>
      <c r="CF25" s="35"/>
      <c r="CG25" s="35">
        <f t="shared" si="38"/>
        <v>22085.813475</v>
      </c>
      <c r="CH25" s="35">
        <f t="shared" si="39"/>
        <v>22085.813475</v>
      </c>
      <c r="CI25" s="34">
        <f t="shared" si="40"/>
        <v>5170.956640113</v>
      </c>
      <c r="CJ25" s="35"/>
      <c r="CK25" s="35"/>
      <c r="CL25" s="35">
        <f t="shared" si="41"/>
        <v>314736.0546</v>
      </c>
      <c r="CM25" s="35">
        <f t="shared" si="42"/>
        <v>314736.0546</v>
      </c>
      <c r="CN25" s="34">
        <f t="shared" si="43"/>
        <v>73689.22558632799</v>
      </c>
      <c r="CQ25" s="5">
        <v>79</v>
      </c>
      <c r="CR25" s="35">
        <f t="shared" si="44"/>
        <v>79</v>
      </c>
      <c r="CS25" s="34">
        <v>18.429151509999997</v>
      </c>
      <c r="CX25" s="5"/>
      <c r="CY25" s="5"/>
      <c r="CZ25" s="5"/>
      <c r="DA25" s="5"/>
      <c r="DB25" s="5"/>
      <c r="DC25" s="5"/>
      <c r="DD25" s="5"/>
      <c r="DE25" s="5"/>
      <c r="DF25" s="5"/>
      <c r="DG25" s="5"/>
    </row>
    <row r="26" spans="1:111" ht="12.75">
      <c r="A26" s="36">
        <v>11049</v>
      </c>
      <c r="C26" s="3">
        <v>4860000</v>
      </c>
      <c r="D26" s="3">
        <v>1022250</v>
      </c>
      <c r="E26" s="34">
        <f t="shared" si="0"/>
        <v>239339.62999999998</v>
      </c>
      <c r="I26" s="34">
        <f t="shared" si="45"/>
        <v>4860000</v>
      </c>
      <c r="J26" s="34">
        <f t="shared" si="1"/>
        <v>1022250</v>
      </c>
      <c r="K26" s="34">
        <f t="shared" si="2"/>
        <v>5882250</v>
      </c>
      <c r="L26" s="34">
        <f t="shared" si="3"/>
        <v>239339.62999999998</v>
      </c>
      <c r="M26" s="35"/>
      <c r="N26" s="3"/>
      <c r="O26" s="35"/>
      <c r="P26" s="35">
        <f t="shared" si="4"/>
        <v>0</v>
      </c>
      <c r="Q26" s="34"/>
      <c r="S26" s="35">
        <f>'20 Yr Academic Project '!H26</f>
        <v>353449.332</v>
      </c>
      <c r="T26" s="35">
        <f>'20 Yr Academic Project '!I26</f>
        <v>74344.35795</v>
      </c>
      <c r="U26" s="35">
        <f t="shared" si="5"/>
        <v>427793.68995</v>
      </c>
      <c r="V26" s="34">
        <f>'20 Yr Academic Project '!K26</f>
        <v>17406.261799305998</v>
      </c>
      <c r="X26" s="35">
        <f t="shared" si="60"/>
        <v>4506550.448</v>
      </c>
      <c r="Y26" s="34">
        <f t="shared" si="46"/>
        <v>947905.9287999999</v>
      </c>
      <c r="Z26" s="35">
        <f t="shared" si="6"/>
        <v>5454456.3768</v>
      </c>
      <c r="AA26" s="34">
        <f t="shared" si="47"/>
        <v>221933.36820069398</v>
      </c>
      <c r="AB26" s="35"/>
      <c r="AC26" s="35">
        <f t="shared" si="48"/>
        <v>4517.37</v>
      </c>
      <c r="AD26" s="35">
        <f t="shared" si="7"/>
        <v>950.181375</v>
      </c>
      <c r="AE26" s="35">
        <f t="shared" si="8"/>
        <v>5467.551375</v>
      </c>
      <c r="AF26" s="34">
        <f t="shared" si="9"/>
        <v>222.46618608499998</v>
      </c>
      <c r="AH26" s="35">
        <f t="shared" si="49"/>
        <v>360318.94200000004</v>
      </c>
      <c r="AI26" s="35">
        <f t="shared" si="10"/>
        <v>75789.308325</v>
      </c>
      <c r="AJ26" s="35">
        <f t="shared" si="11"/>
        <v>436108.25032500003</v>
      </c>
      <c r="AK26" s="34">
        <f t="shared" si="12"/>
        <v>17744.568366311</v>
      </c>
      <c r="AM26" s="35">
        <f t="shared" si="50"/>
        <v>668513.4119999999</v>
      </c>
      <c r="AN26" s="35">
        <f t="shared" si="13"/>
        <v>140614.78095</v>
      </c>
      <c r="AO26" s="35">
        <f t="shared" si="14"/>
        <v>809128.1929499998</v>
      </c>
      <c r="AP26" s="34">
        <f t="shared" si="15"/>
        <v>32922.171332945996</v>
      </c>
      <c r="AR26" s="35">
        <f t="shared" si="51"/>
        <v>1229.094</v>
      </c>
      <c r="AS26" s="35">
        <f t="shared" si="16"/>
        <v>258.52702500000004</v>
      </c>
      <c r="AT26" s="35">
        <f t="shared" si="17"/>
        <v>1487.6210250000001</v>
      </c>
      <c r="AU26" s="34">
        <f t="shared" si="18"/>
        <v>60.528992427</v>
      </c>
      <c r="AW26" s="35">
        <f t="shared" si="52"/>
        <v>1147.446</v>
      </c>
      <c r="AX26" s="35">
        <f t="shared" si="19"/>
        <v>241.35322499999998</v>
      </c>
      <c r="AY26" s="35">
        <f t="shared" si="20"/>
        <v>1388.799225</v>
      </c>
      <c r="AZ26" s="34">
        <f t="shared" si="21"/>
        <v>56.50808664299999</v>
      </c>
      <c r="BA26" s="35"/>
      <c r="BB26" s="35">
        <f t="shared" si="53"/>
        <v>6670.836</v>
      </c>
      <c r="BC26" s="35">
        <f t="shared" si="22"/>
        <v>1403.1403500000001</v>
      </c>
      <c r="BD26" s="35">
        <f t="shared" si="23"/>
        <v>8073.976350000001</v>
      </c>
      <c r="BE26" s="34">
        <f t="shared" si="24"/>
        <v>328.517576138</v>
      </c>
      <c r="BF26" s="35"/>
      <c r="BG26" s="35">
        <f t="shared" si="54"/>
        <v>182597.49</v>
      </c>
      <c r="BH26" s="35">
        <f t="shared" si="25"/>
        <v>38407.465875</v>
      </c>
      <c r="BI26" s="35">
        <f t="shared" si="26"/>
        <v>221004.95587499999</v>
      </c>
      <c r="BJ26" s="34">
        <f t="shared" si="27"/>
        <v>8992.348908545</v>
      </c>
      <c r="BK26" s="35"/>
      <c r="BL26" s="35">
        <f t="shared" si="55"/>
        <v>717514.8480000001</v>
      </c>
      <c r="BM26" s="35">
        <f t="shared" si="28"/>
        <v>150921.7188</v>
      </c>
      <c r="BN26" s="35">
        <f t="shared" si="29"/>
        <v>868436.5668000001</v>
      </c>
      <c r="BO26" s="34">
        <f t="shared" si="30"/>
        <v>35335.337086384</v>
      </c>
      <c r="BP26" s="35"/>
      <c r="BQ26" s="35">
        <f t="shared" si="56"/>
        <v>897588.054</v>
      </c>
      <c r="BR26" s="35">
        <f t="shared" si="31"/>
        <v>188798.228025</v>
      </c>
      <c r="BS26" s="35">
        <f t="shared" si="32"/>
        <v>1086386.282025</v>
      </c>
      <c r="BT26" s="34">
        <f t="shared" si="33"/>
        <v>44203.37299110699</v>
      </c>
      <c r="BU26" s="35"/>
      <c r="BV26" s="35">
        <f t="shared" si="57"/>
        <v>64754.153999999995</v>
      </c>
      <c r="BW26" s="35">
        <f t="shared" si="34"/>
        <v>13620.356775</v>
      </c>
      <c r="BX26" s="35">
        <f t="shared" si="35"/>
        <v>78374.510775</v>
      </c>
      <c r="BY26" s="34">
        <f t="shared" si="36"/>
        <v>3188.9372961569998</v>
      </c>
      <c r="BZ26" s="35"/>
      <c r="CA26" s="35"/>
      <c r="CB26" s="35"/>
      <c r="CC26" s="35">
        <f t="shared" si="37"/>
        <v>0</v>
      </c>
      <c r="CD26" s="34"/>
      <c r="CE26" s="35"/>
      <c r="CF26" s="35">
        <f t="shared" si="58"/>
        <v>105000.786</v>
      </c>
      <c r="CG26" s="35">
        <f t="shared" si="38"/>
        <v>22085.813475</v>
      </c>
      <c r="CH26" s="35">
        <f t="shared" si="39"/>
        <v>127086.599475</v>
      </c>
      <c r="CI26" s="34">
        <f t="shared" si="40"/>
        <v>5170.956640113</v>
      </c>
      <c r="CJ26" s="35"/>
      <c r="CK26" s="35">
        <f t="shared" si="59"/>
        <v>1496324.0159999998</v>
      </c>
      <c r="CL26" s="35">
        <f t="shared" si="41"/>
        <v>314736.0546</v>
      </c>
      <c r="CM26" s="35">
        <f t="shared" si="42"/>
        <v>1811060.0705999997</v>
      </c>
      <c r="CN26" s="34">
        <f t="shared" si="43"/>
        <v>73689.22558632799</v>
      </c>
      <c r="CP26" s="5">
        <v>374</v>
      </c>
      <c r="CQ26" s="5">
        <v>79</v>
      </c>
      <c r="CR26" s="35">
        <f t="shared" si="44"/>
        <v>453</v>
      </c>
      <c r="CS26" s="34">
        <v>18.429151509999997</v>
      </c>
      <c r="CX26" s="5"/>
      <c r="CY26" s="5"/>
      <c r="CZ26" s="5"/>
      <c r="DA26" s="5"/>
      <c r="DB26" s="5"/>
      <c r="DC26" s="5"/>
      <c r="DD26" s="5"/>
      <c r="DE26" s="5"/>
      <c r="DF26" s="5"/>
      <c r="DG26" s="5"/>
    </row>
    <row r="27" spans="1:111" ht="12.75">
      <c r="A27" s="36">
        <v>11232</v>
      </c>
      <c r="D27" s="3">
        <v>900750</v>
      </c>
      <c r="E27" s="34">
        <f t="shared" si="0"/>
        <v>239339.62999999998</v>
      </c>
      <c r="I27" s="34">
        <f t="shared" si="45"/>
        <v>0</v>
      </c>
      <c r="J27" s="34">
        <f t="shared" si="1"/>
        <v>900750</v>
      </c>
      <c r="K27" s="34">
        <f t="shared" si="2"/>
        <v>900750</v>
      </c>
      <c r="L27" s="34">
        <f t="shared" si="3"/>
        <v>239339.62999999998</v>
      </c>
      <c r="M27" s="35"/>
      <c r="N27" s="3"/>
      <c r="O27" s="35"/>
      <c r="P27" s="35">
        <f t="shared" si="4"/>
        <v>0</v>
      </c>
      <c r="Q27" s="34"/>
      <c r="S27" s="35">
        <f>'20 Yr Academic Project '!H27</f>
        <v>0</v>
      </c>
      <c r="T27" s="35">
        <f>'20 Yr Academic Project '!I27</f>
        <v>65508.124650000005</v>
      </c>
      <c r="U27" s="35">
        <f t="shared" si="5"/>
        <v>65508.124650000005</v>
      </c>
      <c r="V27" s="34">
        <f>'20 Yr Academic Project '!K27</f>
        <v>17406.261799305998</v>
      </c>
      <c r="X27" s="35">
        <f t="shared" si="60"/>
        <v>0</v>
      </c>
      <c r="Y27" s="34">
        <f t="shared" si="46"/>
        <v>835241.5175999999</v>
      </c>
      <c r="Z27" s="35">
        <f t="shared" si="6"/>
        <v>835241.5175999999</v>
      </c>
      <c r="AA27" s="34">
        <f t="shared" si="47"/>
        <v>221933.36820069398</v>
      </c>
      <c r="AB27" s="35"/>
      <c r="AC27" s="35"/>
      <c r="AD27" s="35">
        <f t="shared" si="7"/>
        <v>837.247125</v>
      </c>
      <c r="AE27" s="35">
        <f t="shared" si="8"/>
        <v>837.247125</v>
      </c>
      <c r="AF27" s="34">
        <f t="shared" si="9"/>
        <v>222.46618608499998</v>
      </c>
      <c r="AH27" s="35"/>
      <c r="AI27" s="35">
        <f t="shared" si="10"/>
        <v>66781.334775</v>
      </c>
      <c r="AJ27" s="35">
        <f t="shared" si="11"/>
        <v>66781.334775</v>
      </c>
      <c r="AK27" s="34">
        <f t="shared" si="12"/>
        <v>17744.568366311</v>
      </c>
      <c r="AM27" s="35"/>
      <c r="AN27" s="35">
        <f t="shared" si="13"/>
        <v>123901.94565</v>
      </c>
      <c r="AO27" s="35">
        <f t="shared" si="14"/>
        <v>123901.94565</v>
      </c>
      <c r="AP27" s="34">
        <f t="shared" si="15"/>
        <v>32922.171332945996</v>
      </c>
      <c r="AR27" s="35"/>
      <c r="AS27" s="35">
        <f t="shared" si="16"/>
        <v>227.799675</v>
      </c>
      <c r="AT27" s="35">
        <f t="shared" si="17"/>
        <v>227.799675</v>
      </c>
      <c r="AU27" s="34">
        <f t="shared" si="18"/>
        <v>60.528992427</v>
      </c>
      <c r="AW27" s="35"/>
      <c r="AX27" s="35">
        <f t="shared" si="19"/>
        <v>212.66707499999998</v>
      </c>
      <c r="AY27" s="35">
        <f t="shared" si="20"/>
        <v>212.66707499999998</v>
      </c>
      <c r="AZ27" s="34">
        <f t="shared" si="21"/>
        <v>56.50808664299999</v>
      </c>
      <c r="BA27" s="35"/>
      <c r="BB27" s="35"/>
      <c r="BC27" s="35">
        <f t="shared" si="22"/>
        <v>1236.3694500000001</v>
      </c>
      <c r="BD27" s="35">
        <f t="shared" si="23"/>
        <v>1236.3694500000001</v>
      </c>
      <c r="BE27" s="34">
        <f t="shared" si="24"/>
        <v>328.517576138</v>
      </c>
      <c r="BF27" s="35"/>
      <c r="BG27" s="35"/>
      <c r="BH27" s="35">
        <f t="shared" si="25"/>
        <v>33842.528625</v>
      </c>
      <c r="BI27" s="35">
        <f t="shared" si="26"/>
        <v>33842.528625</v>
      </c>
      <c r="BJ27" s="34">
        <f t="shared" si="27"/>
        <v>8992.348908545</v>
      </c>
      <c r="BK27" s="35"/>
      <c r="BL27" s="35"/>
      <c r="BM27" s="35">
        <f t="shared" si="28"/>
        <v>132983.8476</v>
      </c>
      <c r="BN27" s="35">
        <f t="shared" si="29"/>
        <v>132983.8476</v>
      </c>
      <c r="BO27" s="34">
        <f t="shared" si="30"/>
        <v>35335.337086384</v>
      </c>
      <c r="BP27" s="35"/>
      <c r="BQ27" s="35"/>
      <c r="BR27" s="35">
        <f t="shared" si="31"/>
        <v>166358.526675</v>
      </c>
      <c r="BS27" s="35">
        <f t="shared" si="32"/>
        <v>166358.526675</v>
      </c>
      <c r="BT27" s="34">
        <f t="shared" si="33"/>
        <v>44203.37299110699</v>
      </c>
      <c r="BU27" s="35"/>
      <c r="BV27" s="35"/>
      <c r="BW27" s="35">
        <f t="shared" si="34"/>
        <v>12001.502924999999</v>
      </c>
      <c r="BX27" s="35">
        <f t="shared" si="35"/>
        <v>12001.502924999999</v>
      </c>
      <c r="BY27" s="34">
        <f t="shared" si="36"/>
        <v>3188.9372961569998</v>
      </c>
      <c r="BZ27" s="35"/>
      <c r="CA27" s="35"/>
      <c r="CB27" s="35"/>
      <c r="CC27" s="35">
        <f t="shared" si="37"/>
        <v>0</v>
      </c>
      <c r="CD27" s="34"/>
      <c r="CE27" s="35"/>
      <c r="CF27" s="35"/>
      <c r="CG27" s="35">
        <f t="shared" si="38"/>
        <v>19460.793824999997</v>
      </c>
      <c r="CH27" s="35">
        <f t="shared" si="39"/>
        <v>19460.793824999997</v>
      </c>
      <c r="CI27" s="34">
        <f t="shared" si="40"/>
        <v>5170.956640113</v>
      </c>
      <c r="CJ27" s="35"/>
      <c r="CK27" s="35"/>
      <c r="CL27" s="35">
        <f t="shared" si="41"/>
        <v>277327.9542</v>
      </c>
      <c r="CM27" s="35">
        <f t="shared" si="42"/>
        <v>277327.9542</v>
      </c>
      <c r="CN27" s="34">
        <f t="shared" si="43"/>
        <v>73689.22558632799</v>
      </c>
      <c r="CQ27" s="5">
        <v>69</v>
      </c>
      <c r="CR27" s="35">
        <f t="shared" si="44"/>
        <v>69</v>
      </c>
      <c r="CS27" s="34">
        <v>18.429151509999997</v>
      </c>
      <c r="CX27" s="5"/>
      <c r="CY27" s="5"/>
      <c r="CZ27" s="5"/>
      <c r="DA27" s="5"/>
      <c r="DB27" s="5"/>
      <c r="DC27" s="5"/>
      <c r="DD27" s="5"/>
      <c r="DE27" s="5"/>
      <c r="DF27" s="5"/>
      <c r="DG27" s="5"/>
    </row>
    <row r="28" spans="1:111" ht="12.75">
      <c r="A28" s="36">
        <v>11414</v>
      </c>
      <c r="C28" s="3">
        <v>5105000</v>
      </c>
      <c r="D28" s="3">
        <v>900750</v>
      </c>
      <c r="E28" s="34">
        <f t="shared" si="0"/>
        <v>239339.62999999998</v>
      </c>
      <c r="I28" s="34">
        <f t="shared" si="45"/>
        <v>5105000</v>
      </c>
      <c r="J28" s="34">
        <f t="shared" si="1"/>
        <v>900750</v>
      </c>
      <c r="K28" s="34">
        <f t="shared" si="2"/>
        <v>6005750</v>
      </c>
      <c r="L28" s="34">
        <f t="shared" si="3"/>
        <v>239339.62999999998</v>
      </c>
      <c r="M28" s="35"/>
      <c r="N28" s="3"/>
      <c r="O28" s="35"/>
      <c r="P28" s="35">
        <f t="shared" si="4"/>
        <v>0</v>
      </c>
      <c r="Q28" s="34"/>
      <c r="S28" s="35">
        <f>'20 Yr Academic Project '!H28</f>
        <v>371267.25100000005</v>
      </c>
      <c r="T28" s="35">
        <f>'20 Yr Academic Project '!I28</f>
        <v>65508.124650000005</v>
      </c>
      <c r="U28" s="35">
        <f t="shared" si="5"/>
        <v>436775.37565000006</v>
      </c>
      <c r="V28" s="34">
        <f>'20 Yr Academic Project '!K28</f>
        <v>17406.261799305998</v>
      </c>
      <c r="X28" s="35">
        <f t="shared" si="60"/>
        <v>4733732.664</v>
      </c>
      <c r="Y28" s="34">
        <f t="shared" si="46"/>
        <v>835241.5175999999</v>
      </c>
      <c r="Z28" s="35">
        <f t="shared" si="6"/>
        <v>5568974.1816</v>
      </c>
      <c r="AA28" s="34">
        <f t="shared" si="47"/>
        <v>221933.36820069398</v>
      </c>
      <c r="AB28" s="35"/>
      <c r="AC28" s="35">
        <f t="shared" si="48"/>
        <v>4745.0975</v>
      </c>
      <c r="AD28" s="35">
        <f t="shared" si="7"/>
        <v>837.247125</v>
      </c>
      <c r="AE28" s="35">
        <f t="shared" si="8"/>
        <v>5582.344625</v>
      </c>
      <c r="AF28" s="34">
        <f t="shared" si="9"/>
        <v>222.46618608499998</v>
      </c>
      <c r="AH28" s="35">
        <f t="shared" si="49"/>
        <v>378483.1685</v>
      </c>
      <c r="AI28" s="35">
        <f t="shared" si="10"/>
        <v>66781.334775</v>
      </c>
      <c r="AJ28" s="35">
        <f t="shared" si="11"/>
        <v>445264.503275</v>
      </c>
      <c r="AK28" s="34">
        <f t="shared" si="12"/>
        <v>17744.568366311</v>
      </c>
      <c r="AM28" s="35">
        <f t="shared" si="50"/>
        <v>702214.191</v>
      </c>
      <c r="AN28" s="35">
        <f t="shared" si="13"/>
        <v>123901.94565</v>
      </c>
      <c r="AO28" s="35">
        <f t="shared" si="14"/>
        <v>826116.13665</v>
      </c>
      <c r="AP28" s="34">
        <f t="shared" si="15"/>
        <v>32922.171332945996</v>
      </c>
      <c r="AR28" s="35">
        <f t="shared" si="51"/>
        <v>1291.0545000000002</v>
      </c>
      <c r="AS28" s="35">
        <f t="shared" si="16"/>
        <v>227.799675</v>
      </c>
      <c r="AT28" s="35">
        <f t="shared" si="17"/>
        <v>1518.8541750000002</v>
      </c>
      <c r="AU28" s="34">
        <f t="shared" si="18"/>
        <v>60.528992427</v>
      </c>
      <c r="AW28" s="35">
        <f t="shared" si="52"/>
        <v>1205.2905</v>
      </c>
      <c r="AX28" s="35">
        <f t="shared" si="19"/>
        <v>212.66707499999998</v>
      </c>
      <c r="AY28" s="35">
        <f t="shared" si="20"/>
        <v>1417.9575750000001</v>
      </c>
      <c r="AZ28" s="34">
        <f t="shared" si="21"/>
        <v>56.50808664299999</v>
      </c>
      <c r="BA28" s="35"/>
      <c r="BB28" s="35">
        <f t="shared" si="53"/>
        <v>7007.1230000000005</v>
      </c>
      <c r="BC28" s="35">
        <f t="shared" si="22"/>
        <v>1236.3694500000001</v>
      </c>
      <c r="BD28" s="35">
        <f t="shared" si="23"/>
        <v>8243.492450000002</v>
      </c>
      <c r="BE28" s="34">
        <f t="shared" si="24"/>
        <v>328.517576138</v>
      </c>
      <c r="BF28" s="35"/>
      <c r="BG28" s="35">
        <f t="shared" si="54"/>
        <v>191802.5075</v>
      </c>
      <c r="BH28" s="35">
        <f t="shared" si="25"/>
        <v>33842.528625</v>
      </c>
      <c r="BI28" s="35">
        <f t="shared" si="26"/>
        <v>225645.036125</v>
      </c>
      <c r="BJ28" s="34">
        <f t="shared" si="27"/>
        <v>8992.348908545</v>
      </c>
      <c r="BK28" s="35"/>
      <c r="BL28" s="35">
        <f t="shared" si="55"/>
        <v>753685.8640000001</v>
      </c>
      <c r="BM28" s="35">
        <f t="shared" si="28"/>
        <v>132983.8476</v>
      </c>
      <c r="BN28" s="35">
        <f t="shared" si="29"/>
        <v>886669.7116</v>
      </c>
      <c r="BO28" s="34">
        <f t="shared" si="30"/>
        <v>35335.337086384</v>
      </c>
      <c r="BP28" s="35"/>
      <c r="BQ28" s="35">
        <f t="shared" si="56"/>
        <v>942836.8345</v>
      </c>
      <c r="BR28" s="35">
        <f t="shared" si="31"/>
        <v>166358.526675</v>
      </c>
      <c r="BS28" s="35">
        <f t="shared" si="32"/>
        <v>1109195.361175</v>
      </c>
      <c r="BT28" s="34">
        <f t="shared" si="33"/>
        <v>44203.37299110699</v>
      </c>
      <c r="BU28" s="35"/>
      <c r="BV28" s="35">
        <f t="shared" si="57"/>
        <v>68018.5095</v>
      </c>
      <c r="BW28" s="35">
        <f t="shared" si="34"/>
        <v>12001.502924999999</v>
      </c>
      <c r="BX28" s="35">
        <f t="shared" si="35"/>
        <v>80020.012425</v>
      </c>
      <c r="BY28" s="34">
        <f t="shared" si="36"/>
        <v>3188.9372961569998</v>
      </c>
      <c r="BZ28" s="35"/>
      <c r="CA28" s="35"/>
      <c r="CB28" s="35"/>
      <c r="CC28" s="35">
        <f t="shared" si="37"/>
        <v>0</v>
      </c>
      <c r="CD28" s="34"/>
      <c r="CE28" s="35"/>
      <c r="CF28" s="35">
        <f t="shared" si="58"/>
        <v>110294.0355</v>
      </c>
      <c r="CG28" s="35">
        <f t="shared" si="38"/>
        <v>19460.793824999997</v>
      </c>
      <c r="CH28" s="35">
        <f t="shared" si="39"/>
        <v>129754.829325</v>
      </c>
      <c r="CI28" s="34">
        <f t="shared" si="40"/>
        <v>5170.956640113</v>
      </c>
      <c r="CJ28" s="35"/>
      <c r="CK28" s="35">
        <f t="shared" si="59"/>
        <v>1571755.988</v>
      </c>
      <c r="CL28" s="35">
        <f t="shared" si="41"/>
        <v>277327.9542</v>
      </c>
      <c r="CM28" s="35">
        <f t="shared" si="42"/>
        <v>1849083.9422</v>
      </c>
      <c r="CN28" s="34">
        <f t="shared" si="43"/>
        <v>73689.22558632799</v>
      </c>
      <c r="CP28" s="5">
        <v>393</v>
      </c>
      <c r="CQ28" s="5">
        <v>69</v>
      </c>
      <c r="CR28" s="35">
        <f t="shared" si="44"/>
        <v>462</v>
      </c>
      <c r="CS28" s="34">
        <v>18.429151509999997</v>
      </c>
      <c r="CX28" s="5"/>
      <c r="CY28" s="5"/>
      <c r="CZ28" s="5"/>
      <c r="DA28" s="5"/>
      <c r="DB28" s="5"/>
      <c r="DC28" s="5"/>
      <c r="DD28" s="5"/>
      <c r="DE28" s="5"/>
      <c r="DF28" s="5"/>
      <c r="DG28" s="5"/>
    </row>
    <row r="29" spans="1:111" ht="12.75">
      <c r="A29" s="36">
        <v>11597</v>
      </c>
      <c r="D29" s="3">
        <v>773125</v>
      </c>
      <c r="E29" s="34">
        <f t="shared" si="0"/>
        <v>239339.62999999998</v>
      </c>
      <c r="I29" s="34">
        <f t="shared" si="45"/>
        <v>0</v>
      </c>
      <c r="J29" s="34">
        <f t="shared" si="1"/>
        <v>773125</v>
      </c>
      <c r="K29" s="34">
        <f t="shared" si="2"/>
        <v>773125</v>
      </c>
      <c r="L29" s="34">
        <f t="shared" si="3"/>
        <v>239339.62999999998</v>
      </c>
      <c r="M29" s="35"/>
      <c r="N29" s="3"/>
      <c r="O29" s="35"/>
      <c r="P29" s="35">
        <f t="shared" si="4"/>
        <v>0</v>
      </c>
      <c r="Q29" s="34"/>
      <c r="S29" s="35">
        <f>'20 Yr Academic Project '!H29</f>
        <v>0</v>
      </c>
      <c r="T29" s="35">
        <f>'20 Yr Academic Project '!I29</f>
        <v>56226.443375</v>
      </c>
      <c r="U29" s="35">
        <f t="shared" si="5"/>
        <v>56226.443375</v>
      </c>
      <c r="V29" s="34">
        <f>'20 Yr Academic Project '!K29</f>
        <v>17406.261799305998</v>
      </c>
      <c r="X29" s="35">
        <f t="shared" si="60"/>
        <v>0</v>
      </c>
      <c r="Y29" s="34">
        <f t="shared" si="46"/>
        <v>716899.0260000001</v>
      </c>
      <c r="Z29" s="35">
        <f t="shared" si="6"/>
        <v>716899.0260000001</v>
      </c>
      <c r="AA29" s="34">
        <f t="shared" si="47"/>
        <v>221933.36820069398</v>
      </c>
      <c r="AB29" s="35"/>
      <c r="AC29" s="35"/>
      <c r="AD29" s="35">
        <f t="shared" si="7"/>
        <v>718.6196874999999</v>
      </c>
      <c r="AE29" s="35">
        <f t="shared" si="8"/>
        <v>718.6196874999999</v>
      </c>
      <c r="AF29" s="34">
        <f t="shared" si="9"/>
        <v>222.46618608499998</v>
      </c>
      <c r="AH29" s="35"/>
      <c r="AI29" s="35">
        <f t="shared" si="10"/>
        <v>57319.2555625</v>
      </c>
      <c r="AJ29" s="35">
        <f t="shared" si="11"/>
        <v>57319.2555625</v>
      </c>
      <c r="AK29" s="34">
        <f t="shared" si="12"/>
        <v>17744.568366311</v>
      </c>
      <c r="AM29" s="35"/>
      <c r="AN29" s="35">
        <f t="shared" si="13"/>
        <v>106346.590875</v>
      </c>
      <c r="AO29" s="35">
        <f t="shared" si="14"/>
        <v>106346.590875</v>
      </c>
      <c r="AP29" s="34">
        <f t="shared" si="15"/>
        <v>32922.171332945996</v>
      </c>
      <c r="AR29" s="35"/>
      <c r="AS29" s="35">
        <f t="shared" si="16"/>
        <v>195.5233125</v>
      </c>
      <c r="AT29" s="35">
        <f t="shared" si="17"/>
        <v>195.5233125</v>
      </c>
      <c r="AU29" s="34">
        <f t="shared" si="18"/>
        <v>60.528992427</v>
      </c>
      <c r="AW29" s="35"/>
      <c r="AX29" s="35">
        <f t="shared" si="19"/>
        <v>182.5348125</v>
      </c>
      <c r="AY29" s="35">
        <f t="shared" si="20"/>
        <v>182.5348125</v>
      </c>
      <c r="AZ29" s="34">
        <f t="shared" si="21"/>
        <v>56.50808664299999</v>
      </c>
      <c r="BA29" s="35"/>
      <c r="BB29" s="35"/>
      <c r="BC29" s="35">
        <f t="shared" si="22"/>
        <v>1061.191375</v>
      </c>
      <c r="BD29" s="35">
        <f t="shared" si="23"/>
        <v>1061.191375</v>
      </c>
      <c r="BE29" s="34">
        <f t="shared" si="24"/>
        <v>328.517576138</v>
      </c>
      <c r="BF29" s="35"/>
      <c r="BG29" s="35"/>
      <c r="BH29" s="35">
        <f t="shared" si="25"/>
        <v>29047.4659375</v>
      </c>
      <c r="BI29" s="35">
        <f t="shared" si="26"/>
        <v>29047.4659375</v>
      </c>
      <c r="BJ29" s="34">
        <f t="shared" si="27"/>
        <v>8992.348908545</v>
      </c>
      <c r="BK29" s="35"/>
      <c r="BL29" s="35"/>
      <c r="BM29" s="35">
        <f t="shared" si="28"/>
        <v>114141.70100000002</v>
      </c>
      <c r="BN29" s="35">
        <f t="shared" si="29"/>
        <v>114141.70100000002</v>
      </c>
      <c r="BO29" s="34">
        <f t="shared" si="30"/>
        <v>35335.337086384</v>
      </c>
      <c r="BP29" s="35"/>
      <c r="BQ29" s="35"/>
      <c r="BR29" s="35">
        <f t="shared" si="31"/>
        <v>142787.6058125</v>
      </c>
      <c r="BS29" s="35">
        <f t="shared" si="32"/>
        <v>142787.6058125</v>
      </c>
      <c r="BT29" s="34">
        <f t="shared" si="33"/>
        <v>44203.37299110699</v>
      </c>
      <c r="BU29" s="35"/>
      <c r="BV29" s="35"/>
      <c r="BW29" s="35">
        <f t="shared" si="34"/>
        <v>10301.040187499999</v>
      </c>
      <c r="BX29" s="35">
        <f t="shared" si="35"/>
        <v>10301.040187499999</v>
      </c>
      <c r="BY29" s="34">
        <f t="shared" si="36"/>
        <v>3188.9372961569998</v>
      </c>
      <c r="BZ29" s="35"/>
      <c r="CA29" s="35"/>
      <c r="CB29" s="35"/>
      <c r="CC29" s="35">
        <f t="shared" si="37"/>
        <v>0</v>
      </c>
      <c r="CD29" s="34"/>
      <c r="CE29" s="35"/>
      <c r="CF29" s="35"/>
      <c r="CG29" s="35">
        <f t="shared" si="38"/>
        <v>16703.4429375</v>
      </c>
      <c r="CH29" s="35">
        <f t="shared" si="39"/>
        <v>16703.4429375</v>
      </c>
      <c r="CI29" s="34">
        <f t="shared" si="40"/>
        <v>5170.956640113</v>
      </c>
      <c r="CJ29" s="35"/>
      <c r="CK29" s="35"/>
      <c r="CL29" s="35">
        <f t="shared" si="41"/>
        <v>238034.0545</v>
      </c>
      <c r="CM29" s="35">
        <f t="shared" si="42"/>
        <v>238034.0545</v>
      </c>
      <c r="CN29" s="34">
        <f t="shared" si="43"/>
        <v>73689.22558632799</v>
      </c>
      <c r="CQ29" s="5">
        <v>60</v>
      </c>
      <c r="CR29" s="35">
        <f t="shared" si="44"/>
        <v>60</v>
      </c>
      <c r="CS29" s="34">
        <v>18.429151509999997</v>
      </c>
      <c r="CX29" s="5"/>
      <c r="CY29" s="5"/>
      <c r="CZ29" s="5"/>
      <c r="DA29" s="5"/>
      <c r="DB29" s="5"/>
      <c r="DC29" s="5"/>
      <c r="DD29" s="5"/>
      <c r="DE29" s="5"/>
      <c r="DF29" s="5"/>
      <c r="DG29" s="5"/>
    </row>
    <row r="30" spans="1:111" ht="12.75">
      <c r="A30" s="36">
        <v>11780</v>
      </c>
      <c r="C30" s="3">
        <v>5360000</v>
      </c>
      <c r="D30" s="3">
        <v>773125</v>
      </c>
      <c r="E30" s="34">
        <f t="shared" si="0"/>
        <v>239339.62999999998</v>
      </c>
      <c r="I30" s="34">
        <f t="shared" si="45"/>
        <v>5360000</v>
      </c>
      <c r="J30" s="34">
        <f t="shared" si="1"/>
        <v>773125</v>
      </c>
      <c r="K30" s="34">
        <f t="shared" si="2"/>
        <v>6133125</v>
      </c>
      <c r="L30" s="34">
        <f t="shared" si="3"/>
        <v>239339.62999999998</v>
      </c>
      <c r="M30" s="35"/>
      <c r="N30" s="3"/>
      <c r="O30" s="35"/>
      <c r="P30" s="35">
        <f t="shared" si="4"/>
        <v>0</v>
      </c>
      <c r="Q30" s="34"/>
      <c r="S30" s="35">
        <f>'20 Yr Academic Project '!H30</f>
        <v>389812.432</v>
      </c>
      <c r="T30" s="35">
        <f>'20 Yr Academic Project '!I30</f>
        <v>56226.443375</v>
      </c>
      <c r="U30" s="35">
        <f t="shared" si="5"/>
        <v>446038.87537499995</v>
      </c>
      <c r="V30" s="34">
        <f>'20 Yr Academic Project '!K30</f>
        <v>17406.261799305998</v>
      </c>
      <c r="X30" s="35">
        <f t="shared" si="60"/>
        <v>4970187.848</v>
      </c>
      <c r="Y30" s="34">
        <f t="shared" si="46"/>
        <v>716899.0260000001</v>
      </c>
      <c r="Z30" s="35">
        <f t="shared" si="6"/>
        <v>5687086.874</v>
      </c>
      <c r="AA30" s="34">
        <f t="shared" si="47"/>
        <v>221933.36820069398</v>
      </c>
      <c r="AB30" s="35"/>
      <c r="AC30" s="35">
        <f t="shared" si="48"/>
        <v>4982.12</v>
      </c>
      <c r="AD30" s="35">
        <f t="shared" si="7"/>
        <v>718.6196874999999</v>
      </c>
      <c r="AE30" s="35">
        <f t="shared" si="8"/>
        <v>5700.7396874999995</v>
      </c>
      <c r="AF30" s="34">
        <f t="shared" si="9"/>
        <v>222.46618608499998</v>
      </c>
      <c r="AH30" s="35">
        <f t="shared" si="49"/>
        <v>397388.792</v>
      </c>
      <c r="AI30" s="35">
        <f t="shared" si="10"/>
        <v>57319.2555625</v>
      </c>
      <c r="AJ30" s="35">
        <f t="shared" si="11"/>
        <v>454708.0475625</v>
      </c>
      <c r="AK30" s="34">
        <f t="shared" si="12"/>
        <v>17744.568366311</v>
      </c>
      <c r="AM30" s="35">
        <f t="shared" si="50"/>
        <v>737290.512</v>
      </c>
      <c r="AN30" s="35">
        <f t="shared" si="13"/>
        <v>106346.590875</v>
      </c>
      <c r="AO30" s="35">
        <f t="shared" si="14"/>
        <v>843637.102875</v>
      </c>
      <c r="AP30" s="34">
        <f t="shared" si="15"/>
        <v>32922.171332945996</v>
      </c>
      <c r="AR30" s="35">
        <f t="shared" si="51"/>
        <v>1355.544</v>
      </c>
      <c r="AS30" s="35">
        <f t="shared" si="16"/>
        <v>195.5233125</v>
      </c>
      <c r="AT30" s="35">
        <f t="shared" si="17"/>
        <v>1551.0673125</v>
      </c>
      <c r="AU30" s="34">
        <f t="shared" si="18"/>
        <v>60.528992427</v>
      </c>
      <c r="AW30" s="35">
        <f t="shared" si="52"/>
        <v>1265.4959999999999</v>
      </c>
      <c r="AX30" s="35">
        <f t="shared" si="19"/>
        <v>182.5348125</v>
      </c>
      <c r="AY30" s="35">
        <f t="shared" si="20"/>
        <v>1448.0308125</v>
      </c>
      <c r="AZ30" s="34">
        <f t="shared" si="21"/>
        <v>56.50808664299999</v>
      </c>
      <c r="BA30" s="35"/>
      <c r="BB30" s="35">
        <f t="shared" si="53"/>
        <v>7357.136</v>
      </c>
      <c r="BC30" s="35">
        <f t="shared" si="22"/>
        <v>1061.191375</v>
      </c>
      <c r="BD30" s="35">
        <f t="shared" si="23"/>
        <v>8418.327375</v>
      </c>
      <c r="BE30" s="34">
        <f t="shared" si="24"/>
        <v>328.517576138</v>
      </c>
      <c r="BF30" s="35"/>
      <c r="BG30" s="35">
        <f t="shared" si="54"/>
        <v>201383.24</v>
      </c>
      <c r="BH30" s="35">
        <f t="shared" si="25"/>
        <v>29047.4659375</v>
      </c>
      <c r="BI30" s="35">
        <f t="shared" si="26"/>
        <v>230430.7059375</v>
      </c>
      <c r="BJ30" s="34">
        <f t="shared" si="27"/>
        <v>8992.348908545</v>
      </c>
      <c r="BK30" s="35"/>
      <c r="BL30" s="35">
        <f t="shared" si="55"/>
        <v>791333.248</v>
      </c>
      <c r="BM30" s="35">
        <f t="shared" si="28"/>
        <v>114141.70100000002</v>
      </c>
      <c r="BN30" s="35">
        <f t="shared" si="29"/>
        <v>905474.949</v>
      </c>
      <c r="BO30" s="34">
        <f t="shared" si="30"/>
        <v>35335.337086384</v>
      </c>
      <c r="BP30" s="35"/>
      <c r="BQ30" s="35">
        <f t="shared" si="56"/>
        <v>989932.504</v>
      </c>
      <c r="BR30" s="35">
        <f t="shared" si="31"/>
        <v>142787.6058125</v>
      </c>
      <c r="BS30" s="35">
        <f t="shared" si="32"/>
        <v>1132720.1098125</v>
      </c>
      <c r="BT30" s="34">
        <f t="shared" si="33"/>
        <v>44203.37299110699</v>
      </c>
      <c r="BU30" s="35"/>
      <c r="BV30" s="35">
        <f t="shared" si="57"/>
        <v>71416.10399999999</v>
      </c>
      <c r="BW30" s="35">
        <f t="shared" si="34"/>
        <v>10301.040187499999</v>
      </c>
      <c r="BX30" s="35">
        <f t="shared" si="35"/>
        <v>81717.14418749999</v>
      </c>
      <c r="BY30" s="34">
        <f t="shared" si="36"/>
        <v>3188.9372961569998</v>
      </c>
      <c r="BZ30" s="35"/>
      <c r="CA30" s="35"/>
      <c r="CB30" s="35"/>
      <c r="CC30" s="35">
        <f t="shared" si="37"/>
        <v>0</v>
      </c>
      <c r="CD30" s="34"/>
      <c r="CE30" s="35"/>
      <c r="CF30" s="35">
        <f t="shared" si="58"/>
        <v>115803.336</v>
      </c>
      <c r="CG30" s="35">
        <f t="shared" si="38"/>
        <v>16703.4429375</v>
      </c>
      <c r="CH30" s="35">
        <f t="shared" si="39"/>
        <v>132506.7789375</v>
      </c>
      <c r="CI30" s="34">
        <f t="shared" si="40"/>
        <v>5170.956640113</v>
      </c>
      <c r="CJ30" s="35"/>
      <c r="CK30" s="35">
        <f t="shared" si="59"/>
        <v>1650266.8159999999</v>
      </c>
      <c r="CL30" s="35">
        <f t="shared" si="41"/>
        <v>238034.0545</v>
      </c>
      <c r="CM30" s="35">
        <f t="shared" si="42"/>
        <v>1888300.8705</v>
      </c>
      <c r="CN30" s="34">
        <f t="shared" si="43"/>
        <v>73689.22558632799</v>
      </c>
      <c r="CP30" s="5">
        <v>413</v>
      </c>
      <c r="CQ30" s="5">
        <v>60</v>
      </c>
      <c r="CR30" s="35">
        <f t="shared" si="44"/>
        <v>473</v>
      </c>
      <c r="CS30" s="34">
        <v>18.429151509999997</v>
      </c>
      <c r="CX30" s="5"/>
      <c r="CY30" s="5"/>
      <c r="CZ30" s="5"/>
      <c r="DA30" s="5"/>
      <c r="DB30" s="5"/>
      <c r="DC30" s="5"/>
      <c r="DD30" s="5"/>
      <c r="DE30" s="5"/>
      <c r="DF30" s="5"/>
      <c r="DG30" s="5"/>
    </row>
    <row r="31" spans="1:111" ht="12.75">
      <c r="A31" s="36">
        <v>11963</v>
      </c>
      <c r="D31" s="3">
        <v>692725</v>
      </c>
      <c r="E31" s="34">
        <f t="shared" si="0"/>
        <v>239339.62999999998</v>
      </c>
      <c r="I31" s="34">
        <f t="shared" si="45"/>
        <v>0</v>
      </c>
      <c r="J31" s="34">
        <f t="shared" si="1"/>
        <v>692725</v>
      </c>
      <c r="K31" s="34">
        <f t="shared" si="2"/>
        <v>692725</v>
      </c>
      <c r="L31" s="34">
        <f t="shared" si="3"/>
        <v>239339.62999999998</v>
      </c>
      <c r="M31" s="35"/>
      <c r="N31" s="3"/>
      <c r="O31" s="35"/>
      <c r="P31" s="35">
        <f t="shared" si="4"/>
        <v>0</v>
      </c>
      <c r="Q31" s="34"/>
      <c r="S31" s="35">
        <f>'20 Yr Academic Project '!H31</f>
        <v>0</v>
      </c>
      <c r="T31" s="35">
        <f>'20 Yr Academic Project '!I31</f>
        <v>50379.256895</v>
      </c>
      <c r="U31" s="35">
        <f t="shared" si="5"/>
        <v>50379.256895</v>
      </c>
      <c r="V31" s="34">
        <f>'20 Yr Academic Project '!K31</f>
        <v>17406.261799305998</v>
      </c>
      <c r="X31" s="35">
        <f t="shared" si="60"/>
        <v>0</v>
      </c>
      <c r="Y31" s="34">
        <f t="shared" si="46"/>
        <v>642345.4032800001</v>
      </c>
      <c r="Z31" s="35">
        <f t="shared" si="6"/>
        <v>642345.4032800001</v>
      </c>
      <c r="AA31" s="34">
        <f t="shared" si="47"/>
        <v>221933.36820069398</v>
      </c>
      <c r="AB31" s="35"/>
      <c r="AC31" s="35"/>
      <c r="AD31" s="35">
        <f t="shared" si="7"/>
        <v>643.8878875</v>
      </c>
      <c r="AE31" s="35">
        <f t="shared" si="8"/>
        <v>643.8878875</v>
      </c>
      <c r="AF31" s="34">
        <f t="shared" si="9"/>
        <v>222.46618608499998</v>
      </c>
      <c r="AH31" s="35"/>
      <c r="AI31" s="35">
        <f t="shared" si="10"/>
        <v>51358.423682500004</v>
      </c>
      <c r="AJ31" s="35">
        <f t="shared" si="11"/>
        <v>51358.423682500004</v>
      </c>
      <c r="AK31" s="34">
        <f t="shared" si="12"/>
        <v>17744.568366311</v>
      </c>
      <c r="AM31" s="35"/>
      <c r="AN31" s="35">
        <f t="shared" si="13"/>
        <v>95287.233195</v>
      </c>
      <c r="AO31" s="35">
        <f t="shared" si="14"/>
        <v>95287.233195</v>
      </c>
      <c r="AP31" s="34">
        <f t="shared" si="15"/>
        <v>32922.171332945996</v>
      </c>
      <c r="AR31" s="35"/>
      <c r="AS31" s="35">
        <f t="shared" si="16"/>
        <v>175.1901525</v>
      </c>
      <c r="AT31" s="35">
        <f t="shared" si="17"/>
        <v>175.1901525</v>
      </c>
      <c r="AU31" s="34">
        <f t="shared" si="18"/>
        <v>60.528992427</v>
      </c>
      <c r="AW31" s="35"/>
      <c r="AX31" s="35">
        <f t="shared" si="19"/>
        <v>163.5523725</v>
      </c>
      <c r="AY31" s="35">
        <f t="shared" si="20"/>
        <v>163.5523725</v>
      </c>
      <c r="AZ31" s="34">
        <f t="shared" si="21"/>
        <v>56.50808664299999</v>
      </c>
      <c r="BA31" s="35"/>
      <c r="BB31" s="35"/>
      <c r="BC31" s="35">
        <f t="shared" si="22"/>
        <v>950.834335</v>
      </c>
      <c r="BD31" s="35">
        <f t="shared" si="23"/>
        <v>950.834335</v>
      </c>
      <c r="BE31" s="34">
        <f t="shared" si="24"/>
        <v>328.517576138</v>
      </c>
      <c r="BF31" s="35"/>
      <c r="BG31" s="35"/>
      <c r="BH31" s="35">
        <f t="shared" si="25"/>
        <v>26026.717337500002</v>
      </c>
      <c r="BI31" s="35">
        <f t="shared" si="26"/>
        <v>26026.717337500002</v>
      </c>
      <c r="BJ31" s="34">
        <f t="shared" si="27"/>
        <v>8992.348908545</v>
      </c>
      <c r="BK31" s="35"/>
      <c r="BL31" s="35"/>
      <c r="BM31" s="35">
        <f t="shared" si="28"/>
        <v>102271.70228000001</v>
      </c>
      <c r="BN31" s="35">
        <f t="shared" si="29"/>
        <v>102271.70228000001</v>
      </c>
      <c r="BO31" s="34">
        <f t="shared" si="30"/>
        <v>35335.337086384</v>
      </c>
      <c r="BP31" s="35"/>
      <c r="BQ31" s="35"/>
      <c r="BR31" s="35">
        <f t="shared" si="31"/>
        <v>127938.61825249999</v>
      </c>
      <c r="BS31" s="35">
        <f t="shared" si="32"/>
        <v>127938.61825249999</v>
      </c>
      <c r="BT31" s="34">
        <f t="shared" si="33"/>
        <v>44203.37299110699</v>
      </c>
      <c r="BU31" s="35"/>
      <c r="BV31" s="35"/>
      <c r="BW31" s="35">
        <f t="shared" si="34"/>
        <v>9229.7986275</v>
      </c>
      <c r="BX31" s="35">
        <f t="shared" si="35"/>
        <v>9229.7986275</v>
      </c>
      <c r="BY31" s="34">
        <f t="shared" si="36"/>
        <v>3188.9372961569998</v>
      </c>
      <c r="BZ31" s="35"/>
      <c r="CA31" s="35"/>
      <c r="CB31" s="35"/>
      <c r="CC31" s="35">
        <f t="shared" si="37"/>
        <v>0</v>
      </c>
      <c r="CD31" s="34"/>
      <c r="CE31" s="35"/>
      <c r="CF31" s="35"/>
      <c r="CG31" s="35">
        <f t="shared" si="38"/>
        <v>14966.3928975</v>
      </c>
      <c r="CH31" s="35">
        <f t="shared" si="39"/>
        <v>14966.3928975</v>
      </c>
      <c r="CI31" s="34">
        <f t="shared" si="40"/>
        <v>5170.956640113</v>
      </c>
      <c r="CJ31" s="35"/>
      <c r="CK31" s="35"/>
      <c r="CL31" s="35">
        <f t="shared" si="41"/>
        <v>213280.05226</v>
      </c>
      <c r="CM31" s="35">
        <f t="shared" si="42"/>
        <v>213280.05226</v>
      </c>
      <c r="CN31" s="34">
        <f t="shared" si="43"/>
        <v>73689.22558632799</v>
      </c>
      <c r="CQ31" s="5">
        <v>53</v>
      </c>
      <c r="CR31" s="35">
        <f t="shared" si="44"/>
        <v>53</v>
      </c>
      <c r="CS31" s="34">
        <v>18.429151509999997</v>
      </c>
      <c r="CX31" s="5"/>
      <c r="CY31" s="5"/>
      <c r="CZ31" s="5"/>
      <c r="DA31" s="5"/>
      <c r="DB31" s="5"/>
      <c r="DC31" s="5"/>
      <c r="DD31" s="5"/>
      <c r="DE31" s="5"/>
      <c r="DF31" s="5"/>
      <c r="DG31" s="5"/>
    </row>
    <row r="32" spans="1:111" ht="12.75">
      <c r="A32" s="36">
        <v>12145</v>
      </c>
      <c r="C32" s="3">
        <v>5520000</v>
      </c>
      <c r="D32" s="3">
        <v>692725</v>
      </c>
      <c r="E32" s="34">
        <f t="shared" si="0"/>
        <v>239339.62999999998</v>
      </c>
      <c r="I32" s="34">
        <f t="shared" si="45"/>
        <v>5520000</v>
      </c>
      <c r="J32" s="34">
        <f t="shared" si="1"/>
        <v>692725</v>
      </c>
      <c r="K32" s="34">
        <f t="shared" si="2"/>
        <v>6212725</v>
      </c>
      <c r="L32" s="34">
        <f t="shared" si="3"/>
        <v>239339.62999999998</v>
      </c>
      <c r="M32" s="35"/>
      <c r="N32" s="3"/>
      <c r="O32" s="35"/>
      <c r="P32" s="35">
        <f t="shared" si="4"/>
        <v>0</v>
      </c>
      <c r="Q32" s="34"/>
      <c r="S32" s="35">
        <f>'20 Yr Academic Project '!H32</f>
        <v>401448.62399999995</v>
      </c>
      <c r="T32" s="35">
        <f>'20 Yr Academic Project '!I32</f>
        <v>50379.256895</v>
      </c>
      <c r="U32" s="35">
        <f t="shared" si="5"/>
        <v>451827.88089499995</v>
      </c>
      <c r="V32" s="34">
        <f>'20 Yr Academic Project '!K32</f>
        <v>17406.261799305998</v>
      </c>
      <c r="X32" s="35">
        <f t="shared" si="60"/>
        <v>5118551.335999999</v>
      </c>
      <c r="Y32" s="34">
        <f t="shared" si="46"/>
        <v>642345.4032800001</v>
      </c>
      <c r="Z32" s="35">
        <f t="shared" si="6"/>
        <v>5760896.739279999</v>
      </c>
      <c r="AA32" s="34">
        <f t="shared" si="47"/>
        <v>221933.36820069398</v>
      </c>
      <c r="AB32" s="35"/>
      <c r="AC32" s="35">
        <f t="shared" si="48"/>
        <v>5130.84</v>
      </c>
      <c r="AD32" s="35">
        <f t="shared" si="7"/>
        <v>643.8878875</v>
      </c>
      <c r="AE32" s="35">
        <f t="shared" si="8"/>
        <v>5774.7278875</v>
      </c>
      <c r="AF32" s="34">
        <f t="shared" si="9"/>
        <v>222.46618608499998</v>
      </c>
      <c r="AH32" s="35">
        <f t="shared" si="49"/>
        <v>409251.14400000003</v>
      </c>
      <c r="AI32" s="35">
        <f t="shared" si="10"/>
        <v>51358.423682500004</v>
      </c>
      <c r="AJ32" s="35">
        <f t="shared" si="11"/>
        <v>460609.56768250006</v>
      </c>
      <c r="AK32" s="34">
        <f t="shared" si="12"/>
        <v>17744.568366311</v>
      </c>
      <c r="AM32" s="35">
        <f t="shared" si="50"/>
        <v>759299.1839999999</v>
      </c>
      <c r="AN32" s="35">
        <f t="shared" si="13"/>
        <v>95287.233195</v>
      </c>
      <c r="AO32" s="35">
        <f t="shared" si="14"/>
        <v>854586.4171949999</v>
      </c>
      <c r="AP32" s="34">
        <f t="shared" si="15"/>
        <v>32922.171332945996</v>
      </c>
      <c r="AR32" s="35">
        <f t="shared" si="51"/>
        <v>1396.008</v>
      </c>
      <c r="AS32" s="35">
        <f t="shared" si="16"/>
        <v>175.1901525</v>
      </c>
      <c r="AT32" s="35">
        <f t="shared" si="17"/>
        <v>1571.1981525</v>
      </c>
      <c r="AU32" s="34">
        <f t="shared" si="18"/>
        <v>60.528992427</v>
      </c>
      <c r="AW32" s="35">
        <f t="shared" si="52"/>
        <v>1303.272</v>
      </c>
      <c r="AX32" s="35">
        <f t="shared" si="19"/>
        <v>163.5523725</v>
      </c>
      <c r="AY32" s="35">
        <f t="shared" si="20"/>
        <v>1466.8243725</v>
      </c>
      <c r="AZ32" s="34">
        <f t="shared" si="21"/>
        <v>56.50808664299999</v>
      </c>
      <c r="BA32" s="35"/>
      <c r="BB32" s="35">
        <f t="shared" si="53"/>
        <v>7576.752</v>
      </c>
      <c r="BC32" s="35">
        <f t="shared" si="22"/>
        <v>950.834335</v>
      </c>
      <c r="BD32" s="35">
        <f t="shared" si="23"/>
        <v>8527.586335</v>
      </c>
      <c r="BE32" s="34">
        <f t="shared" si="24"/>
        <v>328.517576138</v>
      </c>
      <c r="BF32" s="35"/>
      <c r="BG32" s="35">
        <f t="shared" si="54"/>
        <v>207394.68</v>
      </c>
      <c r="BH32" s="35">
        <f t="shared" si="25"/>
        <v>26026.717337500002</v>
      </c>
      <c r="BI32" s="35">
        <f t="shared" si="26"/>
        <v>233421.3973375</v>
      </c>
      <c r="BJ32" s="34">
        <f t="shared" si="27"/>
        <v>8992.348908545</v>
      </c>
      <c r="BK32" s="35"/>
      <c r="BL32" s="35">
        <f t="shared" si="55"/>
        <v>814955.136</v>
      </c>
      <c r="BM32" s="35">
        <f t="shared" si="28"/>
        <v>102271.70228000001</v>
      </c>
      <c r="BN32" s="35">
        <f t="shared" si="29"/>
        <v>917226.83828</v>
      </c>
      <c r="BO32" s="34">
        <f t="shared" si="30"/>
        <v>35335.337086384</v>
      </c>
      <c r="BP32" s="35"/>
      <c r="BQ32" s="35">
        <f t="shared" si="56"/>
        <v>1019482.7279999999</v>
      </c>
      <c r="BR32" s="35">
        <f t="shared" si="31"/>
        <v>127938.61825249999</v>
      </c>
      <c r="BS32" s="35">
        <f t="shared" si="32"/>
        <v>1147421.3462524998</v>
      </c>
      <c r="BT32" s="34">
        <f t="shared" si="33"/>
        <v>44203.37299110699</v>
      </c>
      <c r="BU32" s="35"/>
      <c r="BV32" s="35">
        <f t="shared" si="57"/>
        <v>73547.928</v>
      </c>
      <c r="BW32" s="35">
        <f t="shared" si="34"/>
        <v>9229.7986275</v>
      </c>
      <c r="BX32" s="35">
        <f t="shared" si="35"/>
        <v>82777.7266275</v>
      </c>
      <c r="BY32" s="34">
        <f t="shared" si="36"/>
        <v>3188.9372961569998</v>
      </c>
      <c r="BZ32" s="35"/>
      <c r="CA32" s="35"/>
      <c r="CB32" s="35"/>
      <c r="CC32" s="35">
        <f t="shared" si="37"/>
        <v>0</v>
      </c>
      <c r="CD32" s="34"/>
      <c r="CE32" s="35"/>
      <c r="CF32" s="35">
        <f t="shared" si="58"/>
        <v>119260.15199999999</v>
      </c>
      <c r="CG32" s="35">
        <f t="shared" si="38"/>
        <v>14966.3928975</v>
      </c>
      <c r="CH32" s="35">
        <f t="shared" si="39"/>
        <v>134226.5448975</v>
      </c>
      <c r="CI32" s="34">
        <f t="shared" si="40"/>
        <v>5170.956640113</v>
      </c>
      <c r="CJ32" s="35"/>
      <c r="CK32" s="35">
        <f t="shared" si="59"/>
        <v>1699528.5119999999</v>
      </c>
      <c r="CL32" s="35">
        <f t="shared" si="41"/>
        <v>213280.05226</v>
      </c>
      <c r="CM32" s="35">
        <f t="shared" si="42"/>
        <v>1912808.56426</v>
      </c>
      <c r="CN32" s="34">
        <f t="shared" si="43"/>
        <v>73689.22558632799</v>
      </c>
      <c r="CP32" s="5">
        <v>425</v>
      </c>
      <c r="CQ32" s="5">
        <v>53</v>
      </c>
      <c r="CR32" s="35">
        <f t="shared" si="44"/>
        <v>478</v>
      </c>
      <c r="CS32" s="34">
        <v>18.429151509999997</v>
      </c>
      <c r="CX32" s="5"/>
      <c r="CY32" s="5"/>
      <c r="CZ32" s="5"/>
      <c r="DA32" s="5"/>
      <c r="DB32" s="5"/>
      <c r="DC32" s="5"/>
      <c r="DD32" s="5"/>
      <c r="DE32" s="5"/>
      <c r="DF32" s="5"/>
      <c r="DG32" s="5"/>
    </row>
    <row r="33" spans="1:111" ht="12.75">
      <c r="A33" s="36">
        <v>12328</v>
      </c>
      <c r="D33" s="3">
        <v>606475</v>
      </c>
      <c r="E33" s="34">
        <f t="shared" si="0"/>
        <v>239339.62999999998</v>
      </c>
      <c r="I33" s="34">
        <f t="shared" si="45"/>
        <v>0</v>
      </c>
      <c r="J33" s="34">
        <f t="shared" si="1"/>
        <v>606475</v>
      </c>
      <c r="K33" s="34">
        <f t="shared" si="2"/>
        <v>606475</v>
      </c>
      <c r="L33" s="34">
        <f t="shared" si="3"/>
        <v>239339.62999999998</v>
      </c>
      <c r="M33" s="35"/>
      <c r="N33" s="3"/>
      <c r="O33" s="35"/>
      <c r="P33" s="35">
        <f t="shared" si="4"/>
        <v>0</v>
      </c>
      <c r="Q33" s="34"/>
      <c r="S33" s="35">
        <f>'20 Yr Academic Project '!H33</f>
        <v>0</v>
      </c>
      <c r="T33" s="35">
        <f>'20 Yr Academic Project '!I33</f>
        <v>44106.622145</v>
      </c>
      <c r="U33" s="35">
        <f t="shared" si="5"/>
        <v>44106.622145</v>
      </c>
      <c r="V33" s="34">
        <f>'20 Yr Academic Project '!K33</f>
        <v>17406.261799305998</v>
      </c>
      <c r="X33" s="35">
        <f t="shared" si="60"/>
        <v>0</v>
      </c>
      <c r="Y33" s="34">
        <f t="shared" si="46"/>
        <v>562368.67928</v>
      </c>
      <c r="Z33" s="35">
        <f t="shared" si="6"/>
        <v>562368.67928</v>
      </c>
      <c r="AA33" s="34">
        <f t="shared" si="47"/>
        <v>221933.36820069398</v>
      </c>
      <c r="AB33" s="35"/>
      <c r="AC33" s="35"/>
      <c r="AD33" s="35">
        <f t="shared" si="7"/>
        <v>563.7185125</v>
      </c>
      <c r="AE33" s="35">
        <f t="shared" si="8"/>
        <v>563.7185125</v>
      </c>
      <c r="AF33" s="34">
        <f t="shared" si="9"/>
        <v>222.46618608499998</v>
      </c>
      <c r="AH33" s="35"/>
      <c r="AI33" s="35">
        <f t="shared" si="10"/>
        <v>44963.8745575</v>
      </c>
      <c r="AJ33" s="35">
        <f t="shared" si="11"/>
        <v>44963.8745575</v>
      </c>
      <c r="AK33" s="34">
        <f t="shared" si="12"/>
        <v>17744.568366311</v>
      </c>
      <c r="AM33" s="35"/>
      <c r="AN33" s="35">
        <f t="shared" si="13"/>
        <v>83423.18344499999</v>
      </c>
      <c r="AO33" s="35">
        <f t="shared" si="14"/>
        <v>83423.18344499999</v>
      </c>
      <c r="AP33" s="34">
        <f t="shared" si="15"/>
        <v>32922.171332945996</v>
      </c>
      <c r="AR33" s="35"/>
      <c r="AS33" s="35">
        <f t="shared" si="16"/>
        <v>153.3775275</v>
      </c>
      <c r="AT33" s="35">
        <f t="shared" si="17"/>
        <v>153.3775275</v>
      </c>
      <c r="AU33" s="34">
        <f t="shared" si="18"/>
        <v>60.528992427</v>
      </c>
      <c r="AW33" s="35"/>
      <c r="AX33" s="35">
        <f t="shared" si="19"/>
        <v>143.1887475</v>
      </c>
      <c r="AY33" s="35">
        <f t="shared" si="20"/>
        <v>143.1887475</v>
      </c>
      <c r="AZ33" s="34">
        <f t="shared" si="21"/>
        <v>56.50808664299999</v>
      </c>
      <c r="BA33" s="35"/>
      <c r="BB33" s="35"/>
      <c r="BC33" s="35">
        <f t="shared" si="22"/>
        <v>832.447585</v>
      </c>
      <c r="BD33" s="35">
        <f t="shared" si="23"/>
        <v>832.447585</v>
      </c>
      <c r="BE33" s="34">
        <f t="shared" si="24"/>
        <v>328.517576138</v>
      </c>
      <c r="BF33" s="35"/>
      <c r="BG33" s="35"/>
      <c r="BH33" s="35">
        <f t="shared" si="25"/>
        <v>22786.1754625</v>
      </c>
      <c r="BI33" s="35">
        <f t="shared" si="26"/>
        <v>22786.1754625</v>
      </c>
      <c r="BJ33" s="34">
        <f t="shared" si="27"/>
        <v>8992.348908545</v>
      </c>
      <c r="BK33" s="35"/>
      <c r="BL33" s="35"/>
      <c r="BM33" s="35">
        <f t="shared" si="28"/>
        <v>89538.02828000001</v>
      </c>
      <c r="BN33" s="35">
        <f t="shared" si="29"/>
        <v>89538.02828000001</v>
      </c>
      <c r="BO33" s="34">
        <f t="shared" si="30"/>
        <v>35335.337086384</v>
      </c>
      <c r="BP33" s="35"/>
      <c r="BQ33" s="35"/>
      <c r="BR33" s="35">
        <f t="shared" si="31"/>
        <v>112009.20062749999</v>
      </c>
      <c r="BS33" s="35">
        <f t="shared" si="32"/>
        <v>112009.20062749999</v>
      </c>
      <c r="BT33" s="34">
        <f t="shared" si="33"/>
        <v>44203.37299110699</v>
      </c>
      <c r="BU33" s="35"/>
      <c r="BV33" s="35"/>
      <c r="BW33" s="35">
        <f t="shared" si="34"/>
        <v>8080.6122525</v>
      </c>
      <c r="BX33" s="35">
        <f t="shared" si="35"/>
        <v>8080.6122525</v>
      </c>
      <c r="BY33" s="34">
        <f t="shared" si="36"/>
        <v>3188.9372961569998</v>
      </c>
      <c r="BZ33" s="35"/>
      <c r="CA33" s="35"/>
      <c r="CB33" s="35"/>
      <c r="CC33" s="35">
        <f t="shared" si="37"/>
        <v>0</v>
      </c>
      <c r="CD33" s="34"/>
      <c r="CE33" s="35"/>
      <c r="CF33" s="35"/>
      <c r="CG33" s="35">
        <f t="shared" si="38"/>
        <v>13102.9530225</v>
      </c>
      <c r="CH33" s="35">
        <f t="shared" si="39"/>
        <v>13102.9530225</v>
      </c>
      <c r="CI33" s="34">
        <f t="shared" si="40"/>
        <v>5170.956640113</v>
      </c>
      <c r="CJ33" s="35"/>
      <c r="CK33" s="35"/>
      <c r="CL33" s="35">
        <f t="shared" si="41"/>
        <v>186724.91926</v>
      </c>
      <c r="CM33" s="35">
        <f t="shared" si="42"/>
        <v>186724.91926</v>
      </c>
      <c r="CN33" s="34">
        <f t="shared" si="43"/>
        <v>73689.22558632799</v>
      </c>
      <c r="CQ33" s="5">
        <v>47</v>
      </c>
      <c r="CR33" s="35">
        <f t="shared" si="44"/>
        <v>47</v>
      </c>
      <c r="CS33" s="34">
        <v>18.429151509999997</v>
      </c>
      <c r="CX33" s="5"/>
      <c r="CY33" s="5"/>
      <c r="CZ33" s="5"/>
      <c r="DA33" s="5"/>
      <c r="DB33" s="5"/>
      <c r="DC33" s="5"/>
      <c r="DD33" s="5"/>
      <c r="DE33" s="5"/>
      <c r="DF33" s="5"/>
      <c r="DG33" s="5"/>
    </row>
    <row r="34" spans="1:111" ht="12.75">
      <c r="A34" s="36">
        <v>12510</v>
      </c>
      <c r="C34" s="3">
        <v>5695000</v>
      </c>
      <c r="D34" s="3">
        <v>606475</v>
      </c>
      <c r="E34" s="34">
        <f t="shared" si="0"/>
        <v>239339.62999999998</v>
      </c>
      <c r="I34" s="34">
        <f t="shared" si="45"/>
        <v>5695000</v>
      </c>
      <c r="J34" s="34">
        <f t="shared" si="1"/>
        <v>606475</v>
      </c>
      <c r="K34" s="34">
        <f t="shared" si="2"/>
        <v>6301475</v>
      </c>
      <c r="L34" s="34">
        <f t="shared" si="3"/>
        <v>239339.62999999998</v>
      </c>
      <c r="M34" s="35"/>
      <c r="N34" s="3"/>
      <c r="O34" s="35"/>
      <c r="P34" s="35">
        <f t="shared" si="4"/>
        <v>0</v>
      </c>
      <c r="Q34" s="34"/>
      <c r="S34" s="35">
        <f>'20 Yr Academic Project '!H34</f>
        <v>414175.70900000003</v>
      </c>
      <c r="T34" s="35">
        <f>'20 Yr Academic Project '!I34</f>
        <v>44106.622145</v>
      </c>
      <c r="U34" s="35">
        <f t="shared" si="5"/>
        <v>458282.33114500006</v>
      </c>
      <c r="V34" s="34">
        <f>'20 Yr Academic Project '!K34</f>
        <v>17406.261799305998</v>
      </c>
      <c r="X34" s="35">
        <f t="shared" si="60"/>
        <v>5280824.776</v>
      </c>
      <c r="Y34" s="34">
        <f t="shared" si="46"/>
        <v>562368.67928</v>
      </c>
      <c r="Z34" s="35">
        <f t="shared" si="6"/>
        <v>5843193.455279999</v>
      </c>
      <c r="AA34" s="34">
        <f t="shared" si="47"/>
        <v>221933.36820069398</v>
      </c>
      <c r="AB34" s="35"/>
      <c r="AC34" s="35">
        <f t="shared" si="48"/>
        <v>5293.5025</v>
      </c>
      <c r="AD34" s="35">
        <f t="shared" si="7"/>
        <v>563.7185125</v>
      </c>
      <c r="AE34" s="35">
        <f t="shared" si="8"/>
        <v>5857.221012499999</v>
      </c>
      <c r="AF34" s="34">
        <f t="shared" si="9"/>
        <v>222.46618608499998</v>
      </c>
      <c r="AH34" s="35">
        <f t="shared" si="49"/>
        <v>422225.59150000004</v>
      </c>
      <c r="AI34" s="35">
        <f t="shared" si="10"/>
        <v>44963.8745575</v>
      </c>
      <c r="AJ34" s="35">
        <f t="shared" si="11"/>
        <v>467189.46605750005</v>
      </c>
      <c r="AK34" s="34">
        <f t="shared" si="12"/>
        <v>17744.568366311</v>
      </c>
      <c r="AM34" s="35">
        <f t="shared" si="50"/>
        <v>783371.1689999999</v>
      </c>
      <c r="AN34" s="35">
        <f t="shared" si="13"/>
        <v>83423.18344499999</v>
      </c>
      <c r="AO34" s="35">
        <f t="shared" si="14"/>
        <v>866794.3524449999</v>
      </c>
      <c r="AP34" s="34">
        <f t="shared" si="15"/>
        <v>32922.171332945996</v>
      </c>
      <c r="AR34" s="35">
        <f t="shared" si="51"/>
        <v>1440.2655000000002</v>
      </c>
      <c r="AS34" s="35">
        <f t="shared" si="16"/>
        <v>153.3775275</v>
      </c>
      <c r="AT34" s="35">
        <f t="shared" si="17"/>
        <v>1593.6430275000002</v>
      </c>
      <c r="AU34" s="34">
        <f t="shared" si="18"/>
        <v>60.528992427</v>
      </c>
      <c r="AW34" s="35">
        <f t="shared" si="52"/>
        <v>1344.5895</v>
      </c>
      <c r="AX34" s="35">
        <f t="shared" si="19"/>
        <v>143.1887475</v>
      </c>
      <c r="AY34" s="35">
        <f t="shared" si="20"/>
        <v>1487.7782475000001</v>
      </c>
      <c r="AZ34" s="34">
        <f t="shared" si="21"/>
        <v>56.50808664299999</v>
      </c>
      <c r="BA34" s="35"/>
      <c r="BB34" s="35">
        <f t="shared" si="53"/>
        <v>7816.957</v>
      </c>
      <c r="BC34" s="35">
        <f t="shared" si="22"/>
        <v>832.447585</v>
      </c>
      <c r="BD34" s="35">
        <f t="shared" si="23"/>
        <v>8649.404585</v>
      </c>
      <c r="BE34" s="34">
        <f t="shared" si="24"/>
        <v>328.517576138</v>
      </c>
      <c r="BF34" s="35"/>
      <c r="BG34" s="35">
        <f t="shared" si="54"/>
        <v>213969.6925</v>
      </c>
      <c r="BH34" s="35">
        <f t="shared" si="25"/>
        <v>22786.1754625</v>
      </c>
      <c r="BI34" s="35">
        <f t="shared" si="26"/>
        <v>236755.8679625</v>
      </c>
      <c r="BJ34" s="34">
        <f t="shared" si="27"/>
        <v>8992.348908545</v>
      </c>
      <c r="BK34" s="35"/>
      <c r="BL34" s="35">
        <f t="shared" si="55"/>
        <v>840791.5760000001</v>
      </c>
      <c r="BM34" s="35">
        <f t="shared" si="28"/>
        <v>89538.02828000001</v>
      </c>
      <c r="BN34" s="35">
        <f t="shared" si="29"/>
        <v>930329.6042800001</v>
      </c>
      <c r="BO34" s="34">
        <f t="shared" si="30"/>
        <v>35335.337086384</v>
      </c>
      <c r="BP34" s="35"/>
      <c r="BQ34" s="35">
        <f t="shared" si="56"/>
        <v>1051803.2855</v>
      </c>
      <c r="BR34" s="35">
        <f t="shared" si="31"/>
        <v>112009.20062749999</v>
      </c>
      <c r="BS34" s="35">
        <f t="shared" si="32"/>
        <v>1163812.4861275</v>
      </c>
      <c r="BT34" s="34">
        <f t="shared" si="33"/>
        <v>44203.37299110699</v>
      </c>
      <c r="BU34" s="35"/>
      <c r="BV34" s="35">
        <f t="shared" si="57"/>
        <v>75879.6105</v>
      </c>
      <c r="BW34" s="35">
        <f t="shared" si="34"/>
        <v>8080.6122525</v>
      </c>
      <c r="BX34" s="35">
        <f t="shared" si="35"/>
        <v>83960.22275249999</v>
      </c>
      <c r="BY34" s="34">
        <f t="shared" si="36"/>
        <v>3188.9372961569998</v>
      </c>
      <c r="BZ34" s="35"/>
      <c r="CA34" s="35"/>
      <c r="CB34" s="35"/>
      <c r="CC34" s="35">
        <f t="shared" si="37"/>
        <v>0</v>
      </c>
      <c r="CD34" s="34"/>
      <c r="CE34" s="35"/>
      <c r="CF34" s="35">
        <f t="shared" si="58"/>
        <v>123041.04449999999</v>
      </c>
      <c r="CG34" s="35">
        <f t="shared" si="38"/>
        <v>13102.9530225</v>
      </c>
      <c r="CH34" s="35">
        <f t="shared" si="39"/>
        <v>136143.9975225</v>
      </c>
      <c r="CI34" s="34">
        <f t="shared" si="40"/>
        <v>5170.956640113</v>
      </c>
      <c r="CJ34" s="35"/>
      <c r="CK34" s="35">
        <f t="shared" si="59"/>
        <v>1753408.4919999999</v>
      </c>
      <c r="CL34" s="35">
        <f t="shared" si="41"/>
        <v>186724.91926</v>
      </c>
      <c r="CM34" s="35">
        <f t="shared" si="42"/>
        <v>1940133.41126</v>
      </c>
      <c r="CN34" s="34">
        <f t="shared" si="43"/>
        <v>73689.22558632799</v>
      </c>
      <c r="CP34" s="5">
        <v>439</v>
      </c>
      <c r="CQ34" s="5">
        <v>47</v>
      </c>
      <c r="CR34" s="35">
        <f t="shared" si="44"/>
        <v>486</v>
      </c>
      <c r="CS34" s="34">
        <v>18.429151509999997</v>
      </c>
      <c r="CX34" s="5"/>
      <c r="CY34" s="5"/>
      <c r="CZ34" s="5"/>
      <c r="DA34" s="5"/>
      <c r="DB34" s="5"/>
      <c r="DC34" s="5"/>
      <c r="DD34" s="5"/>
      <c r="DE34" s="5"/>
      <c r="DF34" s="5"/>
      <c r="DG34" s="5"/>
    </row>
    <row r="35" spans="1:111" ht="12.75">
      <c r="A35" s="36">
        <v>12693</v>
      </c>
      <c r="D35" s="3">
        <v>517491</v>
      </c>
      <c r="E35" s="34">
        <f t="shared" si="0"/>
        <v>239339.62999999998</v>
      </c>
      <c r="I35" s="34">
        <f t="shared" si="45"/>
        <v>0</v>
      </c>
      <c r="J35" s="34">
        <f t="shared" si="1"/>
        <v>517491</v>
      </c>
      <c r="K35" s="34">
        <f t="shared" si="2"/>
        <v>517491</v>
      </c>
      <c r="L35" s="34">
        <f t="shared" si="3"/>
        <v>239339.62999999998</v>
      </c>
      <c r="M35" s="35"/>
      <c r="N35" s="3"/>
      <c r="O35" s="35"/>
      <c r="P35" s="35">
        <f t="shared" si="4"/>
        <v>0</v>
      </c>
      <c r="Q35" s="34"/>
      <c r="S35" s="35">
        <f>'20 Yr Academic Project '!H35</f>
        <v>0</v>
      </c>
      <c r="T35" s="35">
        <f>'20 Yr Academic Project '!I35</f>
        <v>37635.1539642</v>
      </c>
      <c r="U35" s="35">
        <f t="shared" si="5"/>
        <v>37635.1539642</v>
      </c>
      <c r="V35" s="34">
        <f>'20 Yr Academic Project '!K35</f>
        <v>17406.261799305998</v>
      </c>
      <c r="X35" s="35">
        <f t="shared" si="60"/>
        <v>0</v>
      </c>
      <c r="Y35" s="34">
        <f t="shared" si="46"/>
        <v>479855.99922879995</v>
      </c>
      <c r="Z35" s="35">
        <f t="shared" si="6"/>
        <v>479855.99922879995</v>
      </c>
      <c r="AA35" s="34">
        <f t="shared" si="47"/>
        <v>221933.36820069398</v>
      </c>
      <c r="AB35" s="35"/>
      <c r="AC35" s="35"/>
      <c r="AD35" s="35">
        <f t="shared" si="7"/>
        <v>481.0078845</v>
      </c>
      <c r="AE35" s="35">
        <f t="shared" si="8"/>
        <v>481.0078845</v>
      </c>
      <c r="AF35" s="34">
        <f t="shared" si="9"/>
        <v>222.46618608499998</v>
      </c>
      <c r="AH35" s="35"/>
      <c r="AI35" s="35">
        <f t="shared" si="10"/>
        <v>38366.627492700005</v>
      </c>
      <c r="AJ35" s="35">
        <f t="shared" si="11"/>
        <v>38366.627492700005</v>
      </c>
      <c r="AK35" s="34">
        <f t="shared" si="12"/>
        <v>17744.568366311</v>
      </c>
      <c r="AM35" s="35"/>
      <c r="AN35" s="35">
        <f t="shared" si="13"/>
        <v>71183.0605122</v>
      </c>
      <c r="AO35" s="35">
        <f t="shared" si="14"/>
        <v>71183.0605122</v>
      </c>
      <c r="AP35" s="34">
        <f t="shared" si="15"/>
        <v>32922.171332945996</v>
      </c>
      <c r="AR35" s="35"/>
      <c r="AS35" s="35">
        <f t="shared" si="16"/>
        <v>130.87347390000002</v>
      </c>
      <c r="AT35" s="35">
        <f t="shared" si="17"/>
        <v>130.87347390000002</v>
      </c>
      <c r="AU35" s="34">
        <f t="shared" si="18"/>
        <v>60.528992427</v>
      </c>
      <c r="AW35" s="35"/>
      <c r="AX35" s="35">
        <f t="shared" si="19"/>
        <v>122.1796251</v>
      </c>
      <c r="AY35" s="35">
        <f t="shared" si="20"/>
        <v>122.1796251</v>
      </c>
      <c r="AZ35" s="34">
        <f t="shared" si="21"/>
        <v>56.50808664299999</v>
      </c>
      <c r="BA35" s="35"/>
      <c r="BB35" s="35"/>
      <c r="BC35" s="35">
        <f t="shared" si="22"/>
        <v>710.3081466</v>
      </c>
      <c r="BD35" s="35">
        <f t="shared" si="23"/>
        <v>710.3081466</v>
      </c>
      <c r="BE35" s="34">
        <f t="shared" si="24"/>
        <v>328.517576138</v>
      </c>
      <c r="BF35" s="35"/>
      <c r="BG35" s="35"/>
      <c r="BH35" s="35">
        <f t="shared" si="25"/>
        <v>19442.9131065</v>
      </c>
      <c r="BI35" s="35">
        <f t="shared" si="26"/>
        <v>19442.9131065</v>
      </c>
      <c r="BJ35" s="34">
        <f t="shared" si="27"/>
        <v>8992.348908545</v>
      </c>
      <c r="BK35" s="35"/>
      <c r="BL35" s="35"/>
      <c r="BM35" s="35">
        <f t="shared" si="28"/>
        <v>76400.7152688</v>
      </c>
      <c r="BN35" s="35">
        <f t="shared" si="29"/>
        <v>76400.7152688</v>
      </c>
      <c r="BO35" s="34">
        <f t="shared" si="30"/>
        <v>35335.337086384</v>
      </c>
      <c r="BP35" s="35"/>
      <c r="BQ35" s="35"/>
      <c r="BR35" s="35">
        <f t="shared" si="31"/>
        <v>95574.84354989999</v>
      </c>
      <c r="BS35" s="35">
        <f t="shared" si="32"/>
        <v>95574.84354989999</v>
      </c>
      <c r="BT35" s="34">
        <f t="shared" si="33"/>
        <v>44203.37299110699</v>
      </c>
      <c r="BU35" s="35"/>
      <c r="BV35" s="35"/>
      <c r="BW35" s="35">
        <f t="shared" si="34"/>
        <v>6894.9983348999995</v>
      </c>
      <c r="BX35" s="35">
        <f t="shared" si="35"/>
        <v>6894.9983348999995</v>
      </c>
      <c r="BY35" s="34">
        <f t="shared" si="36"/>
        <v>3188.9372961569998</v>
      </c>
      <c r="BZ35" s="35"/>
      <c r="CA35" s="35"/>
      <c r="CB35" s="35"/>
      <c r="CC35" s="35">
        <f t="shared" si="37"/>
        <v>0</v>
      </c>
      <c r="CD35" s="34"/>
      <c r="CE35" s="35"/>
      <c r="CF35" s="35"/>
      <c r="CG35" s="35">
        <f t="shared" si="38"/>
        <v>11180.4448041</v>
      </c>
      <c r="CH35" s="35">
        <f t="shared" si="39"/>
        <v>11180.4448041</v>
      </c>
      <c r="CI35" s="34">
        <f t="shared" si="40"/>
        <v>5170.956640113</v>
      </c>
      <c r="CJ35" s="35"/>
      <c r="CK35" s="35"/>
      <c r="CL35" s="35">
        <f t="shared" si="41"/>
        <v>159328.0270296</v>
      </c>
      <c r="CM35" s="35">
        <f t="shared" si="42"/>
        <v>159328.0270296</v>
      </c>
      <c r="CN35" s="34">
        <f t="shared" si="43"/>
        <v>73689.22558632799</v>
      </c>
      <c r="CQ35" s="5">
        <v>40</v>
      </c>
      <c r="CR35" s="35">
        <f t="shared" si="44"/>
        <v>40</v>
      </c>
      <c r="CS35" s="34">
        <v>18.429151509999997</v>
      </c>
      <c r="CX35" s="5"/>
      <c r="CY35" s="5"/>
      <c r="CZ35" s="5"/>
      <c r="DA35" s="5"/>
      <c r="DB35" s="5"/>
      <c r="DC35" s="5"/>
      <c r="DD35" s="5"/>
      <c r="DE35" s="5"/>
      <c r="DF35" s="5"/>
      <c r="DG35" s="5"/>
    </row>
    <row r="36" spans="1:111" ht="12.75">
      <c r="A36" s="36">
        <v>12875</v>
      </c>
      <c r="C36" s="3">
        <v>5870000</v>
      </c>
      <c r="D36" s="3">
        <v>517491</v>
      </c>
      <c r="E36" s="34">
        <f t="shared" si="0"/>
        <v>239339.62999999998</v>
      </c>
      <c r="I36" s="34">
        <f t="shared" si="45"/>
        <v>5870000</v>
      </c>
      <c r="J36" s="34">
        <f t="shared" si="1"/>
        <v>517491</v>
      </c>
      <c r="K36" s="34">
        <f t="shared" si="2"/>
        <v>6387491</v>
      </c>
      <c r="L36" s="34">
        <f t="shared" si="3"/>
        <v>239339.62999999998</v>
      </c>
      <c r="M36" s="35"/>
      <c r="N36" s="3"/>
      <c r="O36" s="35"/>
      <c r="P36" s="35">
        <f t="shared" si="4"/>
        <v>0</v>
      </c>
      <c r="Q36" s="34"/>
      <c r="S36" s="35">
        <f>'20 Yr Academic Project '!H36</f>
        <v>426902.794</v>
      </c>
      <c r="T36" s="35">
        <f>'20 Yr Academic Project '!I36</f>
        <v>37635.1539642</v>
      </c>
      <c r="U36" s="35">
        <f t="shared" si="5"/>
        <v>464537.9479642</v>
      </c>
      <c r="V36" s="34">
        <f>'20 Yr Academic Project '!K36</f>
        <v>17406.261799305998</v>
      </c>
      <c r="X36" s="35">
        <f t="shared" si="60"/>
        <v>5443097.216</v>
      </c>
      <c r="Y36" s="34">
        <f t="shared" si="46"/>
        <v>479855.99922879995</v>
      </c>
      <c r="Z36" s="35">
        <f t="shared" si="6"/>
        <v>5922953.2152288</v>
      </c>
      <c r="AA36" s="34">
        <f t="shared" si="47"/>
        <v>221933.36820069398</v>
      </c>
      <c r="AB36" s="35"/>
      <c r="AC36" s="35">
        <f t="shared" si="48"/>
        <v>5456.165</v>
      </c>
      <c r="AD36" s="35">
        <f t="shared" si="7"/>
        <v>481.0078845</v>
      </c>
      <c r="AE36" s="35">
        <f t="shared" si="8"/>
        <v>5937.1728845</v>
      </c>
      <c r="AF36" s="34">
        <f t="shared" si="9"/>
        <v>222.46618608499998</v>
      </c>
      <c r="AH36" s="35">
        <f t="shared" si="49"/>
        <v>435200.039</v>
      </c>
      <c r="AI36" s="35">
        <f t="shared" si="10"/>
        <v>38366.627492700005</v>
      </c>
      <c r="AJ36" s="35">
        <f t="shared" si="11"/>
        <v>473566.6664927</v>
      </c>
      <c r="AK36" s="34">
        <f t="shared" si="12"/>
        <v>17744.568366311</v>
      </c>
      <c r="AM36" s="35">
        <f t="shared" si="50"/>
        <v>807443.154</v>
      </c>
      <c r="AN36" s="35">
        <f t="shared" si="13"/>
        <v>71183.0605122</v>
      </c>
      <c r="AO36" s="35">
        <f t="shared" si="14"/>
        <v>878626.2145122</v>
      </c>
      <c r="AP36" s="34">
        <f t="shared" si="15"/>
        <v>32922.171332945996</v>
      </c>
      <c r="AR36" s="35">
        <f t="shared" si="51"/>
        <v>1484.5230000000001</v>
      </c>
      <c r="AS36" s="35">
        <f t="shared" si="16"/>
        <v>130.87347390000002</v>
      </c>
      <c r="AT36" s="35">
        <f t="shared" si="17"/>
        <v>1615.3964739000003</v>
      </c>
      <c r="AU36" s="34">
        <f t="shared" si="18"/>
        <v>60.528992427</v>
      </c>
      <c r="AW36" s="35">
        <f t="shared" si="52"/>
        <v>1385.907</v>
      </c>
      <c r="AX36" s="35">
        <f t="shared" si="19"/>
        <v>122.1796251</v>
      </c>
      <c r="AY36" s="35">
        <f t="shared" si="20"/>
        <v>1508.0866251</v>
      </c>
      <c r="AZ36" s="34">
        <f t="shared" si="21"/>
        <v>56.50808664299999</v>
      </c>
      <c r="BA36" s="35"/>
      <c r="BB36" s="35">
        <f t="shared" si="53"/>
        <v>8057.162</v>
      </c>
      <c r="BC36" s="35">
        <f t="shared" si="22"/>
        <v>710.3081466</v>
      </c>
      <c r="BD36" s="35">
        <f t="shared" si="23"/>
        <v>8767.4701466</v>
      </c>
      <c r="BE36" s="34">
        <f t="shared" si="24"/>
        <v>328.517576138</v>
      </c>
      <c r="BF36" s="35"/>
      <c r="BG36" s="35">
        <f t="shared" si="54"/>
        <v>220544.70500000002</v>
      </c>
      <c r="BH36" s="35">
        <f t="shared" si="25"/>
        <v>19442.9131065</v>
      </c>
      <c r="BI36" s="35">
        <f t="shared" si="26"/>
        <v>239987.6181065</v>
      </c>
      <c r="BJ36" s="34">
        <f t="shared" si="27"/>
        <v>8992.348908545</v>
      </c>
      <c r="BK36" s="35"/>
      <c r="BL36" s="35">
        <f t="shared" si="55"/>
        <v>866628.0160000001</v>
      </c>
      <c r="BM36" s="35">
        <f t="shared" si="28"/>
        <v>76400.7152688</v>
      </c>
      <c r="BN36" s="35">
        <f t="shared" si="29"/>
        <v>943028.7312688001</v>
      </c>
      <c r="BO36" s="34">
        <f t="shared" si="30"/>
        <v>35335.337086384</v>
      </c>
      <c r="BP36" s="35"/>
      <c r="BQ36" s="35">
        <f t="shared" si="56"/>
        <v>1084123.8429999999</v>
      </c>
      <c r="BR36" s="35">
        <f t="shared" si="31"/>
        <v>95574.84354989999</v>
      </c>
      <c r="BS36" s="35">
        <f t="shared" si="32"/>
        <v>1179698.6865498999</v>
      </c>
      <c r="BT36" s="34">
        <f t="shared" si="33"/>
        <v>44203.37299110699</v>
      </c>
      <c r="BU36" s="35"/>
      <c r="BV36" s="35">
        <f t="shared" si="57"/>
        <v>78211.293</v>
      </c>
      <c r="BW36" s="35">
        <f t="shared" si="34"/>
        <v>6894.9983348999995</v>
      </c>
      <c r="BX36" s="35">
        <f t="shared" si="35"/>
        <v>85106.2913349</v>
      </c>
      <c r="BY36" s="34">
        <f t="shared" si="36"/>
        <v>3188.9372961569998</v>
      </c>
      <c r="BZ36" s="35"/>
      <c r="CA36" s="35"/>
      <c r="CB36" s="35"/>
      <c r="CC36" s="35">
        <f t="shared" si="37"/>
        <v>0</v>
      </c>
      <c r="CD36" s="34"/>
      <c r="CE36" s="35"/>
      <c r="CF36" s="35">
        <f t="shared" si="58"/>
        <v>126821.93699999999</v>
      </c>
      <c r="CG36" s="35">
        <f t="shared" si="38"/>
        <v>11180.4448041</v>
      </c>
      <c r="CH36" s="35">
        <f t="shared" si="39"/>
        <v>138002.3818041</v>
      </c>
      <c r="CI36" s="34">
        <f t="shared" si="40"/>
        <v>5170.956640113</v>
      </c>
      <c r="CJ36" s="35"/>
      <c r="CK36" s="35">
        <f t="shared" si="59"/>
        <v>1807288.4719999998</v>
      </c>
      <c r="CL36" s="35">
        <f t="shared" si="41"/>
        <v>159328.0270296</v>
      </c>
      <c r="CM36" s="35">
        <f t="shared" si="42"/>
        <v>1966616.4990295998</v>
      </c>
      <c r="CN36" s="34">
        <f t="shared" si="43"/>
        <v>73689.22558632799</v>
      </c>
      <c r="CP36" s="5">
        <v>452</v>
      </c>
      <c r="CQ36" s="5">
        <v>40</v>
      </c>
      <c r="CR36" s="35">
        <f t="shared" si="44"/>
        <v>492</v>
      </c>
      <c r="CS36" s="34">
        <v>18.429151509999997</v>
      </c>
      <c r="CX36" s="5"/>
      <c r="CY36" s="5"/>
      <c r="CZ36" s="5"/>
      <c r="DA36" s="5"/>
      <c r="DB36" s="5"/>
      <c r="DC36" s="5"/>
      <c r="DD36" s="5"/>
      <c r="DE36" s="5"/>
      <c r="DF36" s="5"/>
      <c r="DG36" s="5"/>
    </row>
    <row r="37" spans="1:111" ht="12.75">
      <c r="A37" s="36">
        <v>13058</v>
      </c>
      <c r="D37" s="3">
        <v>422103</v>
      </c>
      <c r="E37" s="34">
        <f t="shared" si="0"/>
        <v>239339.62999999998</v>
      </c>
      <c r="I37" s="34">
        <f t="shared" si="45"/>
        <v>0</v>
      </c>
      <c r="J37" s="34">
        <f t="shared" si="1"/>
        <v>422103</v>
      </c>
      <c r="K37" s="34">
        <f t="shared" si="2"/>
        <v>422103</v>
      </c>
      <c r="L37" s="34">
        <f t="shared" si="3"/>
        <v>239339.62999999998</v>
      </c>
      <c r="M37" s="35"/>
      <c r="N37" s="3"/>
      <c r="O37" s="35"/>
      <c r="P37" s="35">
        <f t="shared" si="4"/>
        <v>0</v>
      </c>
      <c r="Q37" s="34"/>
      <c r="S37" s="35">
        <f>'20 Yr Academic Project '!H37</f>
        <v>0</v>
      </c>
      <c r="T37" s="35">
        <f>'20 Yr Academic Project '!I37</f>
        <v>30697.9471986</v>
      </c>
      <c r="U37" s="35">
        <f t="shared" si="5"/>
        <v>30697.9471986</v>
      </c>
      <c r="V37" s="34">
        <f>'20 Yr Academic Project '!K37</f>
        <v>17406.261799305998</v>
      </c>
      <c r="X37" s="35">
        <f t="shared" si="60"/>
        <v>0</v>
      </c>
      <c r="Y37" s="34">
        <f t="shared" si="46"/>
        <v>391405.55087040004</v>
      </c>
      <c r="Z37" s="35">
        <f t="shared" si="6"/>
        <v>391405.55087040004</v>
      </c>
      <c r="AA37" s="34">
        <f t="shared" si="47"/>
        <v>221933.36820069398</v>
      </c>
      <c r="AB37" s="35"/>
      <c r="AC37" s="35"/>
      <c r="AD37" s="35">
        <f t="shared" si="7"/>
        <v>392.3447385</v>
      </c>
      <c r="AE37" s="35">
        <f t="shared" si="8"/>
        <v>392.3447385</v>
      </c>
      <c r="AF37" s="34">
        <f t="shared" si="9"/>
        <v>222.46618608499998</v>
      </c>
      <c r="AH37" s="35"/>
      <c r="AI37" s="35">
        <f t="shared" si="10"/>
        <v>31294.589789100002</v>
      </c>
      <c r="AJ37" s="35">
        <f t="shared" si="11"/>
        <v>31294.589789100002</v>
      </c>
      <c r="AK37" s="34">
        <f t="shared" si="12"/>
        <v>17744.568366311</v>
      </c>
      <c r="AM37" s="35"/>
      <c r="AN37" s="35">
        <f t="shared" si="13"/>
        <v>58062.040482599994</v>
      </c>
      <c r="AO37" s="35">
        <f t="shared" si="14"/>
        <v>58062.040482599994</v>
      </c>
      <c r="AP37" s="34">
        <f t="shared" si="15"/>
        <v>32922.171332945996</v>
      </c>
      <c r="AR37" s="35"/>
      <c r="AS37" s="35">
        <f t="shared" si="16"/>
        <v>106.74984870000002</v>
      </c>
      <c r="AT37" s="35">
        <f t="shared" si="17"/>
        <v>106.74984870000002</v>
      </c>
      <c r="AU37" s="34">
        <f t="shared" si="18"/>
        <v>60.528992427</v>
      </c>
      <c r="AW37" s="35"/>
      <c r="AX37" s="35">
        <f t="shared" si="19"/>
        <v>99.6585183</v>
      </c>
      <c r="AY37" s="35">
        <f t="shared" si="20"/>
        <v>99.6585183</v>
      </c>
      <c r="AZ37" s="34">
        <f t="shared" si="21"/>
        <v>56.50808664299999</v>
      </c>
      <c r="BA37" s="35"/>
      <c r="BB37" s="35"/>
      <c r="BC37" s="35">
        <f t="shared" si="22"/>
        <v>579.3785778</v>
      </c>
      <c r="BD37" s="35">
        <f t="shared" si="23"/>
        <v>579.3785778</v>
      </c>
      <c r="BE37" s="34">
        <f t="shared" si="24"/>
        <v>328.517576138</v>
      </c>
      <c r="BF37" s="35"/>
      <c r="BG37" s="35"/>
      <c r="BH37" s="35">
        <f t="shared" si="25"/>
        <v>15859.042864500001</v>
      </c>
      <c r="BI37" s="35">
        <f t="shared" si="26"/>
        <v>15859.042864500001</v>
      </c>
      <c r="BJ37" s="34">
        <f t="shared" si="27"/>
        <v>8992.348908545</v>
      </c>
      <c r="BK37" s="35"/>
      <c r="BL37" s="35"/>
      <c r="BM37" s="35">
        <f t="shared" si="28"/>
        <v>62317.9361904</v>
      </c>
      <c r="BN37" s="35">
        <f t="shared" si="29"/>
        <v>62317.9361904</v>
      </c>
      <c r="BO37" s="34">
        <f t="shared" si="30"/>
        <v>35335.337086384</v>
      </c>
      <c r="BP37" s="35"/>
      <c r="BQ37" s="35"/>
      <c r="BR37" s="35">
        <f t="shared" si="31"/>
        <v>77957.7387567</v>
      </c>
      <c r="BS37" s="35">
        <f t="shared" si="32"/>
        <v>77957.7387567</v>
      </c>
      <c r="BT37" s="34">
        <f t="shared" si="33"/>
        <v>44203.37299110699</v>
      </c>
      <c r="BU37" s="35"/>
      <c r="BV37" s="35"/>
      <c r="BW37" s="35">
        <f t="shared" si="34"/>
        <v>5624.0581617</v>
      </c>
      <c r="BX37" s="35">
        <f t="shared" si="35"/>
        <v>5624.0581617</v>
      </c>
      <c r="BY37" s="34">
        <f t="shared" si="36"/>
        <v>3188.9372961569998</v>
      </c>
      <c r="BZ37" s="35"/>
      <c r="CA37" s="35"/>
      <c r="CB37" s="35"/>
      <c r="CC37" s="35">
        <f t="shared" si="37"/>
        <v>0</v>
      </c>
      <c r="CD37" s="34"/>
      <c r="CE37" s="35"/>
      <c r="CF37" s="35"/>
      <c r="CG37" s="35">
        <f t="shared" si="38"/>
        <v>9119.5775253</v>
      </c>
      <c r="CH37" s="35">
        <f t="shared" si="39"/>
        <v>9119.5775253</v>
      </c>
      <c r="CI37" s="34">
        <f t="shared" si="40"/>
        <v>5170.956640113</v>
      </c>
      <c r="CJ37" s="35"/>
      <c r="CK37" s="35"/>
      <c r="CL37" s="35">
        <f t="shared" si="41"/>
        <v>129959.4354168</v>
      </c>
      <c r="CM37" s="35">
        <f t="shared" si="42"/>
        <v>129959.4354168</v>
      </c>
      <c r="CN37" s="34">
        <f t="shared" si="43"/>
        <v>73689.22558632799</v>
      </c>
      <c r="CQ37" s="5">
        <v>33</v>
      </c>
      <c r="CR37" s="35">
        <f t="shared" si="44"/>
        <v>33</v>
      </c>
      <c r="CS37" s="34">
        <v>18.429151509999997</v>
      </c>
      <c r="CX37" s="5"/>
      <c r="CY37" s="5"/>
      <c r="CZ37" s="5"/>
      <c r="DA37" s="5"/>
      <c r="DB37" s="5"/>
      <c r="DC37" s="5"/>
      <c r="DD37" s="5"/>
      <c r="DE37" s="5"/>
      <c r="DF37" s="5"/>
      <c r="DG37" s="5"/>
    </row>
    <row r="38" spans="1:111" ht="12.75">
      <c r="A38" s="36">
        <v>13241</v>
      </c>
      <c r="C38" s="3">
        <v>6065000</v>
      </c>
      <c r="D38" s="3">
        <v>422103</v>
      </c>
      <c r="E38" s="34">
        <f t="shared" si="0"/>
        <v>239339.62999999998</v>
      </c>
      <c r="I38" s="34">
        <f t="shared" si="45"/>
        <v>6065000</v>
      </c>
      <c r="J38" s="34">
        <f t="shared" si="1"/>
        <v>422103</v>
      </c>
      <c r="K38" s="34">
        <f t="shared" si="2"/>
        <v>6487103</v>
      </c>
      <c r="L38" s="34">
        <f t="shared" si="3"/>
        <v>239339.62999999998</v>
      </c>
      <c r="M38" s="35"/>
      <c r="N38" s="3"/>
      <c r="O38" s="35"/>
      <c r="P38" s="35">
        <f t="shared" si="4"/>
        <v>0</v>
      </c>
      <c r="Q38" s="34"/>
      <c r="S38" s="35">
        <f>'20 Yr Academic Project '!H38</f>
        <v>441084.403</v>
      </c>
      <c r="T38" s="35">
        <f>'20 Yr Academic Project '!I38</f>
        <v>30697.9471986</v>
      </c>
      <c r="U38" s="35">
        <f t="shared" si="5"/>
        <v>471782.3501986</v>
      </c>
      <c r="V38" s="34">
        <f>'20 Yr Academic Project '!K38</f>
        <v>17406.261799305998</v>
      </c>
      <c r="X38" s="35">
        <f t="shared" si="60"/>
        <v>5623915.592</v>
      </c>
      <c r="Y38" s="34">
        <f t="shared" si="46"/>
        <v>391405.55087040004</v>
      </c>
      <c r="Z38" s="35">
        <f t="shared" si="6"/>
        <v>6015321.1428704</v>
      </c>
      <c r="AA38" s="34">
        <f t="shared" si="47"/>
        <v>221933.36820069398</v>
      </c>
      <c r="AB38" s="35"/>
      <c r="AC38" s="35">
        <f t="shared" si="48"/>
        <v>5637.4175</v>
      </c>
      <c r="AD38" s="35">
        <f t="shared" si="7"/>
        <v>392.3447385</v>
      </c>
      <c r="AE38" s="35">
        <f t="shared" si="8"/>
        <v>6029.7622384999995</v>
      </c>
      <c r="AF38" s="34">
        <f t="shared" si="9"/>
        <v>222.46618608499998</v>
      </c>
      <c r="AH38" s="35">
        <f t="shared" si="49"/>
        <v>449657.2805</v>
      </c>
      <c r="AI38" s="35">
        <f t="shared" si="10"/>
        <v>31294.589789100002</v>
      </c>
      <c r="AJ38" s="35">
        <f t="shared" si="11"/>
        <v>480951.8702891</v>
      </c>
      <c r="AK38" s="34">
        <f t="shared" si="12"/>
        <v>17744.568366311</v>
      </c>
      <c r="AM38" s="35">
        <f t="shared" si="50"/>
        <v>834266.2229999999</v>
      </c>
      <c r="AN38" s="35">
        <f t="shared" si="13"/>
        <v>58062.040482599994</v>
      </c>
      <c r="AO38" s="35">
        <f t="shared" si="14"/>
        <v>892328.2634825999</v>
      </c>
      <c r="AP38" s="34">
        <f t="shared" si="15"/>
        <v>32922.171332945996</v>
      </c>
      <c r="AR38" s="35">
        <f t="shared" si="51"/>
        <v>1533.8385</v>
      </c>
      <c r="AS38" s="35">
        <f t="shared" si="16"/>
        <v>106.74984870000002</v>
      </c>
      <c r="AT38" s="35">
        <f t="shared" si="17"/>
        <v>1640.5883487</v>
      </c>
      <c r="AU38" s="34">
        <f t="shared" si="18"/>
        <v>60.528992427</v>
      </c>
      <c r="AW38" s="35">
        <f t="shared" si="52"/>
        <v>1431.9465</v>
      </c>
      <c r="AX38" s="35">
        <f t="shared" si="19"/>
        <v>99.6585183</v>
      </c>
      <c r="AY38" s="35">
        <f t="shared" si="20"/>
        <v>1531.6050183</v>
      </c>
      <c r="AZ38" s="34">
        <f t="shared" si="21"/>
        <v>56.50808664299999</v>
      </c>
      <c r="BA38" s="35"/>
      <c r="BB38" s="35">
        <f t="shared" si="53"/>
        <v>8324.819000000001</v>
      </c>
      <c r="BC38" s="35">
        <f t="shared" si="22"/>
        <v>579.3785778</v>
      </c>
      <c r="BD38" s="35">
        <f t="shared" si="23"/>
        <v>8904.197577800001</v>
      </c>
      <c r="BE38" s="34">
        <f t="shared" si="24"/>
        <v>328.517576138</v>
      </c>
      <c r="BF38" s="35"/>
      <c r="BG38" s="35">
        <f t="shared" si="54"/>
        <v>227871.1475</v>
      </c>
      <c r="BH38" s="35">
        <f t="shared" si="25"/>
        <v>15859.042864500001</v>
      </c>
      <c r="BI38" s="35">
        <f t="shared" si="26"/>
        <v>243730.19036449998</v>
      </c>
      <c r="BJ38" s="34">
        <f t="shared" si="27"/>
        <v>8992.348908545</v>
      </c>
      <c r="BK38" s="35"/>
      <c r="BL38" s="35">
        <f t="shared" si="55"/>
        <v>895417.192</v>
      </c>
      <c r="BM38" s="35">
        <f t="shared" si="28"/>
        <v>62317.9361904</v>
      </c>
      <c r="BN38" s="35">
        <f t="shared" si="29"/>
        <v>957735.1281904001</v>
      </c>
      <c r="BO38" s="34">
        <f t="shared" si="30"/>
        <v>35335.337086384</v>
      </c>
      <c r="BP38" s="35"/>
      <c r="BQ38" s="35">
        <f t="shared" si="56"/>
        <v>1120138.1785</v>
      </c>
      <c r="BR38" s="35">
        <f t="shared" si="31"/>
        <v>77957.7387567</v>
      </c>
      <c r="BS38" s="35">
        <f t="shared" si="32"/>
        <v>1198095.9172566999</v>
      </c>
      <c r="BT38" s="34">
        <f t="shared" si="33"/>
        <v>44203.37299110699</v>
      </c>
      <c r="BU38" s="35"/>
      <c r="BV38" s="35">
        <f t="shared" si="57"/>
        <v>80809.4535</v>
      </c>
      <c r="BW38" s="35">
        <f t="shared" si="34"/>
        <v>5624.0581617</v>
      </c>
      <c r="BX38" s="35">
        <f t="shared" si="35"/>
        <v>86433.5116617</v>
      </c>
      <c r="BY38" s="34">
        <f t="shared" si="36"/>
        <v>3188.9372961569998</v>
      </c>
      <c r="BZ38" s="35"/>
      <c r="CA38" s="35"/>
      <c r="CB38" s="35"/>
      <c r="CC38" s="35">
        <f t="shared" si="37"/>
        <v>0</v>
      </c>
      <c r="CD38" s="34"/>
      <c r="CE38" s="35"/>
      <c r="CF38" s="35">
        <f t="shared" si="58"/>
        <v>131034.93149999999</v>
      </c>
      <c r="CG38" s="35">
        <f t="shared" si="38"/>
        <v>9119.5775253</v>
      </c>
      <c r="CH38" s="35">
        <f t="shared" si="39"/>
        <v>140154.50902529998</v>
      </c>
      <c r="CI38" s="34">
        <f t="shared" si="40"/>
        <v>5170.956640113</v>
      </c>
      <c r="CJ38" s="35"/>
      <c r="CK38" s="35">
        <f t="shared" si="59"/>
        <v>1867326.1639999999</v>
      </c>
      <c r="CL38" s="35">
        <f t="shared" si="41"/>
        <v>129959.4354168</v>
      </c>
      <c r="CM38" s="35">
        <f t="shared" si="42"/>
        <v>1997285.5994167998</v>
      </c>
      <c r="CN38" s="34">
        <f t="shared" si="43"/>
        <v>73689.22558632799</v>
      </c>
      <c r="CP38" s="5">
        <v>467</v>
      </c>
      <c r="CQ38" s="5">
        <v>33</v>
      </c>
      <c r="CR38" s="35">
        <f t="shared" si="44"/>
        <v>500</v>
      </c>
      <c r="CS38" s="34">
        <v>18.429151509999997</v>
      </c>
      <c r="CX38" s="5"/>
      <c r="CY38" s="5"/>
      <c r="CZ38" s="5"/>
      <c r="DA38" s="5"/>
      <c r="DB38" s="5"/>
      <c r="DC38" s="5"/>
      <c r="DD38" s="5"/>
      <c r="DE38" s="5"/>
      <c r="DF38" s="5"/>
      <c r="DG38" s="5"/>
    </row>
    <row r="39" spans="1:111" ht="12.75">
      <c r="A39" s="36">
        <v>13424</v>
      </c>
      <c r="D39" s="3">
        <v>323547</v>
      </c>
      <c r="E39" s="34">
        <f t="shared" si="0"/>
        <v>239339.62999999998</v>
      </c>
      <c r="I39" s="34">
        <f t="shared" si="45"/>
        <v>0</v>
      </c>
      <c r="J39" s="34">
        <f t="shared" si="1"/>
        <v>323547</v>
      </c>
      <c r="K39" s="34">
        <f t="shared" si="2"/>
        <v>323547</v>
      </c>
      <c r="L39" s="34">
        <f t="shared" si="3"/>
        <v>239339.62999999998</v>
      </c>
      <c r="M39" s="35"/>
      <c r="N39" s="3"/>
      <c r="O39" s="35"/>
      <c r="P39" s="35">
        <f t="shared" si="4"/>
        <v>0</v>
      </c>
      <c r="Q39" s="34"/>
      <c r="S39" s="35">
        <f>'20 Yr Academic Project '!H39</f>
        <v>0</v>
      </c>
      <c r="T39" s="35">
        <f>'20 Yr Academic Project '!I39</f>
        <v>23530.3438314</v>
      </c>
      <c r="U39" s="35">
        <f t="shared" si="5"/>
        <v>23530.3438314</v>
      </c>
      <c r="V39" s="34">
        <f>'20 Yr Academic Project '!K39</f>
        <v>17406.261799305998</v>
      </c>
      <c r="X39" s="35">
        <f t="shared" si="60"/>
        <v>0</v>
      </c>
      <c r="Y39" s="34">
        <f t="shared" si="46"/>
        <v>300016.7430496</v>
      </c>
      <c r="Z39" s="35">
        <f t="shared" si="6"/>
        <v>300016.7430496</v>
      </c>
      <c r="AA39" s="34">
        <f t="shared" si="47"/>
        <v>221933.36820069398</v>
      </c>
      <c r="AB39" s="35"/>
      <c r="AC39" s="35"/>
      <c r="AD39" s="35">
        <f t="shared" si="7"/>
        <v>300.7369365</v>
      </c>
      <c r="AE39" s="35">
        <f t="shared" si="8"/>
        <v>300.7369365</v>
      </c>
      <c r="AF39" s="34">
        <f t="shared" si="9"/>
        <v>222.46618608499998</v>
      </c>
      <c r="AH39" s="35"/>
      <c r="AI39" s="35">
        <f t="shared" si="10"/>
        <v>23987.677515900003</v>
      </c>
      <c r="AJ39" s="35">
        <f t="shared" si="11"/>
        <v>23987.677515900003</v>
      </c>
      <c r="AK39" s="34">
        <f t="shared" si="12"/>
        <v>17744.568366311</v>
      </c>
      <c r="AM39" s="35"/>
      <c r="AN39" s="35">
        <f t="shared" si="13"/>
        <v>44505.24874739999</v>
      </c>
      <c r="AO39" s="35">
        <f t="shared" si="14"/>
        <v>44505.24874739999</v>
      </c>
      <c r="AP39" s="34">
        <f t="shared" si="15"/>
        <v>32922.171332945996</v>
      </c>
      <c r="AR39" s="35"/>
      <c r="AS39" s="35">
        <f t="shared" si="16"/>
        <v>81.82503630000001</v>
      </c>
      <c r="AT39" s="35">
        <f t="shared" si="17"/>
        <v>81.82503630000001</v>
      </c>
      <c r="AU39" s="34">
        <f t="shared" si="18"/>
        <v>60.528992427</v>
      </c>
      <c r="AW39" s="35"/>
      <c r="AX39" s="35">
        <f t="shared" si="19"/>
        <v>76.3894467</v>
      </c>
      <c r="AY39" s="35">
        <f t="shared" si="20"/>
        <v>76.3894467</v>
      </c>
      <c r="AZ39" s="34">
        <f t="shared" si="21"/>
        <v>56.50808664299999</v>
      </c>
      <c r="BA39" s="35"/>
      <c r="BB39" s="35"/>
      <c r="BC39" s="35">
        <f t="shared" si="22"/>
        <v>444.1006122</v>
      </c>
      <c r="BD39" s="35">
        <f t="shared" si="23"/>
        <v>444.1006122</v>
      </c>
      <c r="BE39" s="34">
        <f t="shared" si="24"/>
        <v>328.517576138</v>
      </c>
      <c r="BF39" s="35"/>
      <c r="BG39" s="35"/>
      <c r="BH39" s="35">
        <f t="shared" si="25"/>
        <v>12156.1461105</v>
      </c>
      <c r="BI39" s="35">
        <f t="shared" si="26"/>
        <v>12156.1461105</v>
      </c>
      <c r="BJ39" s="34">
        <f t="shared" si="27"/>
        <v>8992.348908545</v>
      </c>
      <c r="BK39" s="35"/>
      <c r="BL39" s="35"/>
      <c r="BM39" s="35">
        <f t="shared" si="28"/>
        <v>47767.4437296</v>
      </c>
      <c r="BN39" s="35">
        <f t="shared" si="29"/>
        <v>47767.4437296</v>
      </c>
      <c r="BO39" s="34">
        <f t="shared" si="30"/>
        <v>35335.337086384</v>
      </c>
      <c r="BP39" s="35"/>
      <c r="BQ39" s="35"/>
      <c r="BR39" s="35">
        <f t="shared" si="31"/>
        <v>59755.539528299996</v>
      </c>
      <c r="BS39" s="35">
        <f t="shared" si="32"/>
        <v>59755.539528299996</v>
      </c>
      <c r="BT39" s="34">
        <f t="shared" si="33"/>
        <v>44203.37299110699</v>
      </c>
      <c r="BU39" s="35"/>
      <c r="BV39" s="35"/>
      <c r="BW39" s="35">
        <f t="shared" si="34"/>
        <v>4310.9078733</v>
      </c>
      <c r="BX39" s="35">
        <f t="shared" si="35"/>
        <v>4310.9078733</v>
      </c>
      <c r="BY39" s="34">
        <f t="shared" si="36"/>
        <v>3188.9372961569998</v>
      </c>
      <c r="BZ39" s="35"/>
      <c r="CA39" s="35"/>
      <c r="CB39" s="35"/>
      <c r="CC39" s="35">
        <f t="shared" si="37"/>
        <v>0</v>
      </c>
      <c r="CD39" s="34"/>
      <c r="CE39" s="35"/>
      <c r="CF39" s="35"/>
      <c r="CG39" s="35">
        <f t="shared" si="38"/>
        <v>6990.2652897</v>
      </c>
      <c r="CH39" s="35">
        <f t="shared" si="39"/>
        <v>6990.2652897</v>
      </c>
      <c r="CI39" s="34">
        <f t="shared" si="40"/>
        <v>5170.956640113</v>
      </c>
      <c r="CJ39" s="35"/>
      <c r="CK39" s="35"/>
      <c r="CL39" s="35">
        <f t="shared" si="41"/>
        <v>99615.4622232</v>
      </c>
      <c r="CM39" s="35">
        <f t="shared" si="42"/>
        <v>99615.4622232</v>
      </c>
      <c r="CN39" s="34">
        <f t="shared" si="43"/>
        <v>73689.22558632799</v>
      </c>
      <c r="CQ39" s="5">
        <v>25</v>
      </c>
      <c r="CR39" s="35">
        <f t="shared" si="44"/>
        <v>25</v>
      </c>
      <c r="CS39" s="34">
        <v>18.429151509999997</v>
      </c>
      <c r="CX39" s="5"/>
      <c r="CY39" s="5"/>
      <c r="CZ39" s="5"/>
      <c r="DA39" s="5"/>
      <c r="DB39" s="5"/>
      <c r="DC39" s="5"/>
      <c r="DD39" s="5"/>
      <c r="DE39" s="5"/>
      <c r="DF39" s="5"/>
      <c r="DG39" s="5"/>
    </row>
    <row r="40" spans="1:111" ht="12.75">
      <c r="A40" s="36">
        <v>13606</v>
      </c>
      <c r="C40" s="3">
        <v>6260000</v>
      </c>
      <c r="D40" s="3">
        <v>323547</v>
      </c>
      <c r="E40" s="34">
        <f t="shared" si="0"/>
        <v>239339.62999999998</v>
      </c>
      <c r="I40" s="34">
        <f t="shared" si="45"/>
        <v>6260000</v>
      </c>
      <c r="J40" s="34">
        <f t="shared" si="1"/>
        <v>323547</v>
      </c>
      <c r="K40" s="34">
        <f t="shared" si="2"/>
        <v>6583547</v>
      </c>
      <c r="L40" s="34">
        <f t="shared" si="3"/>
        <v>239339.62999999998</v>
      </c>
      <c r="M40" s="35"/>
      <c r="N40" s="3"/>
      <c r="O40" s="35"/>
      <c r="P40" s="35">
        <f t="shared" si="4"/>
        <v>0</v>
      </c>
      <c r="Q40" s="34"/>
      <c r="S40" s="35">
        <f>'20 Yr Academic Project '!H40</f>
        <v>455266.012</v>
      </c>
      <c r="T40" s="35">
        <f>'20 Yr Academic Project '!I40</f>
        <v>23530.3438314</v>
      </c>
      <c r="U40" s="35">
        <f t="shared" si="5"/>
        <v>478796.35583139997</v>
      </c>
      <c r="V40" s="34">
        <f>'20 Yr Academic Project '!K40</f>
        <v>17406.261799305998</v>
      </c>
      <c r="X40" s="35">
        <f t="shared" si="60"/>
        <v>5804733.968</v>
      </c>
      <c r="Y40" s="34">
        <f t="shared" si="46"/>
        <v>300016.7430496</v>
      </c>
      <c r="Z40" s="35">
        <f t="shared" si="6"/>
        <v>6104750.7110496005</v>
      </c>
      <c r="AA40" s="34">
        <f t="shared" si="47"/>
        <v>221933.36820069398</v>
      </c>
      <c r="AB40" s="35"/>
      <c r="AC40" s="35">
        <f t="shared" si="48"/>
        <v>5818.67</v>
      </c>
      <c r="AD40" s="35">
        <f t="shared" si="7"/>
        <v>300.7369365</v>
      </c>
      <c r="AE40" s="35">
        <f t="shared" si="8"/>
        <v>6119.4069365000005</v>
      </c>
      <c r="AF40" s="34">
        <f t="shared" si="9"/>
        <v>222.46618608499998</v>
      </c>
      <c r="AH40" s="35">
        <f t="shared" si="49"/>
        <v>464114.522</v>
      </c>
      <c r="AI40" s="35">
        <f t="shared" si="10"/>
        <v>23987.677515900003</v>
      </c>
      <c r="AJ40" s="35">
        <f t="shared" si="11"/>
        <v>488102.1995159</v>
      </c>
      <c r="AK40" s="34">
        <f t="shared" si="12"/>
        <v>17744.568366311</v>
      </c>
      <c r="AM40" s="35">
        <f t="shared" si="50"/>
        <v>861089.2919999999</v>
      </c>
      <c r="AN40" s="35">
        <f t="shared" si="13"/>
        <v>44505.24874739999</v>
      </c>
      <c r="AO40" s="35">
        <f t="shared" si="14"/>
        <v>905594.5407473999</v>
      </c>
      <c r="AP40" s="34">
        <f t="shared" si="15"/>
        <v>32922.171332945996</v>
      </c>
      <c r="AR40" s="35">
        <f t="shared" si="51"/>
        <v>1583.1540000000002</v>
      </c>
      <c r="AS40" s="35">
        <f t="shared" si="16"/>
        <v>81.82503630000001</v>
      </c>
      <c r="AT40" s="35">
        <f t="shared" si="17"/>
        <v>1664.9790363000002</v>
      </c>
      <c r="AU40" s="34">
        <f t="shared" si="18"/>
        <v>60.528992427</v>
      </c>
      <c r="AW40" s="35">
        <f t="shared" si="52"/>
        <v>1477.9859999999999</v>
      </c>
      <c r="AX40" s="35">
        <f t="shared" si="19"/>
        <v>76.3894467</v>
      </c>
      <c r="AY40" s="35">
        <f t="shared" si="20"/>
        <v>1554.3754466999999</v>
      </c>
      <c r="AZ40" s="34">
        <f t="shared" si="21"/>
        <v>56.50808664299999</v>
      </c>
      <c r="BA40" s="35"/>
      <c r="BB40" s="35">
        <f t="shared" si="53"/>
        <v>8592.476</v>
      </c>
      <c r="BC40" s="35">
        <f t="shared" si="22"/>
        <v>444.1006122</v>
      </c>
      <c r="BD40" s="35">
        <f t="shared" si="23"/>
        <v>9036.5766122</v>
      </c>
      <c r="BE40" s="34">
        <f t="shared" si="24"/>
        <v>328.517576138</v>
      </c>
      <c r="BF40" s="35"/>
      <c r="BG40" s="35">
        <f t="shared" si="54"/>
        <v>235197.59</v>
      </c>
      <c r="BH40" s="35">
        <f t="shared" si="25"/>
        <v>12156.1461105</v>
      </c>
      <c r="BI40" s="35">
        <f t="shared" si="26"/>
        <v>247353.7361105</v>
      </c>
      <c r="BJ40" s="34">
        <f t="shared" si="27"/>
        <v>8992.348908545</v>
      </c>
      <c r="BK40" s="35"/>
      <c r="BL40" s="35">
        <f t="shared" si="55"/>
        <v>924206.3680000001</v>
      </c>
      <c r="BM40" s="35">
        <f t="shared" si="28"/>
        <v>47767.4437296</v>
      </c>
      <c r="BN40" s="35">
        <f t="shared" si="29"/>
        <v>971973.8117296002</v>
      </c>
      <c r="BO40" s="34">
        <f t="shared" si="30"/>
        <v>35335.337086384</v>
      </c>
      <c r="BP40" s="35"/>
      <c r="BQ40" s="35">
        <f t="shared" si="56"/>
        <v>1156152.514</v>
      </c>
      <c r="BR40" s="35">
        <f t="shared" si="31"/>
        <v>59755.539528299996</v>
      </c>
      <c r="BS40" s="35">
        <f t="shared" si="32"/>
        <v>1215908.0535283</v>
      </c>
      <c r="BT40" s="34">
        <f t="shared" si="33"/>
        <v>44203.37299110699</v>
      </c>
      <c r="BU40" s="35"/>
      <c r="BV40" s="35">
        <f t="shared" si="57"/>
        <v>83407.614</v>
      </c>
      <c r="BW40" s="35">
        <f t="shared" si="34"/>
        <v>4310.9078733</v>
      </c>
      <c r="BX40" s="35">
        <f t="shared" si="35"/>
        <v>87718.52187330001</v>
      </c>
      <c r="BY40" s="34">
        <f t="shared" si="36"/>
        <v>3188.9372961569998</v>
      </c>
      <c r="BZ40" s="35"/>
      <c r="CA40" s="35"/>
      <c r="CB40" s="35"/>
      <c r="CC40" s="35">
        <f t="shared" si="37"/>
        <v>0</v>
      </c>
      <c r="CD40" s="34"/>
      <c r="CE40" s="35"/>
      <c r="CF40" s="35">
        <f t="shared" si="58"/>
        <v>135247.92599999998</v>
      </c>
      <c r="CG40" s="35">
        <f t="shared" si="38"/>
        <v>6990.2652897</v>
      </c>
      <c r="CH40" s="35">
        <f t="shared" si="39"/>
        <v>142238.1912897</v>
      </c>
      <c r="CI40" s="34">
        <f t="shared" si="40"/>
        <v>5170.956640113</v>
      </c>
      <c r="CJ40" s="35"/>
      <c r="CK40" s="35">
        <f t="shared" si="59"/>
        <v>1927363.856</v>
      </c>
      <c r="CL40" s="35">
        <f t="shared" si="41"/>
        <v>99615.4622232</v>
      </c>
      <c r="CM40" s="35">
        <f t="shared" si="42"/>
        <v>2026979.3182231998</v>
      </c>
      <c r="CN40" s="34">
        <f t="shared" si="43"/>
        <v>73689.22558632799</v>
      </c>
      <c r="CP40" s="5">
        <v>482</v>
      </c>
      <c r="CQ40" s="5">
        <v>25</v>
      </c>
      <c r="CR40" s="35">
        <f t="shared" si="44"/>
        <v>507</v>
      </c>
      <c r="CS40" s="34">
        <v>18.429151509999997</v>
      </c>
      <c r="CX40" s="5"/>
      <c r="CY40" s="5"/>
      <c r="CZ40" s="5"/>
      <c r="DA40" s="5"/>
      <c r="DB40" s="5"/>
      <c r="DC40" s="5"/>
      <c r="DD40" s="5"/>
      <c r="DE40" s="5"/>
      <c r="DF40" s="5"/>
      <c r="DG40" s="5"/>
    </row>
    <row r="41" spans="1:111" ht="12.75">
      <c r="A41" s="36">
        <v>13789</v>
      </c>
      <c r="D41" s="3">
        <v>221822</v>
      </c>
      <c r="E41" s="34">
        <f t="shared" si="0"/>
        <v>239339.62999999998</v>
      </c>
      <c r="I41" s="34">
        <f t="shared" si="45"/>
        <v>0</v>
      </c>
      <c r="J41" s="34">
        <f t="shared" si="1"/>
        <v>221822</v>
      </c>
      <c r="K41" s="34">
        <f t="shared" si="2"/>
        <v>221822</v>
      </c>
      <c r="L41" s="34">
        <f t="shared" si="3"/>
        <v>239339.62999999998</v>
      </c>
      <c r="M41" s="35"/>
      <c r="N41" s="3"/>
      <c r="O41" s="35"/>
      <c r="P41" s="35">
        <f t="shared" si="4"/>
        <v>0</v>
      </c>
      <c r="Q41" s="34"/>
      <c r="S41" s="35">
        <f>'20 Yr Academic Project '!H41</f>
        <v>0</v>
      </c>
      <c r="T41" s="35">
        <f>'20 Yr Academic Project '!I41</f>
        <v>16132.2711364</v>
      </c>
      <c r="U41" s="35">
        <f t="shared" si="5"/>
        <v>16132.2711364</v>
      </c>
      <c r="V41" s="34">
        <f>'20 Yr Academic Project '!K41</f>
        <v>17406.261799305998</v>
      </c>
      <c r="X41" s="35">
        <f t="shared" si="60"/>
        <v>0</v>
      </c>
      <c r="Y41" s="34">
        <f t="shared" si="46"/>
        <v>205689.64856959996</v>
      </c>
      <c r="Z41" s="35">
        <f t="shared" si="6"/>
        <v>205689.64856959996</v>
      </c>
      <c r="AA41" s="34">
        <f t="shared" si="47"/>
        <v>221933.36820069398</v>
      </c>
      <c r="AB41" s="35"/>
      <c r="AC41" s="35"/>
      <c r="AD41" s="35">
        <f t="shared" si="7"/>
        <v>206.183549</v>
      </c>
      <c r="AE41" s="35">
        <f t="shared" si="8"/>
        <v>206.183549</v>
      </c>
      <c r="AF41" s="34">
        <f t="shared" si="9"/>
        <v>222.46618608499998</v>
      </c>
      <c r="AH41" s="35"/>
      <c r="AI41" s="35">
        <f t="shared" si="10"/>
        <v>16445.8165334</v>
      </c>
      <c r="AJ41" s="35">
        <f t="shared" si="11"/>
        <v>16445.8165334</v>
      </c>
      <c r="AK41" s="34">
        <f t="shared" si="12"/>
        <v>17744.568366311</v>
      </c>
      <c r="AM41" s="35"/>
      <c r="AN41" s="35">
        <f t="shared" si="13"/>
        <v>30512.547752399998</v>
      </c>
      <c r="AO41" s="35">
        <f t="shared" si="14"/>
        <v>30512.547752399998</v>
      </c>
      <c r="AP41" s="34">
        <f t="shared" si="15"/>
        <v>32922.171332945996</v>
      </c>
      <c r="AR41" s="35"/>
      <c r="AS41" s="35">
        <f t="shared" si="16"/>
        <v>56.09878380000001</v>
      </c>
      <c r="AT41" s="35">
        <f t="shared" si="17"/>
        <v>56.09878380000001</v>
      </c>
      <c r="AU41" s="34">
        <f t="shared" si="18"/>
        <v>60.528992427</v>
      </c>
      <c r="AW41" s="35"/>
      <c r="AX41" s="35">
        <f t="shared" si="19"/>
        <v>52.372174199999996</v>
      </c>
      <c r="AY41" s="35">
        <f t="shared" si="20"/>
        <v>52.372174199999996</v>
      </c>
      <c r="AZ41" s="34">
        <f t="shared" si="21"/>
        <v>56.50808664299999</v>
      </c>
      <c r="BA41" s="35"/>
      <c r="BB41" s="35"/>
      <c r="BC41" s="35">
        <f t="shared" si="22"/>
        <v>304.4728772</v>
      </c>
      <c r="BD41" s="35">
        <f t="shared" si="23"/>
        <v>304.4728772</v>
      </c>
      <c r="BE41" s="34">
        <f t="shared" si="24"/>
        <v>328.517576138</v>
      </c>
      <c r="BF41" s="35"/>
      <c r="BG41" s="35"/>
      <c r="BH41" s="35">
        <f t="shared" si="25"/>
        <v>8334.185273000001</v>
      </c>
      <c r="BI41" s="35">
        <f t="shared" si="26"/>
        <v>8334.185273000001</v>
      </c>
      <c r="BJ41" s="34">
        <f t="shared" si="27"/>
        <v>8992.348908545</v>
      </c>
      <c r="BK41" s="35"/>
      <c r="BL41" s="35"/>
      <c r="BM41" s="35">
        <f t="shared" si="28"/>
        <v>32749.0902496</v>
      </c>
      <c r="BN41" s="35">
        <f t="shared" si="29"/>
        <v>32749.0902496</v>
      </c>
      <c r="BO41" s="34">
        <f t="shared" si="30"/>
        <v>35335.337086384</v>
      </c>
      <c r="BP41" s="35"/>
      <c r="BQ41" s="35"/>
      <c r="BR41" s="35">
        <f t="shared" si="31"/>
        <v>40968.061175799994</v>
      </c>
      <c r="BS41" s="35">
        <f t="shared" si="32"/>
        <v>40968.061175799994</v>
      </c>
      <c r="BT41" s="34">
        <f t="shared" si="33"/>
        <v>44203.37299110699</v>
      </c>
      <c r="BU41" s="35"/>
      <c r="BV41" s="35"/>
      <c r="BW41" s="35">
        <f t="shared" si="34"/>
        <v>2955.5341458</v>
      </c>
      <c r="BX41" s="35">
        <f t="shared" si="35"/>
        <v>2955.5341458</v>
      </c>
      <c r="BY41" s="34">
        <f t="shared" si="36"/>
        <v>3188.9372961569998</v>
      </c>
      <c r="BZ41" s="35"/>
      <c r="CA41" s="35"/>
      <c r="CB41" s="35"/>
      <c r="CC41" s="35">
        <f t="shared" si="37"/>
        <v>0</v>
      </c>
      <c r="CD41" s="34"/>
      <c r="CE41" s="35"/>
      <c r="CF41" s="35"/>
      <c r="CG41" s="35">
        <f t="shared" si="38"/>
        <v>4792.4864922</v>
      </c>
      <c r="CH41" s="35">
        <f t="shared" si="39"/>
        <v>4792.4864922</v>
      </c>
      <c r="CI41" s="34">
        <f t="shared" si="40"/>
        <v>5170.956640113</v>
      </c>
      <c r="CJ41" s="35"/>
      <c r="CK41" s="35"/>
      <c r="CL41" s="35">
        <f t="shared" si="41"/>
        <v>68295.7995632</v>
      </c>
      <c r="CM41" s="35">
        <f t="shared" si="42"/>
        <v>68295.7995632</v>
      </c>
      <c r="CN41" s="34">
        <f t="shared" si="43"/>
        <v>73689.22558632799</v>
      </c>
      <c r="CQ41" s="5">
        <v>17</v>
      </c>
      <c r="CR41" s="35">
        <f t="shared" si="44"/>
        <v>17</v>
      </c>
      <c r="CS41" s="34">
        <v>18.429151509999997</v>
      </c>
      <c r="CX41" s="5"/>
      <c r="CY41" s="5"/>
      <c r="CZ41" s="5"/>
      <c r="DA41" s="5"/>
      <c r="DB41" s="5"/>
      <c r="DC41" s="5"/>
      <c r="DD41" s="5"/>
      <c r="DE41" s="5"/>
      <c r="DF41" s="5"/>
      <c r="DG41" s="5"/>
    </row>
    <row r="42" spans="1:111" ht="12.75">
      <c r="A42" s="36">
        <v>13971</v>
      </c>
      <c r="C42" s="3">
        <v>6465000</v>
      </c>
      <c r="D42" s="3">
        <v>221822</v>
      </c>
      <c r="E42" s="34">
        <f t="shared" si="0"/>
        <v>239339.62999999998</v>
      </c>
      <c r="I42" s="34">
        <f t="shared" si="45"/>
        <v>6465000</v>
      </c>
      <c r="J42" s="34">
        <f t="shared" si="1"/>
        <v>221822</v>
      </c>
      <c r="K42" s="34">
        <f t="shared" si="2"/>
        <v>6686822</v>
      </c>
      <c r="L42" s="34">
        <f t="shared" si="3"/>
        <v>239339.62999999998</v>
      </c>
      <c r="M42" s="35"/>
      <c r="N42" s="3"/>
      <c r="O42" s="35"/>
      <c r="P42" s="35">
        <f t="shared" si="4"/>
        <v>0</v>
      </c>
      <c r="Q42" s="34"/>
      <c r="S42" s="35">
        <f>'20 Yr Academic Project '!H42</f>
        <v>470174.88300000003</v>
      </c>
      <c r="T42" s="35">
        <f>'20 Yr Academic Project '!I42</f>
        <v>16132.2711364</v>
      </c>
      <c r="U42" s="35">
        <f t="shared" si="5"/>
        <v>486307.15413640003</v>
      </c>
      <c r="V42" s="34">
        <f>'20 Yr Academic Project '!K42</f>
        <v>17406.261799305998</v>
      </c>
      <c r="X42" s="35">
        <f t="shared" si="60"/>
        <v>5994825.312</v>
      </c>
      <c r="Y42" s="34">
        <f t="shared" si="46"/>
        <v>205689.64856959996</v>
      </c>
      <c r="Z42" s="35">
        <f t="shared" si="6"/>
        <v>6200514.9605696</v>
      </c>
      <c r="AA42" s="34">
        <f t="shared" si="47"/>
        <v>221933.36820069398</v>
      </c>
      <c r="AB42" s="35"/>
      <c r="AC42" s="35">
        <f t="shared" si="48"/>
        <v>6009.2175</v>
      </c>
      <c r="AD42" s="35">
        <f t="shared" si="7"/>
        <v>206.183549</v>
      </c>
      <c r="AE42" s="35">
        <f t="shared" si="8"/>
        <v>6215.401049</v>
      </c>
      <c r="AF42" s="34">
        <f t="shared" si="9"/>
        <v>222.46618608499998</v>
      </c>
      <c r="AH42" s="35">
        <f t="shared" si="49"/>
        <v>479313.1605</v>
      </c>
      <c r="AI42" s="35">
        <f t="shared" si="10"/>
        <v>16445.8165334</v>
      </c>
      <c r="AJ42" s="35">
        <f t="shared" si="11"/>
        <v>495758.9770334</v>
      </c>
      <c r="AK42" s="34">
        <f t="shared" si="12"/>
        <v>17744.568366311</v>
      </c>
      <c r="AM42" s="35">
        <f t="shared" si="50"/>
        <v>889287.9029999999</v>
      </c>
      <c r="AN42" s="35">
        <f t="shared" si="13"/>
        <v>30512.547752399998</v>
      </c>
      <c r="AO42" s="35">
        <f t="shared" si="14"/>
        <v>919800.4507524</v>
      </c>
      <c r="AP42" s="34">
        <f t="shared" si="15"/>
        <v>32922.171332945996</v>
      </c>
      <c r="AR42" s="35">
        <f t="shared" si="51"/>
        <v>1634.9985000000001</v>
      </c>
      <c r="AS42" s="35">
        <f t="shared" si="16"/>
        <v>56.09878380000001</v>
      </c>
      <c r="AT42" s="35">
        <f t="shared" si="17"/>
        <v>1691.0972838000002</v>
      </c>
      <c r="AU42" s="34">
        <f t="shared" si="18"/>
        <v>60.528992427</v>
      </c>
      <c r="AW42" s="35">
        <f t="shared" si="52"/>
        <v>1526.3864999999998</v>
      </c>
      <c r="AX42" s="35">
        <f t="shared" si="19"/>
        <v>52.372174199999996</v>
      </c>
      <c r="AY42" s="35">
        <f t="shared" si="20"/>
        <v>1578.7586741999999</v>
      </c>
      <c r="AZ42" s="34">
        <f t="shared" si="21"/>
        <v>56.50808664299999</v>
      </c>
      <c r="BA42" s="35"/>
      <c r="BB42" s="35">
        <f t="shared" si="53"/>
        <v>8873.859</v>
      </c>
      <c r="BC42" s="35">
        <f t="shared" si="22"/>
        <v>304.4728772</v>
      </c>
      <c r="BD42" s="35">
        <f t="shared" si="23"/>
        <v>9178.3318772</v>
      </c>
      <c r="BE42" s="34">
        <f t="shared" si="24"/>
        <v>328.517576138</v>
      </c>
      <c r="BF42" s="35"/>
      <c r="BG42" s="35">
        <f t="shared" si="54"/>
        <v>242899.7475</v>
      </c>
      <c r="BH42" s="35">
        <f t="shared" si="25"/>
        <v>8334.185273000001</v>
      </c>
      <c r="BI42" s="35">
        <f t="shared" si="26"/>
        <v>251233.932773</v>
      </c>
      <c r="BJ42" s="34">
        <f t="shared" si="27"/>
        <v>8992.348908545</v>
      </c>
      <c r="BK42" s="35"/>
      <c r="BL42" s="35">
        <f t="shared" si="55"/>
        <v>954471.9120000001</v>
      </c>
      <c r="BM42" s="35">
        <f t="shared" si="28"/>
        <v>32749.0902496</v>
      </c>
      <c r="BN42" s="35">
        <f t="shared" si="29"/>
        <v>987221.0022496001</v>
      </c>
      <c r="BO42" s="34">
        <f t="shared" si="30"/>
        <v>35335.337086384</v>
      </c>
      <c r="BP42" s="35"/>
      <c r="BQ42" s="35">
        <f t="shared" si="56"/>
        <v>1194013.7385</v>
      </c>
      <c r="BR42" s="35">
        <f t="shared" si="31"/>
        <v>40968.061175799994</v>
      </c>
      <c r="BS42" s="35">
        <f t="shared" si="32"/>
        <v>1234981.7996758</v>
      </c>
      <c r="BT42" s="34">
        <f t="shared" si="33"/>
        <v>44203.37299110699</v>
      </c>
      <c r="BU42" s="35"/>
      <c r="BV42" s="35">
        <f t="shared" si="57"/>
        <v>86139.0135</v>
      </c>
      <c r="BW42" s="35">
        <f t="shared" si="34"/>
        <v>2955.5341458</v>
      </c>
      <c r="BX42" s="35">
        <f t="shared" si="35"/>
        <v>89094.5476458</v>
      </c>
      <c r="BY42" s="34">
        <f t="shared" si="36"/>
        <v>3188.9372961569998</v>
      </c>
      <c r="BZ42" s="35"/>
      <c r="CA42" s="35"/>
      <c r="CB42" s="35"/>
      <c r="CC42" s="35">
        <f t="shared" si="37"/>
        <v>0</v>
      </c>
      <c r="CD42" s="34"/>
      <c r="CE42" s="35"/>
      <c r="CF42" s="35">
        <f t="shared" si="58"/>
        <v>139676.97149999999</v>
      </c>
      <c r="CG42" s="35">
        <f t="shared" si="38"/>
        <v>4792.4864922</v>
      </c>
      <c r="CH42" s="35">
        <f t="shared" si="39"/>
        <v>144469.45799219998</v>
      </c>
      <c r="CI42" s="34">
        <f t="shared" si="40"/>
        <v>5170.956640113</v>
      </c>
      <c r="CJ42" s="35"/>
      <c r="CK42" s="35">
        <f t="shared" si="59"/>
        <v>1990480.4039999999</v>
      </c>
      <c r="CL42" s="35">
        <f t="shared" si="41"/>
        <v>68295.7995632</v>
      </c>
      <c r="CM42" s="35">
        <f t="shared" si="42"/>
        <v>2058776.2035631998</v>
      </c>
      <c r="CN42" s="34">
        <f t="shared" si="43"/>
        <v>73689.22558632799</v>
      </c>
      <c r="CP42" s="5">
        <v>498</v>
      </c>
      <c r="CQ42" s="5">
        <v>17</v>
      </c>
      <c r="CR42" s="35">
        <f t="shared" si="44"/>
        <v>515</v>
      </c>
      <c r="CS42" s="34">
        <v>18.429151509999997</v>
      </c>
      <c r="CX42" s="5"/>
      <c r="CY42" s="5"/>
      <c r="CZ42" s="5"/>
      <c r="DA42" s="5"/>
      <c r="DB42" s="5"/>
      <c r="DC42" s="5"/>
      <c r="DD42" s="5"/>
      <c r="DE42" s="5"/>
      <c r="DF42" s="5"/>
      <c r="DG42" s="5"/>
    </row>
    <row r="43" spans="1:111" ht="12.75">
      <c r="A43" s="36">
        <v>14154</v>
      </c>
      <c r="D43" s="3">
        <v>112725</v>
      </c>
      <c r="E43" s="34">
        <f t="shared" si="0"/>
        <v>239339.62999999998</v>
      </c>
      <c r="I43" s="34">
        <f t="shared" si="45"/>
        <v>0</v>
      </c>
      <c r="J43" s="34">
        <f t="shared" si="1"/>
        <v>112725</v>
      </c>
      <c r="K43" s="34">
        <f t="shared" si="2"/>
        <v>112725</v>
      </c>
      <c r="L43" s="34">
        <f t="shared" si="3"/>
        <v>239339.62999999998</v>
      </c>
      <c r="M43" s="35"/>
      <c r="N43" s="3"/>
      <c r="O43" s="35"/>
      <c r="P43" s="35">
        <f t="shared" si="4"/>
        <v>0</v>
      </c>
      <c r="Q43" s="34"/>
      <c r="S43" s="35">
        <f>'20 Yr Academic Project '!H43</f>
        <v>0</v>
      </c>
      <c r="T43" s="35">
        <f>'20 Yr Academic Project '!I43</f>
        <v>8198.060894999999</v>
      </c>
      <c r="U43" s="35">
        <f t="shared" si="5"/>
        <v>8198.060894999999</v>
      </c>
      <c r="V43" s="34">
        <f>'20 Yr Academic Project '!K43</f>
        <v>17406.261799305998</v>
      </c>
      <c r="X43" s="35">
        <f t="shared" si="60"/>
        <v>0</v>
      </c>
      <c r="Y43" s="34">
        <f t="shared" si="46"/>
        <v>104527.25928</v>
      </c>
      <c r="Z43" s="35">
        <f t="shared" si="6"/>
        <v>104527.25928</v>
      </c>
      <c r="AA43" s="34">
        <f t="shared" si="47"/>
        <v>221933.36820069398</v>
      </c>
      <c r="AB43" s="35"/>
      <c r="AC43" s="35"/>
      <c r="AD43" s="35">
        <f t="shared" si="7"/>
        <v>104.7778875</v>
      </c>
      <c r="AE43" s="35">
        <f t="shared" si="8"/>
        <v>104.7778875</v>
      </c>
      <c r="AF43" s="34">
        <f t="shared" si="9"/>
        <v>222.46618608499998</v>
      </c>
      <c r="AH43" s="35"/>
      <c r="AI43" s="35">
        <f t="shared" si="10"/>
        <v>8357.3976825</v>
      </c>
      <c r="AJ43" s="35">
        <f t="shared" si="11"/>
        <v>8357.3976825</v>
      </c>
      <c r="AK43" s="34">
        <f t="shared" si="12"/>
        <v>17744.568366311</v>
      </c>
      <c r="AM43" s="35"/>
      <c r="AN43" s="35">
        <f t="shared" si="13"/>
        <v>15505.797195</v>
      </c>
      <c r="AO43" s="35">
        <f t="shared" si="14"/>
        <v>15505.797195</v>
      </c>
      <c r="AP43" s="34">
        <f t="shared" si="15"/>
        <v>32922.171332945996</v>
      </c>
      <c r="AR43" s="35"/>
      <c r="AS43" s="35">
        <f t="shared" si="16"/>
        <v>28.5081525</v>
      </c>
      <c r="AT43" s="35">
        <f t="shared" si="17"/>
        <v>28.5081525</v>
      </c>
      <c r="AU43" s="34">
        <f t="shared" si="18"/>
        <v>60.528992427</v>
      </c>
      <c r="AW43" s="35"/>
      <c r="AX43" s="35">
        <f t="shared" si="19"/>
        <v>26.614372499999998</v>
      </c>
      <c r="AY43" s="35">
        <f t="shared" si="20"/>
        <v>26.614372499999998</v>
      </c>
      <c r="AZ43" s="34">
        <f t="shared" si="21"/>
        <v>56.50808664299999</v>
      </c>
      <c r="BA43" s="35"/>
      <c r="BB43" s="35"/>
      <c r="BC43" s="35">
        <f t="shared" si="22"/>
        <v>154.726335</v>
      </c>
      <c r="BD43" s="35">
        <f t="shared" si="23"/>
        <v>154.726335</v>
      </c>
      <c r="BE43" s="34">
        <f t="shared" si="24"/>
        <v>328.517576138</v>
      </c>
      <c r="BF43" s="35"/>
      <c r="BG43" s="35"/>
      <c r="BH43" s="35">
        <f t="shared" si="25"/>
        <v>4235.2473375</v>
      </c>
      <c r="BI43" s="35">
        <f t="shared" si="26"/>
        <v>4235.2473375</v>
      </c>
      <c r="BJ43" s="34">
        <f t="shared" si="27"/>
        <v>8992.348908545</v>
      </c>
      <c r="BK43" s="35"/>
      <c r="BL43" s="35"/>
      <c r="BM43" s="35">
        <f t="shared" si="28"/>
        <v>16642.35828</v>
      </c>
      <c r="BN43" s="35">
        <f t="shared" si="29"/>
        <v>16642.35828</v>
      </c>
      <c r="BO43" s="34">
        <f t="shared" si="30"/>
        <v>35335.337086384</v>
      </c>
      <c r="BP43" s="35"/>
      <c r="BQ43" s="35"/>
      <c r="BR43" s="35">
        <f t="shared" si="31"/>
        <v>20819.0562525</v>
      </c>
      <c r="BS43" s="35">
        <f t="shared" si="32"/>
        <v>20819.0562525</v>
      </c>
      <c r="BT43" s="34">
        <f t="shared" si="33"/>
        <v>44203.37299110699</v>
      </c>
      <c r="BU43" s="35"/>
      <c r="BV43" s="35"/>
      <c r="BW43" s="35">
        <f t="shared" si="34"/>
        <v>1501.9366275</v>
      </c>
      <c r="BX43" s="35">
        <f t="shared" si="35"/>
        <v>1501.9366275</v>
      </c>
      <c r="BY43" s="34">
        <f t="shared" si="36"/>
        <v>3188.9372961569998</v>
      </c>
      <c r="BZ43" s="35"/>
      <c r="CA43" s="35"/>
      <c r="CB43" s="35"/>
      <c r="CC43" s="35">
        <f t="shared" si="37"/>
        <v>0</v>
      </c>
      <c r="CD43" s="34"/>
      <c r="CE43" s="35"/>
      <c r="CF43" s="35"/>
      <c r="CG43" s="35">
        <f t="shared" si="38"/>
        <v>2435.4348975</v>
      </c>
      <c r="CH43" s="35">
        <f t="shared" si="39"/>
        <v>2435.4348975</v>
      </c>
      <c r="CI43" s="34">
        <f t="shared" si="40"/>
        <v>5170.956640113</v>
      </c>
      <c r="CJ43" s="35"/>
      <c r="CK43" s="35"/>
      <c r="CL43" s="35">
        <f t="shared" si="41"/>
        <v>34706.404259999996</v>
      </c>
      <c r="CM43" s="35">
        <f t="shared" si="42"/>
        <v>34706.404259999996</v>
      </c>
      <c r="CN43" s="34">
        <f t="shared" si="43"/>
        <v>73689.22558632799</v>
      </c>
      <c r="CQ43" s="5">
        <v>9</v>
      </c>
      <c r="CR43" s="35">
        <f t="shared" si="44"/>
        <v>9</v>
      </c>
      <c r="CS43" s="34">
        <v>18.429151509999997</v>
      </c>
      <c r="CX43" s="5"/>
      <c r="CY43" s="5"/>
      <c r="CZ43" s="5"/>
      <c r="DA43" s="5"/>
      <c r="DB43" s="5"/>
      <c r="DC43" s="5"/>
      <c r="DD43" s="5"/>
      <c r="DE43" s="5"/>
      <c r="DF43" s="5"/>
      <c r="DG43" s="5"/>
    </row>
    <row r="44" spans="1:111" ht="12.75">
      <c r="A44" s="36">
        <v>14336</v>
      </c>
      <c r="C44" s="3">
        <v>6680000</v>
      </c>
      <c r="D44" s="3">
        <v>112725</v>
      </c>
      <c r="E44" s="34">
        <f t="shared" si="0"/>
        <v>239339.62999999998</v>
      </c>
      <c r="I44" s="34">
        <f t="shared" si="45"/>
        <v>6680000</v>
      </c>
      <c r="J44" s="34">
        <f t="shared" si="1"/>
        <v>112725</v>
      </c>
      <c r="K44" s="34">
        <f t="shared" si="2"/>
        <v>6792725</v>
      </c>
      <c r="L44" s="34">
        <f t="shared" si="3"/>
        <v>239339.62999999998</v>
      </c>
      <c r="M44" s="35"/>
      <c r="N44" s="3"/>
      <c r="O44" s="35"/>
      <c r="P44" s="35">
        <f t="shared" si="4"/>
        <v>0</v>
      </c>
      <c r="Q44" s="34"/>
      <c r="S44" s="35">
        <f>'20 Yr Academic Project '!H44</f>
        <v>485811.016</v>
      </c>
      <c r="T44" s="35">
        <f>'20 Yr Academic Project '!I44</f>
        <v>8198.060894999999</v>
      </c>
      <c r="U44" s="35">
        <f t="shared" si="5"/>
        <v>494009.076895</v>
      </c>
      <c r="V44" s="34">
        <f>'20 Yr Academic Project '!K44</f>
        <v>17406.261799305998</v>
      </c>
      <c r="X44" s="35">
        <f t="shared" si="60"/>
        <v>6194188.624</v>
      </c>
      <c r="Y44" s="34">
        <f t="shared" si="46"/>
        <v>104527.25928</v>
      </c>
      <c r="Z44" s="35">
        <f t="shared" si="6"/>
        <v>6298715.88328</v>
      </c>
      <c r="AA44" s="34">
        <f t="shared" si="47"/>
        <v>221933.36820069398</v>
      </c>
      <c r="AB44" s="35"/>
      <c r="AC44" s="35">
        <f t="shared" si="48"/>
        <v>6209.0599999999995</v>
      </c>
      <c r="AD44" s="35">
        <f t="shared" si="7"/>
        <v>104.7778875</v>
      </c>
      <c r="AE44" s="35">
        <f t="shared" si="8"/>
        <v>6313.8378875</v>
      </c>
      <c r="AF44" s="34">
        <f t="shared" si="9"/>
        <v>222.46618608499998</v>
      </c>
      <c r="AH44" s="35">
        <f t="shared" si="49"/>
        <v>495253.196</v>
      </c>
      <c r="AI44" s="35">
        <f t="shared" si="10"/>
        <v>8357.3976825</v>
      </c>
      <c r="AJ44" s="35">
        <f t="shared" si="11"/>
        <v>503610.5936825</v>
      </c>
      <c r="AK44" s="34">
        <f t="shared" si="12"/>
        <v>17744.568366311</v>
      </c>
      <c r="AM44" s="35">
        <f t="shared" si="50"/>
        <v>918862.0559999999</v>
      </c>
      <c r="AN44" s="35">
        <f t="shared" si="13"/>
        <v>15505.797195</v>
      </c>
      <c r="AO44" s="35">
        <f t="shared" si="14"/>
        <v>934367.8531949999</v>
      </c>
      <c r="AP44" s="34">
        <f t="shared" si="15"/>
        <v>32922.171332945996</v>
      </c>
      <c r="AR44" s="35">
        <f t="shared" si="51"/>
        <v>1689.372</v>
      </c>
      <c r="AS44" s="35">
        <f t="shared" si="16"/>
        <v>28.5081525</v>
      </c>
      <c r="AT44" s="35">
        <f t="shared" si="17"/>
        <v>1717.8801525000001</v>
      </c>
      <c r="AU44" s="34">
        <f t="shared" si="18"/>
        <v>60.528992427</v>
      </c>
      <c r="AW44" s="35">
        <f t="shared" si="52"/>
        <v>1577.148</v>
      </c>
      <c r="AX44" s="35">
        <f t="shared" si="19"/>
        <v>26.614372499999998</v>
      </c>
      <c r="AY44" s="35">
        <f t="shared" si="20"/>
        <v>1603.7623724999999</v>
      </c>
      <c r="AZ44" s="34">
        <f t="shared" si="21"/>
        <v>56.50808664299999</v>
      </c>
      <c r="BA44" s="35"/>
      <c r="BB44" s="35">
        <f t="shared" si="53"/>
        <v>9168.968</v>
      </c>
      <c r="BC44" s="35">
        <f t="shared" si="22"/>
        <v>154.726335</v>
      </c>
      <c r="BD44" s="35">
        <f t="shared" si="23"/>
        <v>9323.694335</v>
      </c>
      <c r="BE44" s="34">
        <f t="shared" si="24"/>
        <v>328.517576138</v>
      </c>
      <c r="BF44" s="35"/>
      <c r="BG44" s="35">
        <f t="shared" si="54"/>
        <v>250977.62</v>
      </c>
      <c r="BH44" s="35">
        <f t="shared" si="25"/>
        <v>4235.2473375</v>
      </c>
      <c r="BI44" s="35">
        <f t="shared" si="26"/>
        <v>255212.8673375</v>
      </c>
      <c r="BJ44" s="34">
        <f t="shared" si="27"/>
        <v>8992.348908545</v>
      </c>
      <c r="BK44" s="35"/>
      <c r="BL44" s="35">
        <f t="shared" si="55"/>
        <v>986213.8240000001</v>
      </c>
      <c r="BM44" s="35">
        <f t="shared" si="28"/>
        <v>16642.35828</v>
      </c>
      <c r="BN44" s="35">
        <f t="shared" si="29"/>
        <v>1002856.1822800002</v>
      </c>
      <c r="BO44" s="34">
        <f t="shared" si="30"/>
        <v>35335.337086384</v>
      </c>
      <c r="BP44" s="35"/>
      <c r="BQ44" s="35">
        <f t="shared" si="56"/>
        <v>1233721.852</v>
      </c>
      <c r="BR44" s="35">
        <f t="shared" si="31"/>
        <v>20819.0562525</v>
      </c>
      <c r="BS44" s="35">
        <f t="shared" si="32"/>
        <v>1254540.9082525</v>
      </c>
      <c r="BT44" s="34">
        <f t="shared" si="33"/>
        <v>44203.37299110699</v>
      </c>
      <c r="BU44" s="35"/>
      <c r="BV44" s="35">
        <f t="shared" si="57"/>
        <v>89003.652</v>
      </c>
      <c r="BW44" s="35">
        <f t="shared" si="34"/>
        <v>1501.9366275</v>
      </c>
      <c r="BX44" s="35">
        <f t="shared" si="35"/>
        <v>90505.58862750001</v>
      </c>
      <c r="BY44" s="34">
        <f t="shared" si="36"/>
        <v>3188.9372961569998</v>
      </c>
      <c r="BZ44" s="35"/>
      <c r="CA44" s="35"/>
      <c r="CB44" s="35"/>
      <c r="CC44" s="35">
        <f t="shared" si="37"/>
        <v>0</v>
      </c>
      <c r="CD44" s="34"/>
      <c r="CE44" s="35"/>
      <c r="CF44" s="35">
        <f t="shared" si="58"/>
        <v>144322.068</v>
      </c>
      <c r="CG44" s="35">
        <f t="shared" si="38"/>
        <v>2435.4348975</v>
      </c>
      <c r="CH44" s="35">
        <f t="shared" si="39"/>
        <v>146757.5028975</v>
      </c>
      <c r="CI44" s="34">
        <f t="shared" si="40"/>
        <v>5170.956640113</v>
      </c>
      <c r="CJ44" s="35"/>
      <c r="CK44" s="35">
        <f t="shared" si="59"/>
        <v>2056675.808</v>
      </c>
      <c r="CL44" s="35">
        <f t="shared" si="41"/>
        <v>34706.404259999996</v>
      </c>
      <c r="CM44" s="35">
        <f t="shared" si="42"/>
        <v>2091382.21226</v>
      </c>
      <c r="CN44" s="34">
        <f t="shared" si="43"/>
        <v>73689.22558632799</v>
      </c>
      <c r="CP44" s="5">
        <v>514</v>
      </c>
      <c r="CQ44" s="5">
        <v>9</v>
      </c>
      <c r="CR44" s="35">
        <f t="shared" si="44"/>
        <v>523</v>
      </c>
      <c r="CS44" s="34">
        <v>18.429151509999997</v>
      </c>
      <c r="CX44" s="5"/>
      <c r="CY44" s="5"/>
      <c r="CZ44" s="5"/>
      <c r="DA44" s="5"/>
      <c r="DB44" s="5"/>
      <c r="DC44" s="5"/>
      <c r="DD44" s="5"/>
      <c r="DE44" s="5"/>
      <c r="DF44" s="5"/>
      <c r="DG44" s="5"/>
    </row>
    <row r="45" spans="2:111" ht="12.75"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s="35"/>
      <c r="O45" s="35"/>
      <c r="P45" s="35"/>
      <c r="Q45" s="34"/>
      <c r="S45" s="35"/>
      <c r="T45" s="35"/>
      <c r="U45" s="35"/>
      <c r="V45" s="34"/>
      <c r="X45" s="35"/>
      <c r="Y45" s="34"/>
      <c r="Z45" s="5"/>
      <c r="AA45" s="34"/>
      <c r="AB45" s="5"/>
      <c r="AC45" s="5"/>
      <c r="AD45" s="5"/>
      <c r="AE45" s="5"/>
      <c r="AF45" s="34"/>
      <c r="AH45" s="35"/>
      <c r="AI45" s="35"/>
      <c r="AJ45" s="5"/>
      <c r="AK45" s="34"/>
      <c r="AN45" s="35"/>
      <c r="AO45" s="35"/>
      <c r="AP45" s="34"/>
      <c r="AS45" s="35"/>
      <c r="AT45" s="35"/>
      <c r="AU45" s="34"/>
      <c r="AZ45" s="34"/>
      <c r="BE45" s="34"/>
      <c r="BJ45" s="34"/>
      <c r="BO45" s="34"/>
      <c r="BT45" s="34"/>
      <c r="BY45" s="34"/>
      <c r="CD45" s="34"/>
      <c r="CI45" s="34"/>
      <c r="CN45" s="34"/>
      <c r="CQ45" s="35"/>
      <c r="CR45" s="35"/>
      <c r="CS45" s="34"/>
      <c r="CX45" s="5"/>
      <c r="CY45" s="5"/>
      <c r="CZ45" s="5"/>
      <c r="DA45" s="5"/>
      <c r="DB45" s="5"/>
      <c r="DC45" s="5"/>
      <c r="DD45" s="5"/>
      <c r="DE45" s="5"/>
      <c r="DF45" s="5"/>
      <c r="DG45" s="5"/>
    </row>
    <row r="46" spans="1:111" ht="13.5" thickBot="1">
      <c r="A46" s="38" t="s">
        <v>4</v>
      </c>
      <c r="C46" s="39">
        <f aca="true" t="shared" si="61" ref="C46:L46">SUM(C9:C45)</f>
        <v>89305000</v>
      </c>
      <c r="D46" s="39">
        <f t="shared" si="61"/>
        <v>35014026</v>
      </c>
      <c r="E46" s="39">
        <f t="shared" si="61"/>
        <v>8616226.679999998</v>
      </c>
      <c r="F46" s="39">
        <f t="shared" si="61"/>
        <v>16830000</v>
      </c>
      <c r="G46" s="39">
        <f t="shared" si="61"/>
        <v>4001000</v>
      </c>
      <c r="H46" s="39">
        <f t="shared" si="61"/>
        <v>1655936</v>
      </c>
      <c r="I46" s="39">
        <f t="shared" si="61"/>
        <v>106135000</v>
      </c>
      <c r="J46" s="39">
        <f t="shared" si="61"/>
        <v>39015026</v>
      </c>
      <c r="K46" s="39">
        <f t="shared" si="61"/>
        <v>145150026</v>
      </c>
      <c r="L46" s="39">
        <f t="shared" si="61"/>
        <v>10272162.680000003</v>
      </c>
      <c r="N46" s="39">
        <f>SUM(N9:N45)</f>
        <v>16830000</v>
      </c>
      <c r="O46" s="39">
        <f>SUM(O9:O45)</f>
        <v>4001000</v>
      </c>
      <c r="P46" s="39">
        <f>SUM(P9:P45)</f>
        <v>20831000</v>
      </c>
      <c r="Q46" s="39">
        <f>SUM(Q9:Q45)</f>
        <v>1655936</v>
      </c>
      <c r="S46" s="39">
        <f>SUM(S9:S45)</f>
        <v>6494813.291</v>
      </c>
      <c r="T46" s="39">
        <f>SUM(T9:T45)</f>
        <v>2546437.0576812</v>
      </c>
      <c r="U46" s="39">
        <f>SUM(U9:U45)</f>
        <v>9041250.348681198</v>
      </c>
      <c r="V46" s="39">
        <f>SUM(V9:V45)</f>
        <v>626625.4247750165</v>
      </c>
      <c r="X46" s="39">
        <f>SUM(X9:X45)</f>
        <v>82810186.224</v>
      </c>
      <c r="Y46" s="39">
        <f>SUM(Y9:Y45)</f>
        <v>32467589.068691805</v>
      </c>
      <c r="Z46" s="39">
        <f>SUM(Z9:Z45)</f>
        <v>115277775.29269181</v>
      </c>
      <c r="AA46" s="39">
        <f>SUM(AA9:AA45)</f>
        <v>7989601.255224989</v>
      </c>
      <c r="AB46" s="34"/>
      <c r="AC46" s="39">
        <f>SUM(AC9:AC45)</f>
        <v>83008.99750000001</v>
      </c>
      <c r="AD46" s="39">
        <f>SUM(AD9:AD45)</f>
        <v>32545.537167000006</v>
      </c>
      <c r="AE46" s="39">
        <f>SUM(AE9:AE45)</f>
        <v>115554.53466700001</v>
      </c>
      <c r="AF46" s="39">
        <f>SUM(AF9:AF45)</f>
        <v>8008.782699060002</v>
      </c>
      <c r="AH46" s="39">
        <f>SUM(AH9:AH45)</f>
        <v>6621045.908499999</v>
      </c>
      <c r="AI46" s="39">
        <f>SUM(AI9:AI45)</f>
        <v>2595929.383432201</v>
      </c>
      <c r="AJ46" s="39">
        <f>SUM(AJ9:AJ45)</f>
        <v>9216975.291932197</v>
      </c>
      <c r="AK46" s="39">
        <f>SUM(AK9:AK45)</f>
        <v>638804.4611871964</v>
      </c>
      <c r="AM46" s="39">
        <f>SUM(AM9:AM45)</f>
        <v>12284277.830999995</v>
      </c>
      <c r="AN46" s="39">
        <f>SUM(AN9:AN45)</f>
        <v>4816326.335209199</v>
      </c>
      <c r="AO46" s="39">
        <f>SUM(AO9:AO45)</f>
        <v>17100604.166209195</v>
      </c>
      <c r="AP46" s="39">
        <f>SUM(AP9:AP45)</f>
        <v>1185198.1679860568</v>
      </c>
      <c r="AR46" s="39">
        <f>SUM(AR9:AR45)</f>
        <v>22585.234500000002</v>
      </c>
      <c r="AS46" s="39">
        <f>SUM(AS9:AS45)</f>
        <v>8855.047175400003</v>
      </c>
      <c r="AT46" s="39">
        <f>SUM(AT9:AT45)</f>
        <v>31440.281675400005</v>
      </c>
      <c r="AU46" s="39">
        <f>SUM(AU9:AU45)</f>
        <v>2179.0437273720013</v>
      </c>
      <c r="AW46" s="39">
        <f>SUM(AW9:AW45)</f>
        <v>21084.9105</v>
      </c>
      <c r="AX46" s="39">
        <f>SUM(AX9:AX45)</f>
        <v>8266.811538600003</v>
      </c>
      <c r="AY46" s="39">
        <f>SUM(AY9:AY45)</f>
        <v>29351.7220386</v>
      </c>
      <c r="AZ46" s="39">
        <f>SUM(AZ9:AZ45)</f>
        <v>2034.291119148001</v>
      </c>
      <c r="BA46" s="34"/>
      <c r="BB46" s="39">
        <f>SUM(BB9:BB45)</f>
        <v>122580.04299999998</v>
      </c>
      <c r="BC46" s="39">
        <f>SUM(BC9:BC45)</f>
        <v>48060.25208760002</v>
      </c>
      <c r="BD46" s="39">
        <f>SUM(BD9:BD45)</f>
        <v>170640.29508760004</v>
      </c>
      <c r="BE46" s="39">
        <f>SUM(BE9:BE45)</f>
        <v>11826.632740967993</v>
      </c>
      <c r="BF46" s="34"/>
      <c r="BG46" s="39">
        <f>SUM(BG9:BG45)</f>
        <v>3355322.8075</v>
      </c>
      <c r="BH46" s="39">
        <f>SUM(BH9:BH45)</f>
        <v>1315529.4778590002</v>
      </c>
      <c r="BI46" s="39">
        <f>SUM(BI9:BI45)</f>
        <v>4670852.285359</v>
      </c>
      <c r="BJ46" s="39">
        <f>SUM(BJ9:BJ45)</f>
        <v>323724.56070762005</v>
      </c>
      <c r="BK46" s="34"/>
      <c r="BL46" s="39">
        <f>SUM(BL9:BL45)</f>
        <v>13184704.424000002</v>
      </c>
      <c r="BM46" s="39">
        <f>SUM(BM9:BM45)</f>
        <v>5169358.7537568025</v>
      </c>
      <c r="BN46" s="39">
        <f>SUM(BN9:BN45)</f>
        <v>18354063.1777568</v>
      </c>
      <c r="BO46" s="39">
        <f>SUM(BO9:BO45)</f>
        <v>1272072.1351098232</v>
      </c>
      <c r="BP46" s="34"/>
      <c r="BQ46" s="39">
        <f>SUM(BQ9:BQ45)</f>
        <v>16493642.2145</v>
      </c>
      <c r="BR46" s="39">
        <f>SUM(BR9:BR45)</f>
        <v>6466701.9465114</v>
      </c>
      <c r="BS46" s="39">
        <f>SUM(BS9:BS45)</f>
        <v>22960344.161011398</v>
      </c>
      <c r="BT46" s="39">
        <f>SUM(BT9:BT45)</f>
        <v>1591321.4276798505</v>
      </c>
      <c r="BU46" s="34"/>
      <c r="BV46" s="39">
        <f>SUM(BV9:BV45)</f>
        <v>1189890.8894999998</v>
      </c>
      <c r="BW46" s="39">
        <f>SUM(BW9:BW45)</f>
        <v>466523.38102140016</v>
      </c>
      <c r="BX46" s="39">
        <f>SUM(BX9:BX45)</f>
        <v>1656414.2705213996</v>
      </c>
      <c r="BY46" s="39">
        <f>SUM(BY9:BY45)</f>
        <v>114801.74266165204</v>
      </c>
      <c r="BZ46" s="34"/>
      <c r="CA46" s="39">
        <f>SUM(CA9:CA45)</f>
        <v>6876</v>
      </c>
      <c r="CB46" s="39">
        <f>SUM(CB9:CB45)</f>
        <v>311.206375</v>
      </c>
      <c r="CC46" s="39">
        <f>SUM(CC9:CC45)</f>
        <v>7187.206375</v>
      </c>
      <c r="CD46" s="39">
        <f>SUM(CD9:CD45)</f>
        <v>36.858303019999994</v>
      </c>
      <c r="CE46" s="34"/>
      <c r="CF46" s="39">
        <f>SUM(CF9:CF45)</f>
        <v>1929443.4554999997</v>
      </c>
      <c r="CG46" s="39">
        <f>SUM(CG9:CG45)</f>
        <v>756481.5331325996</v>
      </c>
      <c r="CH46" s="39">
        <f>SUM(CH9:CH45)</f>
        <v>2685924.9886326003</v>
      </c>
      <c r="CI46" s="39">
        <f>SUM(CI9:CI45)</f>
        <v>186154.43904406799</v>
      </c>
      <c r="CJ46" s="34"/>
      <c r="CK46" s="39">
        <f>SUM(CK9:CK45)</f>
        <v>27495723.507999994</v>
      </c>
      <c r="CL46" s="39">
        <f>SUM(CL9:CL45)</f>
        <v>10780314.403425604</v>
      </c>
      <c r="CM46" s="39">
        <f>SUM(CM9:CM45)</f>
        <v>38276037.91142559</v>
      </c>
      <c r="CN46" s="39">
        <f>SUM(CN9:CN45)</f>
        <v>2652812.1211078083</v>
      </c>
      <c r="CP46" s="39">
        <f>SUM(CP9:CP45)</f>
        <v>0</v>
      </c>
      <c r="CQ46" s="39">
        <f>SUM(CQ9:CQ45)</f>
        <v>2385</v>
      </c>
      <c r="CR46" s="39">
        <f>SUM(CR9:CR45)</f>
        <v>2385</v>
      </c>
      <c r="CS46" s="39">
        <f>SUM(CS9:CS45)</f>
        <v>626.5911513399999</v>
      </c>
      <c r="CX46" s="5"/>
      <c r="CY46" s="5"/>
      <c r="CZ46" s="5"/>
      <c r="DA46" s="5"/>
      <c r="DB46" s="5"/>
      <c r="DC46" s="5"/>
      <c r="DD46" s="5"/>
      <c r="DE46" s="5"/>
      <c r="DF46" s="5"/>
      <c r="DG46" s="5"/>
    </row>
    <row r="47" spans="34:111" ht="13.5" thickTop="1">
      <c r="AH47" s="5"/>
      <c r="AI47" s="5"/>
      <c r="AJ47" s="5"/>
      <c r="AK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</row>
    <row r="48" spans="5:111" ht="12.75">
      <c r="E48" s="113">
        <f>C46/I46</f>
        <v>0.8414283695293729</v>
      </c>
      <c r="H48" s="113">
        <f>F46/I46</f>
        <v>0.15857163047062703</v>
      </c>
      <c r="Y48" s="5"/>
      <c r="AH48" s="5"/>
      <c r="AI48" s="5"/>
      <c r="AJ48" s="5"/>
      <c r="AK48" s="5"/>
      <c r="CP48" s="5">
        <f>CP46+CA46</f>
        <v>6876</v>
      </c>
      <c r="CQ48" s="5">
        <f>CQ46+CB46</f>
        <v>2696.2063749999998</v>
      </c>
      <c r="CR48" s="5">
        <f>CR46+CC46</f>
        <v>9572.206375</v>
      </c>
      <c r="CS48" s="5">
        <f>CS46+CD46</f>
        <v>663.4494543599999</v>
      </c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</row>
    <row r="49" spans="9:111" ht="12.75">
      <c r="I49" s="3">
        <f>N46+S46+X46</f>
        <v>106134999.51500002</v>
      </c>
      <c r="J49" s="3">
        <f>O46+T46+Y46</f>
        <v>39015026.12637301</v>
      </c>
      <c r="K49" s="3">
        <f>P46+U46+Z46</f>
        <v>145150025.641373</v>
      </c>
      <c r="L49" s="3">
        <f>Q46+V46+AA46</f>
        <v>10272162.680000005</v>
      </c>
      <c r="AH49" s="5"/>
      <c r="AI49" s="5"/>
      <c r="AJ49" s="5"/>
      <c r="AK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</row>
    <row r="50" spans="34:111" ht="12.75">
      <c r="AH50" s="5"/>
      <c r="AI50" s="5"/>
      <c r="AJ50" s="5"/>
      <c r="AK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</row>
    <row r="51" spans="34:111" ht="12.75">
      <c r="AH51" s="5"/>
      <c r="AI51" s="5"/>
      <c r="AJ51" s="5"/>
      <c r="AK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</row>
    <row r="52" spans="34:111" ht="12.75">
      <c r="AH52" s="5"/>
      <c r="AI52" s="5"/>
      <c r="AJ52" s="5"/>
      <c r="AK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</row>
    <row r="53" spans="34:111" ht="12.75">
      <c r="AH53" s="5"/>
      <c r="AI53" s="5"/>
      <c r="AJ53" s="5"/>
      <c r="AK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</row>
    <row r="54" spans="1:111" ht="12.75">
      <c r="A54"/>
      <c r="AH54" s="5"/>
      <c r="AI54" s="5"/>
      <c r="AJ54" s="5"/>
      <c r="AK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</row>
    <row r="55" spans="1:111" ht="12.75">
      <c r="A55"/>
      <c r="AH55" s="5"/>
      <c r="AI55" s="5"/>
      <c r="AJ55" s="5"/>
      <c r="AK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</row>
    <row r="56" spans="1:111" ht="12.75">
      <c r="A56"/>
      <c r="AH56" s="5"/>
      <c r="AI56" s="5"/>
      <c r="AJ56" s="5"/>
      <c r="AK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</row>
    <row r="57" spans="1:111" ht="12.75">
      <c r="A57"/>
      <c r="AH57" s="5"/>
      <c r="AI57" s="5"/>
      <c r="AJ57" s="5"/>
      <c r="AK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</row>
    <row r="58" spans="1:111" ht="12.75">
      <c r="A58"/>
      <c r="AH58" s="5"/>
      <c r="AI58" s="5"/>
      <c r="AJ58" s="5"/>
      <c r="AK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</row>
    <row r="59" spans="1:111" ht="12.75">
      <c r="A59"/>
      <c r="N59"/>
      <c r="O59"/>
      <c r="P59"/>
      <c r="Q59"/>
      <c r="S59"/>
      <c r="T59"/>
      <c r="U59"/>
      <c r="V59"/>
      <c r="AH59" s="5"/>
      <c r="AI59" s="5"/>
      <c r="AJ59" s="5"/>
      <c r="AK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</row>
    <row r="60" spans="1:111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AG60"/>
      <c r="AH60" s="5"/>
      <c r="AI60" s="5"/>
      <c r="AJ60" s="5"/>
      <c r="AK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</row>
    <row r="61" spans="1:111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AG61"/>
      <c r="AH61" s="5"/>
      <c r="AI61" s="5"/>
      <c r="AJ61" s="5"/>
      <c r="AK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</row>
    <row r="62" spans="1:111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AG62"/>
      <c r="AH62" s="5"/>
      <c r="AI62" s="5"/>
      <c r="AJ62" s="5"/>
      <c r="AK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</row>
    <row r="63" spans="1:111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AG63"/>
      <c r="AH63" s="5"/>
      <c r="AI63" s="5"/>
      <c r="AJ63" s="5"/>
      <c r="AK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</row>
    <row r="64" spans="1:111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AG64"/>
      <c r="AH64" s="5"/>
      <c r="AI64" s="5"/>
      <c r="AJ64" s="5"/>
      <c r="AK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</row>
    <row r="65" spans="1:111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AG65"/>
      <c r="AH65" s="5"/>
      <c r="AI65" s="5"/>
      <c r="AJ65" s="5"/>
      <c r="AK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</row>
    <row r="66" spans="1:111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AG66"/>
      <c r="AH66" s="5"/>
      <c r="AI66" s="5"/>
      <c r="AJ66" s="5"/>
      <c r="AK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</row>
    <row r="67" spans="1:111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AG67"/>
      <c r="AH67" s="5"/>
      <c r="AI67" s="5"/>
      <c r="AJ67" s="5"/>
      <c r="AK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</row>
    <row r="68" spans="1:111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AG68"/>
      <c r="AH68" s="5"/>
      <c r="AI68" s="5"/>
      <c r="AJ68" s="5"/>
      <c r="AK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</row>
    <row r="69" spans="1:111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AG69"/>
      <c r="AH69" s="5"/>
      <c r="AI69" s="5"/>
      <c r="AJ69" s="5"/>
      <c r="AK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</row>
    <row r="70" spans="1:111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AG70"/>
      <c r="AH70" s="5"/>
      <c r="AI70" s="5"/>
      <c r="AJ70" s="5"/>
      <c r="AK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</row>
    <row r="71" spans="1:111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AG71"/>
      <c r="AH71" s="5"/>
      <c r="AI71" s="5"/>
      <c r="AJ71" s="5"/>
      <c r="AK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</row>
    <row r="72" spans="1:111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AG72"/>
      <c r="AH72" s="5"/>
      <c r="AI72" s="5"/>
      <c r="AJ72" s="5"/>
      <c r="AK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</row>
    <row r="73" spans="1:111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AG73"/>
      <c r="AH73" s="5"/>
      <c r="AI73" s="5"/>
      <c r="AJ73" s="5"/>
      <c r="AK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</row>
    <row r="74" spans="1:111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AG74"/>
      <c r="AH74" s="5"/>
      <c r="AI74" s="5"/>
      <c r="AJ74" s="5"/>
      <c r="AK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</row>
    <row r="75" spans="1:111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AG75"/>
      <c r="AH75" s="5"/>
      <c r="AI75" s="5"/>
      <c r="AJ75" s="5"/>
      <c r="AK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</row>
    <row r="76" spans="1:111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AG76"/>
      <c r="AH76" s="5"/>
      <c r="AI76" s="5"/>
      <c r="AJ76" s="5"/>
      <c r="AK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</row>
    <row r="77" spans="1:111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AG77"/>
      <c r="AH77" s="5"/>
      <c r="AI77" s="5"/>
      <c r="AJ77" s="5"/>
      <c r="AK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</row>
    <row r="78" spans="1:111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AG78"/>
      <c r="AH78" s="5"/>
      <c r="AI78" s="5"/>
      <c r="AJ78" s="5"/>
      <c r="AK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</row>
    <row r="79" spans="1:111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AG79"/>
      <c r="AH79" s="5"/>
      <c r="AI79" s="5"/>
      <c r="AJ79" s="5"/>
      <c r="AK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</row>
    <row r="80" spans="1:111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AG80"/>
      <c r="AH80" s="5"/>
      <c r="AI80" s="5"/>
      <c r="AJ80" s="5"/>
      <c r="AK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</row>
    <row r="81" spans="3:11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AG81"/>
      <c r="AH81" s="5"/>
      <c r="AI81" s="5"/>
      <c r="AJ81" s="5"/>
      <c r="AK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</row>
    <row r="82" spans="3:111" ht="12.75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AG82"/>
      <c r="AH82" s="5"/>
      <c r="AI82" s="5"/>
      <c r="AJ82" s="5"/>
      <c r="AK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</row>
    <row r="83" spans="3:111" ht="12.75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AG83"/>
      <c r="AH83" s="5"/>
      <c r="AI83" s="5"/>
      <c r="AJ83" s="5"/>
      <c r="AK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</row>
    <row r="84" spans="3:111" ht="12.75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AG84"/>
      <c r="AH84" s="5"/>
      <c r="AI84" s="5"/>
      <c r="AJ84" s="5"/>
      <c r="AK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</row>
    <row r="85" spans="3:111" ht="12.75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AG85"/>
      <c r="AH85" s="5"/>
      <c r="AI85" s="5"/>
      <c r="AJ85" s="5"/>
      <c r="AK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</row>
    <row r="86" spans="3:111" ht="12.75">
      <c r="C86"/>
      <c r="D86"/>
      <c r="E86"/>
      <c r="F86"/>
      <c r="G86"/>
      <c r="H86"/>
      <c r="I86"/>
      <c r="J86"/>
      <c r="K86"/>
      <c r="L86"/>
      <c r="M86"/>
      <c r="R86"/>
      <c r="W86"/>
      <c r="AG86"/>
      <c r="AH86" s="5"/>
      <c r="AI86" s="5"/>
      <c r="AJ86" s="5"/>
      <c r="AK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</row>
    <row r="87" spans="34:111" ht="12.75">
      <c r="AH87" s="5"/>
      <c r="AI87" s="5"/>
      <c r="AJ87" s="5"/>
      <c r="AK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</row>
    <row r="88" spans="34:111" ht="12.75">
      <c r="AH88" s="5"/>
      <c r="AI88" s="5"/>
      <c r="AJ88" s="5"/>
      <c r="AK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</row>
    <row r="89" spans="34:111" ht="12.75">
      <c r="AH89" s="5"/>
      <c r="AI89" s="5"/>
      <c r="AJ89" s="5"/>
      <c r="AK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</row>
    <row r="90" spans="34:111" ht="12.75">
      <c r="AH90" s="5"/>
      <c r="AI90" s="5"/>
      <c r="AJ90" s="5"/>
      <c r="AK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</row>
    <row r="91" spans="34:111" ht="12.75">
      <c r="AH91" s="5"/>
      <c r="AI91" s="5"/>
      <c r="AJ91" s="5"/>
      <c r="AK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</row>
    <row r="92" spans="34:111" ht="12.75">
      <c r="AH92" s="5"/>
      <c r="AI92" s="5"/>
      <c r="AJ92" s="5"/>
      <c r="AK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</row>
    <row r="93" spans="34:111" ht="12.75">
      <c r="AH93" s="5"/>
      <c r="AI93" s="5"/>
      <c r="AJ93" s="5"/>
      <c r="AK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</row>
    <row r="94" spans="34:111" ht="12.75">
      <c r="AH94" s="5"/>
      <c r="AI94" s="5"/>
      <c r="AJ94" s="5"/>
      <c r="AK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</row>
    <row r="95" spans="34:111" ht="12.75">
      <c r="AH95" s="5"/>
      <c r="AI95" s="5"/>
      <c r="AJ95" s="5"/>
      <c r="AK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</row>
    <row r="96" spans="34:111" ht="12.75">
      <c r="AH96" s="5"/>
      <c r="AI96" s="5"/>
      <c r="AJ96" s="5"/>
      <c r="AK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</row>
    <row r="97" spans="34:111" ht="12.75">
      <c r="AH97" s="5"/>
      <c r="AI97" s="5"/>
      <c r="AJ97" s="5"/>
      <c r="AK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</row>
    <row r="98" spans="34:111" ht="12.75">
      <c r="AH98" s="5"/>
      <c r="AI98" s="5"/>
      <c r="AJ98" s="5"/>
      <c r="AK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</row>
    <row r="99" spans="34:111" ht="12.75">
      <c r="AH99" s="5"/>
      <c r="AI99" s="5"/>
      <c r="AJ99" s="5"/>
      <c r="AK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</row>
    <row r="100" spans="34:111" ht="12.75">
      <c r="AH100" s="5"/>
      <c r="AI100" s="5"/>
      <c r="AJ100" s="5"/>
      <c r="AK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</row>
    <row r="101" spans="34:111" ht="12.75">
      <c r="AH101" s="5"/>
      <c r="AI101" s="5"/>
      <c r="AJ101" s="5"/>
      <c r="AK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</row>
    <row r="102" spans="34:111" ht="12.75">
      <c r="AH102" s="5"/>
      <c r="AI102" s="5"/>
      <c r="AJ102" s="5"/>
      <c r="AK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</row>
    <row r="103" spans="34:111" ht="12.75">
      <c r="AH103" s="5"/>
      <c r="AI103" s="5"/>
      <c r="AJ103" s="5"/>
      <c r="AK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</row>
    <row r="104" spans="34:111" ht="12.75">
      <c r="AH104" s="5"/>
      <c r="AI104" s="5"/>
      <c r="AJ104" s="5"/>
      <c r="AK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</row>
    <row r="105" spans="34:111" ht="12.75">
      <c r="AH105" s="5"/>
      <c r="AI105" s="5"/>
      <c r="AJ105" s="5"/>
      <c r="AK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</row>
    <row r="106" spans="34:111" ht="12.75">
      <c r="AH106" s="5"/>
      <c r="AI106" s="5"/>
      <c r="AJ106" s="5"/>
      <c r="AK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</row>
    <row r="107" spans="34:111" ht="12.75">
      <c r="AH107" s="5"/>
      <c r="AI107" s="5"/>
      <c r="AJ107" s="5"/>
      <c r="AK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</row>
    <row r="108" spans="34:111" ht="12.75">
      <c r="AH108" s="5"/>
      <c r="AI108" s="5"/>
      <c r="AJ108" s="5"/>
      <c r="AK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</row>
    <row r="109" spans="34:111" ht="12.75">
      <c r="AH109" s="5"/>
      <c r="AI109" s="5"/>
      <c r="AJ109" s="5"/>
      <c r="AK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</row>
    <row r="110" spans="34:111" ht="12.75">
      <c r="AH110" s="5"/>
      <c r="AI110" s="5"/>
      <c r="AJ110" s="5"/>
      <c r="AK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</row>
    <row r="111" spans="34:111" ht="12.75">
      <c r="AH111" s="5"/>
      <c r="AI111" s="5"/>
      <c r="AJ111" s="5"/>
      <c r="AK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</row>
    <row r="112" spans="34:111" ht="12.75">
      <c r="AH112" s="5"/>
      <c r="AI112" s="5"/>
      <c r="AJ112" s="5"/>
      <c r="AK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</row>
    <row r="113" spans="34:111" ht="12.75">
      <c r="AH113" s="5"/>
      <c r="AI113" s="5"/>
      <c r="AJ113" s="5"/>
      <c r="AK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</row>
    <row r="114" spans="34:111" ht="12.75">
      <c r="AH114" s="5"/>
      <c r="AI114" s="5"/>
      <c r="AJ114" s="5"/>
      <c r="AK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</row>
    <row r="115" spans="34:111" ht="12.75">
      <c r="AH115" s="5"/>
      <c r="AI115" s="5"/>
      <c r="AJ115" s="5"/>
      <c r="AK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</row>
    <row r="116" spans="34:111" ht="12.75">
      <c r="AH116" s="5"/>
      <c r="AI116" s="5"/>
      <c r="AJ116" s="5"/>
      <c r="AK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</row>
    <row r="117" spans="34:111" ht="12.75">
      <c r="AH117" s="5"/>
      <c r="AI117" s="5"/>
      <c r="AJ117" s="5"/>
      <c r="AK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</row>
    <row r="118" spans="34:111" ht="12.75">
      <c r="AH118" s="5"/>
      <c r="AI118" s="5"/>
      <c r="AJ118" s="5"/>
      <c r="AK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</row>
    <row r="119" spans="34:111" ht="12.75">
      <c r="AH119" s="5"/>
      <c r="AI119" s="5"/>
      <c r="AJ119" s="5"/>
      <c r="AK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</row>
    <row r="120" spans="34:111" ht="12.75">
      <c r="AH120" s="5"/>
      <c r="AI120" s="5"/>
      <c r="AJ120" s="5"/>
      <c r="AK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</row>
    <row r="121" spans="34:111" ht="12.75">
      <c r="AH121" s="5"/>
      <c r="AI121" s="5"/>
      <c r="AJ121" s="5"/>
      <c r="AK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</row>
    <row r="122" spans="34:111" ht="12.75">
      <c r="AH122" s="5"/>
      <c r="AI122" s="5"/>
      <c r="AJ122" s="5"/>
      <c r="AK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</row>
    <row r="123" spans="34:111" ht="12.75">
      <c r="AH123" s="5"/>
      <c r="AI123" s="5"/>
      <c r="AJ123" s="5"/>
      <c r="AK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</row>
    <row r="124" spans="34:111" ht="12.75">
      <c r="AH124" s="5"/>
      <c r="AI124" s="5"/>
      <c r="AJ124" s="5"/>
      <c r="AK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</row>
    <row r="125" spans="34:111" ht="12.75">
      <c r="AH125" s="5"/>
      <c r="AI125" s="5"/>
      <c r="AJ125" s="5"/>
      <c r="AK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</row>
    <row r="126" spans="34:111" ht="12.75">
      <c r="AH126" s="5"/>
      <c r="AI126" s="5"/>
      <c r="AJ126" s="5"/>
      <c r="AK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</row>
    <row r="127" spans="34:111" ht="12.75">
      <c r="AH127" s="5"/>
      <c r="AI127" s="5"/>
      <c r="AJ127" s="5"/>
      <c r="AK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</row>
    <row r="128" spans="34:111" ht="12.75">
      <c r="AH128" s="5"/>
      <c r="AI128" s="5"/>
      <c r="AJ128" s="5"/>
      <c r="AK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</row>
    <row r="129" spans="34:111" ht="12.75">
      <c r="AH129" s="5"/>
      <c r="AI129" s="5"/>
      <c r="AJ129" s="5"/>
      <c r="AK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</row>
    <row r="130" spans="34:111" ht="12.75">
      <c r="AH130" s="5"/>
      <c r="AI130" s="5"/>
      <c r="AJ130" s="5"/>
      <c r="AK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</row>
    <row r="131" spans="34:111" ht="12.75">
      <c r="AH131" s="5"/>
      <c r="AI131" s="5"/>
      <c r="AJ131" s="5"/>
      <c r="AK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</row>
    <row r="132" spans="34:111" ht="12.75">
      <c r="AH132" s="5"/>
      <c r="AI132" s="5"/>
      <c r="AJ132" s="5"/>
      <c r="AK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</row>
    <row r="133" spans="34:111" ht="12.75">
      <c r="AH133" s="5"/>
      <c r="AI133" s="5"/>
      <c r="AJ133" s="5"/>
      <c r="AK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</row>
    <row r="134" spans="34:111" ht="12.75">
      <c r="AH134" s="5"/>
      <c r="AI134" s="5"/>
      <c r="AJ134" s="5"/>
      <c r="AK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</row>
    <row r="135" spans="34:111" ht="12.75">
      <c r="AH135" s="5"/>
      <c r="AI135" s="5"/>
      <c r="AJ135" s="5"/>
      <c r="AK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</row>
    <row r="136" spans="34:111" ht="12.75">
      <c r="AH136" s="5"/>
      <c r="AI136" s="5"/>
      <c r="AJ136" s="5"/>
      <c r="AK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</row>
    <row r="137" spans="34:111" ht="12.75">
      <c r="AH137" s="5"/>
      <c r="AI137" s="5"/>
      <c r="AJ137" s="5"/>
      <c r="AK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</row>
    <row r="138" spans="34:111" ht="12.75">
      <c r="AH138" s="5"/>
      <c r="AI138" s="5"/>
      <c r="AJ138" s="5"/>
      <c r="AK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</row>
    <row r="139" spans="34:111" ht="12.75">
      <c r="AH139" s="5"/>
      <c r="AI139" s="5"/>
      <c r="AJ139" s="5"/>
      <c r="AK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</row>
    <row r="140" spans="34:111" ht="12.75">
      <c r="AH140" s="5"/>
      <c r="AI140" s="5"/>
      <c r="AJ140" s="5"/>
      <c r="AK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</row>
    <row r="141" spans="34:111" ht="12.75">
      <c r="AH141" s="5"/>
      <c r="AI141" s="5"/>
      <c r="AJ141" s="5"/>
      <c r="AK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</row>
    <row r="142" spans="34:111" ht="12.75">
      <c r="AH142" s="5"/>
      <c r="AI142" s="5"/>
      <c r="AJ142" s="5"/>
      <c r="AK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</row>
    <row r="143" spans="34:111" ht="12.75">
      <c r="AH143" s="5"/>
      <c r="AI143" s="5"/>
      <c r="AJ143" s="5"/>
      <c r="AK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</row>
    <row r="144" spans="34:111" ht="12.75">
      <c r="AH144" s="5"/>
      <c r="AI144" s="5"/>
      <c r="AJ144" s="5"/>
      <c r="AK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</row>
    <row r="145" spans="34:111" ht="12.75">
      <c r="AH145" s="5"/>
      <c r="AI145" s="5"/>
      <c r="AJ145" s="5"/>
      <c r="AK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</row>
    <row r="146" spans="34:111" ht="12.75">
      <c r="AH146" s="5"/>
      <c r="AI146" s="5"/>
      <c r="AJ146" s="5"/>
      <c r="AK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</row>
    <row r="147" spans="34:111" ht="12.75">
      <c r="AH147" s="5"/>
      <c r="AI147" s="5"/>
      <c r="AJ147" s="5"/>
      <c r="AK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</row>
    <row r="148" spans="34:111" ht="12.75">
      <c r="AH148" s="5"/>
      <c r="AI148" s="5"/>
      <c r="AJ148" s="5"/>
      <c r="AK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</row>
    <row r="149" spans="34:111" ht="12.75">
      <c r="AH149" s="5"/>
      <c r="AI149" s="5"/>
      <c r="AJ149" s="5"/>
      <c r="AK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</row>
    <row r="150" spans="34:111" ht="12.75">
      <c r="AH150" s="5"/>
      <c r="AI150" s="5"/>
      <c r="AJ150" s="5"/>
      <c r="AK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</row>
    <row r="151" spans="34:111" ht="12.75">
      <c r="AH151" s="5"/>
      <c r="AI151" s="5"/>
      <c r="AJ151" s="5"/>
      <c r="AK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</row>
    <row r="152" spans="34:111" ht="12.75">
      <c r="AH152" s="5"/>
      <c r="AI152" s="5"/>
      <c r="AJ152" s="5"/>
      <c r="AK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</row>
    <row r="153" spans="34:111" ht="12.75">
      <c r="AH153" s="5"/>
      <c r="AI153" s="5"/>
      <c r="AJ153" s="5"/>
      <c r="AK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</row>
    <row r="154" spans="34:111" ht="12.75">
      <c r="AH154" s="5"/>
      <c r="AI154" s="5"/>
      <c r="AJ154" s="5"/>
      <c r="AK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</row>
    <row r="155" spans="34:111" ht="12.75">
      <c r="AH155" s="5"/>
      <c r="AI155" s="5"/>
      <c r="AJ155" s="5"/>
      <c r="AK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</row>
    <row r="156" spans="34:111" ht="12.75">
      <c r="AH156" s="5"/>
      <c r="AI156" s="5"/>
      <c r="AJ156" s="5"/>
      <c r="AK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</row>
    <row r="157" spans="34:111" ht="12.75">
      <c r="AH157" s="5"/>
      <c r="AI157" s="5"/>
      <c r="AJ157" s="5"/>
      <c r="AK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</row>
    <row r="158" spans="34:111" ht="12.75">
      <c r="AH158" s="5"/>
      <c r="AI158" s="5"/>
      <c r="AJ158" s="5"/>
      <c r="AK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</row>
    <row r="159" spans="34:111" ht="12.75">
      <c r="AH159" s="5"/>
      <c r="AI159" s="5"/>
      <c r="AJ159" s="5"/>
      <c r="AK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</row>
    <row r="160" spans="34:111" ht="12.75">
      <c r="AH160" s="5"/>
      <c r="AI160" s="5"/>
      <c r="AJ160" s="5"/>
      <c r="AK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</row>
    <row r="161" spans="34:111" ht="12.75">
      <c r="AH161" s="5"/>
      <c r="AI161" s="5"/>
      <c r="AJ161" s="5"/>
      <c r="AK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</row>
    <row r="162" spans="34:111" ht="12.75">
      <c r="AH162" s="5"/>
      <c r="AI162" s="5"/>
      <c r="AJ162" s="5"/>
      <c r="AK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</row>
    <row r="163" spans="34:111" ht="12.75">
      <c r="AH163" s="5"/>
      <c r="AI163" s="5"/>
      <c r="AJ163" s="5"/>
      <c r="AK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</row>
    <row r="164" spans="34:111" ht="12.75">
      <c r="AH164" s="5"/>
      <c r="AI164" s="5"/>
      <c r="AJ164" s="5"/>
      <c r="AK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</row>
    <row r="165" spans="34:111" ht="12.75">
      <c r="AH165" s="5"/>
      <c r="AI165" s="5"/>
      <c r="AJ165" s="5"/>
      <c r="AK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</row>
    <row r="166" spans="34:111" ht="12.75">
      <c r="AH166" s="5"/>
      <c r="AI166" s="5"/>
      <c r="AJ166" s="5"/>
      <c r="AK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</row>
    <row r="167" spans="34:111" ht="12.75">
      <c r="AH167" s="5"/>
      <c r="AI167" s="5"/>
      <c r="AJ167" s="5"/>
      <c r="AK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</row>
    <row r="168" spans="34:111" ht="12.75">
      <c r="AH168" s="5"/>
      <c r="AI168" s="5"/>
      <c r="AJ168" s="5"/>
      <c r="AK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</row>
    <row r="169" spans="34:111" ht="12.75">
      <c r="AH169" s="5"/>
      <c r="AI169" s="5"/>
      <c r="AJ169" s="5"/>
      <c r="AK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</row>
    <row r="170" spans="34:111" ht="12.75">
      <c r="AH170" s="5"/>
      <c r="AI170" s="5"/>
      <c r="AJ170" s="5"/>
      <c r="AK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</row>
    <row r="171" spans="34:111" ht="12.75">
      <c r="AH171" s="5"/>
      <c r="AI171" s="5"/>
      <c r="AJ171" s="5"/>
      <c r="AK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</row>
    <row r="172" spans="34:111" ht="12.75">
      <c r="AH172" s="5"/>
      <c r="AI172" s="5"/>
      <c r="AJ172" s="5"/>
      <c r="AK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</row>
    <row r="173" spans="34:111" ht="12.75">
      <c r="AH173" s="5"/>
      <c r="AI173" s="5"/>
      <c r="AJ173" s="5"/>
      <c r="AK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</row>
    <row r="174" spans="34:111" ht="12.75">
      <c r="AH174" s="5"/>
      <c r="AI174" s="5"/>
      <c r="AJ174" s="5"/>
      <c r="AK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</row>
    <row r="175" spans="34:111" ht="12.75">
      <c r="AH175" s="5"/>
      <c r="AI175" s="5"/>
      <c r="AJ175" s="5"/>
      <c r="AK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</row>
    <row r="176" spans="34:111" ht="12.75">
      <c r="AH176" s="5"/>
      <c r="AI176" s="5"/>
      <c r="AJ176" s="5"/>
      <c r="AK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</row>
    <row r="177" spans="34:111" ht="12.75">
      <c r="AH177" s="5"/>
      <c r="AI177" s="5"/>
      <c r="AJ177" s="5"/>
      <c r="AK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</row>
    <row r="178" spans="34:111" ht="12.75">
      <c r="AH178" s="5"/>
      <c r="AI178" s="5"/>
      <c r="AJ178" s="5"/>
      <c r="AK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</row>
    <row r="179" spans="34:111" ht="12.75">
      <c r="AH179" s="5"/>
      <c r="AI179" s="5"/>
      <c r="AJ179" s="5"/>
      <c r="AK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</row>
    <row r="180" spans="34:111" ht="12.75">
      <c r="AH180" s="5"/>
      <c r="AI180" s="5"/>
      <c r="AJ180" s="5"/>
      <c r="AK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</row>
    <row r="181" spans="34:111" ht="12.75">
      <c r="AH181" s="5"/>
      <c r="AI181" s="5"/>
      <c r="AJ181" s="5"/>
      <c r="AK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</row>
    <row r="182" spans="34:111" ht="12.75">
      <c r="AH182" s="5"/>
      <c r="AI182" s="5"/>
      <c r="AJ182" s="5"/>
      <c r="AK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</row>
    <row r="183" spans="34:111" ht="12.75">
      <c r="AH183" s="5"/>
      <c r="AI183" s="5"/>
      <c r="AJ183" s="5"/>
      <c r="AK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</row>
    <row r="184" spans="34:111" ht="12.75">
      <c r="AH184" s="5"/>
      <c r="AI184" s="5"/>
      <c r="AJ184" s="5"/>
      <c r="AK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</row>
    <row r="185" spans="34:111" ht="12.75">
      <c r="AH185" s="5"/>
      <c r="AI185" s="5"/>
      <c r="AJ185" s="5"/>
      <c r="AK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</row>
    <row r="186" spans="34:111" ht="12.75">
      <c r="AH186" s="5"/>
      <c r="AI186" s="5"/>
      <c r="AJ186" s="5"/>
      <c r="AK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</row>
    <row r="187" spans="34:111" ht="12.75">
      <c r="AH187" s="5"/>
      <c r="AI187" s="5"/>
      <c r="AJ187" s="5"/>
      <c r="AK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</row>
    <row r="188" spans="34:111" ht="12.75">
      <c r="AH188" s="5"/>
      <c r="AI188" s="5"/>
      <c r="AJ188" s="5"/>
      <c r="AK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</row>
    <row r="189" spans="34:111" ht="12.75">
      <c r="AH189" s="5"/>
      <c r="AI189" s="5"/>
      <c r="AJ189" s="5"/>
      <c r="AK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</row>
    <row r="190" spans="34:111" ht="12.75">
      <c r="AH190" s="5"/>
      <c r="AI190" s="5"/>
      <c r="AJ190" s="5"/>
      <c r="AK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</row>
    <row r="191" spans="34:111" ht="12.75">
      <c r="AH191" s="5"/>
      <c r="AI191" s="5"/>
      <c r="AJ191" s="5"/>
      <c r="AK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</row>
    <row r="192" spans="34:111" ht="12.75">
      <c r="AH192" s="5"/>
      <c r="AI192" s="5"/>
      <c r="AJ192" s="5"/>
      <c r="AK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</row>
    <row r="193" spans="34:111" ht="12.75">
      <c r="AH193" s="5"/>
      <c r="AI193" s="5"/>
      <c r="AJ193" s="5"/>
      <c r="AK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</row>
    <row r="194" spans="34:111" ht="12.75">
      <c r="AH194" s="5"/>
      <c r="AI194" s="5"/>
      <c r="AJ194" s="5"/>
      <c r="AK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</row>
    <row r="195" spans="34:111" ht="12.75">
      <c r="AH195" s="5"/>
      <c r="AI195" s="5"/>
      <c r="AJ195" s="5"/>
      <c r="AK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</row>
    <row r="196" spans="34:111" ht="12.75">
      <c r="AH196" s="5"/>
      <c r="AI196" s="5"/>
      <c r="AJ196" s="5"/>
      <c r="AK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</row>
    <row r="197" spans="34:111" ht="12.75">
      <c r="AH197" s="5"/>
      <c r="AI197" s="5"/>
      <c r="AJ197" s="5"/>
      <c r="AK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</row>
    <row r="198" spans="34:111" ht="12.75">
      <c r="AH198" s="5"/>
      <c r="AI198" s="5"/>
      <c r="AJ198" s="5"/>
      <c r="AK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</row>
    <row r="199" spans="34:111" ht="12.75">
      <c r="AH199" s="5"/>
      <c r="AI199" s="5"/>
      <c r="AJ199" s="5"/>
      <c r="AK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</row>
    <row r="200" spans="34:111" ht="12.75">
      <c r="AH200" s="5"/>
      <c r="AI200" s="5"/>
      <c r="AJ200" s="5"/>
      <c r="AK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</row>
    <row r="201" spans="34:111" ht="12.75">
      <c r="AH201" s="5"/>
      <c r="AI201" s="5"/>
      <c r="AJ201" s="5"/>
      <c r="AK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</row>
    <row r="202" spans="34:111" ht="12.75">
      <c r="AH202" s="5"/>
      <c r="AI202" s="5"/>
      <c r="AJ202" s="5"/>
      <c r="AK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</row>
    <row r="203" spans="34:111" ht="12.75">
      <c r="AH203" s="5"/>
      <c r="AI203" s="5"/>
      <c r="AJ203" s="5"/>
      <c r="AK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</row>
    <row r="204" spans="34:111" ht="12.75">
      <c r="AH204" s="5"/>
      <c r="AI204" s="5"/>
      <c r="AJ204" s="5"/>
      <c r="AK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</row>
    <row r="205" spans="34:111" ht="12.75">
      <c r="AH205" s="5"/>
      <c r="AI205" s="5"/>
      <c r="AJ205" s="5"/>
      <c r="AK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</row>
    <row r="206" spans="34:111" ht="12.75">
      <c r="AH206" s="5"/>
      <c r="AI206" s="5"/>
      <c r="AJ206" s="5"/>
      <c r="AK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</row>
    <row r="207" spans="34:111" ht="12.75">
      <c r="AH207" s="5"/>
      <c r="AI207" s="5"/>
      <c r="AJ207" s="5"/>
      <c r="AK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</row>
    <row r="208" spans="34:111" ht="12.75">
      <c r="AH208" s="5"/>
      <c r="AI208" s="5"/>
      <c r="AJ208" s="5"/>
      <c r="AK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</row>
    <row r="209" spans="34:111" ht="12.75">
      <c r="AH209" s="5"/>
      <c r="AI209" s="5"/>
      <c r="AJ209" s="5"/>
      <c r="AK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</row>
    <row r="210" spans="34:111" ht="12.75">
      <c r="AH210" s="5"/>
      <c r="AI210" s="5"/>
      <c r="AJ210" s="5"/>
      <c r="AK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</row>
    <row r="211" spans="34:111" ht="12.75">
      <c r="AH211" s="5"/>
      <c r="AI211" s="5"/>
      <c r="AJ211" s="5"/>
      <c r="AK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</row>
    <row r="212" spans="34:111" ht="12.75">
      <c r="AH212" s="5"/>
      <c r="AI212" s="5"/>
      <c r="AJ212" s="5"/>
      <c r="AK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</row>
    <row r="213" spans="34:111" ht="12.75">
      <c r="AH213" s="5"/>
      <c r="AI213" s="5"/>
      <c r="AJ213" s="5"/>
      <c r="AK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</row>
    <row r="214" spans="34:111" ht="12.75">
      <c r="AH214" s="5"/>
      <c r="AI214" s="5"/>
      <c r="AJ214" s="5"/>
      <c r="AK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</row>
    <row r="215" spans="34:111" ht="12.75">
      <c r="AH215" s="5"/>
      <c r="AI215" s="5"/>
      <c r="AJ215" s="5"/>
      <c r="AK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</row>
    <row r="216" spans="34:111" ht="12.75">
      <c r="AH216" s="5"/>
      <c r="AI216" s="5"/>
      <c r="AJ216" s="5"/>
      <c r="AK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</row>
    <row r="217" spans="34:111" ht="12.75">
      <c r="AH217" s="5"/>
      <c r="AI217" s="5"/>
      <c r="AJ217" s="5"/>
      <c r="AK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</row>
    <row r="218" spans="34:111" ht="12.75">
      <c r="AH218" s="5"/>
      <c r="AI218" s="5"/>
      <c r="AJ218" s="5"/>
      <c r="AK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</row>
    <row r="219" spans="34:111" ht="12.75">
      <c r="AH219" s="5"/>
      <c r="AI219" s="5"/>
      <c r="AJ219" s="5"/>
      <c r="AK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</row>
    <row r="220" spans="34:111" ht="12.75">
      <c r="AH220" s="5"/>
      <c r="AI220" s="5"/>
      <c r="AJ220" s="5"/>
      <c r="AK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</row>
    <row r="221" spans="34:111" ht="12.75">
      <c r="AH221" s="5"/>
      <c r="AI221" s="5"/>
      <c r="AJ221" s="5"/>
      <c r="AK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</row>
    <row r="222" spans="34:111" ht="12.75">
      <c r="AH222" s="5"/>
      <c r="AI222" s="5"/>
      <c r="AJ222" s="5"/>
      <c r="AK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</row>
    <row r="223" spans="34:111" ht="12.75">
      <c r="AH223" s="5"/>
      <c r="AI223" s="5"/>
      <c r="AJ223" s="5"/>
      <c r="AK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</row>
    <row r="224" spans="34:111" ht="12.75">
      <c r="AH224" s="5"/>
      <c r="AI224" s="5"/>
      <c r="AJ224" s="5"/>
      <c r="AK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</row>
    <row r="225" spans="34:111" ht="12.75">
      <c r="AH225" s="5"/>
      <c r="AI225" s="5"/>
      <c r="AJ225" s="5"/>
      <c r="AK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</row>
    <row r="226" spans="34:111" ht="12.75">
      <c r="AH226" s="5"/>
      <c r="AI226" s="5"/>
      <c r="AJ226" s="5"/>
      <c r="AK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</row>
    <row r="227" spans="34:111" ht="12.75">
      <c r="AH227" s="5"/>
      <c r="AI227" s="5"/>
      <c r="AJ227" s="5"/>
      <c r="AK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</row>
    <row r="228" spans="34:111" ht="12.75">
      <c r="AH228" s="5"/>
      <c r="AI228" s="5"/>
      <c r="AJ228" s="5"/>
      <c r="AK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</row>
    <row r="229" spans="34:111" ht="12.75">
      <c r="AH229" s="5"/>
      <c r="AI229" s="5"/>
      <c r="AJ229" s="5"/>
      <c r="AK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</row>
    <row r="230" spans="34:111" ht="12.75">
      <c r="AH230" s="5"/>
      <c r="AI230" s="5"/>
      <c r="AJ230" s="5"/>
      <c r="AK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</row>
    <row r="231" spans="34:111" ht="12.75">
      <c r="AH231" s="5"/>
      <c r="AI231" s="5"/>
      <c r="AJ231" s="5"/>
      <c r="AK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</row>
    <row r="232" spans="34:111" ht="12.75">
      <c r="AH232" s="5"/>
      <c r="AI232" s="5"/>
      <c r="AJ232" s="5"/>
      <c r="AK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</row>
    <row r="233" spans="34:111" ht="12.75">
      <c r="AH233" s="5"/>
      <c r="AI233" s="5"/>
      <c r="AJ233" s="5"/>
      <c r="AK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</row>
    <row r="234" spans="34:111" ht="12.75">
      <c r="AH234" s="5"/>
      <c r="AI234" s="5"/>
      <c r="AJ234" s="5"/>
      <c r="AK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</row>
    <row r="235" spans="34:111" ht="12.75">
      <c r="AH235" s="5"/>
      <c r="AI235" s="5"/>
      <c r="AJ235" s="5"/>
      <c r="AK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</row>
    <row r="236" spans="34:111" ht="12.75">
      <c r="AH236" s="5"/>
      <c r="AI236" s="5"/>
      <c r="AJ236" s="5"/>
      <c r="AK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</row>
    <row r="237" spans="34:111" ht="12.75">
      <c r="AH237" s="5"/>
      <c r="AI237" s="5"/>
      <c r="AJ237" s="5"/>
      <c r="AK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</row>
    <row r="238" spans="34:111" ht="12.75">
      <c r="AH238" s="5"/>
      <c r="AI238" s="5"/>
      <c r="AJ238" s="5"/>
      <c r="AK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</row>
    <row r="239" spans="34:111" ht="12.75">
      <c r="AH239" s="5"/>
      <c r="AI239" s="5"/>
      <c r="AJ239" s="5"/>
      <c r="AK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</row>
    <row r="240" spans="34:111" ht="12.75">
      <c r="AH240" s="5"/>
      <c r="AI240" s="5"/>
      <c r="AJ240" s="5"/>
      <c r="AK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</row>
    <row r="241" spans="34:111" ht="12.75">
      <c r="AH241" s="5"/>
      <c r="AI241" s="5"/>
      <c r="AJ241" s="5"/>
      <c r="AK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</row>
    <row r="242" spans="34:111" ht="12.75">
      <c r="AH242" s="5"/>
      <c r="AI242" s="5"/>
      <c r="AJ242" s="5"/>
      <c r="AK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</row>
    <row r="243" spans="34:111" ht="12.75">
      <c r="AH243" s="5"/>
      <c r="AI243" s="5"/>
      <c r="AJ243" s="5"/>
      <c r="AK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</row>
    <row r="244" spans="34:111" ht="12.75">
      <c r="AH244" s="5"/>
      <c r="AI244" s="5"/>
      <c r="AJ244" s="5"/>
      <c r="AK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</row>
    <row r="245" spans="34:111" ht="12.75">
      <c r="AH245" s="5"/>
      <c r="AI245" s="5"/>
      <c r="AJ245" s="5"/>
      <c r="AK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</row>
    <row r="246" spans="34:111" ht="12.75">
      <c r="AH246" s="5"/>
      <c r="AI246" s="5"/>
      <c r="AJ246" s="5"/>
      <c r="AK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</row>
    <row r="247" spans="34:111" ht="12.75">
      <c r="AH247" s="5"/>
      <c r="AI247" s="5"/>
      <c r="AJ247" s="5"/>
      <c r="AK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</row>
    <row r="248" spans="34:111" ht="12.75">
      <c r="AH248" s="5"/>
      <c r="AI248" s="5"/>
      <c r="AJ248" s="5"/>
      <c r="AK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</row>
    <row r="249" spans="34:111" ht="12.75">
      <c r="AH249" s="5"/>
      <c r="AI249" s="5"/>
      <c r="AJ249" s="5"/>
      <c r="AK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</row>
    <row r="250" spans="34:111" ht="12.75">
      <c r="AH250" s="5"/>
      <c r="AI250" s="5"/>
      <c r="AJ250" s="5"/>
      <c r="AK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</row>
    <row r="251" spans="34:111" ht="12.75">
      <c r="AH251" s="5"/>
      <c r="AI251" s="5"/>
      <c r="AJ251" s="5"/>
      <c r="AK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</row>
    <row r="252" spans="34:111" ht="12.75">
      <c r="AH252" s="5"/>
      <c r="AI252" s="5"/>
      <c r="AJ252" s="5"/>
      <c r="AK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</row>
    <row r="253" spans="34:111" ht="12.75">
      <c r="AH253" s="5"/>
      <c r="AI253" s="5"/>
      <c r="AJ253" s="5"/>
      <c r="AK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</row>
    <row r="254" spans="34:111" ht="12.75">
      <c r="AH254" s="5"/>
      <c r="AI254" s="5"/>
      <c r="AJ254" s="5"/>
      <c r="AK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</row>
    <row r="255" spans="34:111" ht="12.75">
      <c r="AH255" s="5"/>
      <c r="AI255" s="5"/>
      <c r="AJ255" s="5"/>
      <c r="AK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</row>
    <row r="256" spans="34:111" ht="12.75">
      <c r="AH256" s="5"/>
      <c r="AI256" s="5"/>
      <c r="AJ256" s="5"/>
      <c r="AK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</row>
    <row r="257" spans="34:111" ht="12.75">
      <c r="AH257" s="5"/>
      <c r="AI257" s="5"/>
      <c r="AJ257" s="5"/>
      <c r="AK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</row>
    <row r="258" spans="34:111" ht="12.75">
      <c r="AH258" s="5"/>
      <c r="AI258" s="5"/>
      <c r="AJ258" s="5"/>
      <c r="AK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</row>
    <row r="259" spans="34:111" ht="12.75">
      <c r="AH259" s="5"/>
      <c r="AI259" s="5"/>
      <c r="AJ259" s="5"/>
      <c r="AK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</row>
    <row r="260" spans="34:111" ht="12.75">
      <c r="AH260" s="5"/>
      <c r="AI260" s="5"/>
      <c r="AJ260" s="5"/>
      <c r="AK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</row>
    <row r="261" spans="34:111" ht="12.75">
      <c r="AH261" s="5"/>
      <c r="AI261" s="5"/>
      <c r="AJ261" s="5"/>
      <c r="AK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</row>
    <row r="262" spans="34:111" ht="12.75">
      <c r="AH262" s="5"/>
      <c r="AI262" s="5"/>
      <c r="AJ262" s="5"/>
      <c r="AK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</row>
    <row r="263" spans="34:111" ht="12.75">
      <c r="AH263" s="5"/>
      <c r="AI263" s="5"/>
      <c r="AJ263" s="5"/>
      <c r="AK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</row>
    <row r="264" spans="34:111" ht="12.75">
      <c r="AH264" s="5"/>
      <c r="AI264" s="5"/>
      <c r="AJ264" s="5"/>
      <c r="AK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</row>
    <row r="265" spans="34:111" ht="12.75">
      <c r="AH265" s="5"/>
      <c r="AI265" s="5"/>
      <c r="AJ265" s="5"/>
      <c r="AK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</row>
    <row r="266" spans="34:111" ht="12.75">
      <c r="AH266" s="5"/>
      <c r="AI266" s="5"/>
      <c r="AJ266" s="5"/>
      <c r="AK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</row>
    <row r="267" spans="34:111" ht="12.75">
      <c r="AH267" s="5"/>
      <c r="AI267" s="5"/>
      <c r="AJ267" s="5"/>
      <c r="AK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</row>
    <row r="268" spans="34:111" ht="12.75">
      <c r="AH268" s="5"/>
      <c r="AI268" s="5"/>
      <c r="AJ268" s="5"/>
      <c r="AK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</row>
    <row r="269" spans="34:111" ht="12.75">
      <c r="AH269" s="5"/>
      <c r="AI269" s="5"/>
      <c r="AJ269" s="5"/>
      <c r="AK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</row>
    <row r="270" spans="34:111" ht="12.75">
      <c r="AH270" s="5"/>
      <c r="AI270" s="5"/>
      <c r="AJ270" s="5"/>
      <c r="AK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</row>
    <row r="271" spans="34:111" ht="12.75">
      <c r="AH271" s="5"/>
      <c r="AI271" s="5"/>
      <c r="AJ271" s="5"/>
      <c r="AK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</row>
    <row r="272" spans="34:111" ht="12.75">
      <c r="AH272" s="5"/>
      <c r="AI272" s="5"/>
      <c r="AJ272" s="5"/>
      <c r="AK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</row>
    <row r="273" spans="34:111" ht="12.75">
      <c r="AH273" s="5"/>
      <c r="AI273" s="5"/>
      <c r="AJ273" s="5"/>
      <c r="AK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</row>
    <row r="274" spans="34:111" ht="12.75">
      <c r="AH274" s="5"/>
      <c r="AI274" s="5"/>
      <c r="AJ274" s="5"/>
      <c r="AK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</row>
    <row r="275" spans="34:111" ht="12.75">
      <c r="AH275" s="5"/>
      <c r="AI275" s="5"/>
      <c r="AJ275" s="5"/>
      <c r="AK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</row>
    <row r="276" spans="34:111" ht="12.75">
      <c r="AH276" s="5"/>
      <c r="AI276" s="5"/>
      <c r="AJ276" s="5"/>
      <c r="AK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</row>
    <row r="277" spans="34:111" ht="12.75">
      <c r="AH277" s="5"/>
      <c r="AI277" s="5"/>
      <c r="AJ277" s="5"/>
      <c r="AK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</row>
    <row r="278" spans="34:111" ht="12.75">
      <c r="AH278" s="5"/>
      <c r="AI278" s="5"/>
      <c r="AJ278" s="5"/>
      <c r="AK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</row>
    <row r="279" spans="34:111" ht="12.75">
      <c r="AH279" s="5"/>
      <c r="AI279" s="5"/>
      <c r="AJ279" s="5"/>
      <c r="AK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</row>
    <row r="280" spans="34:111" ht="12.75">
      <c r="AH280" s="5"/>
      <c r="AI280" s="5"/>
      <c r="AJ280" s="5"/>
      <c r="AK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</row>
    <row r="281" spans="34:111" ht="12.75">
      <c r="AH281" s="5"/>
      <c r="AI281" s="5"/>
      <c r="AJ281" s="5"/>
      <c r="AK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</row>
    <row r="282" spans="34:111" ht="12.75">
      <c r="AH282" s="5"/>
      <c r="AI282" s="5"/>
      <c r="AJ282" s="5"/>
      <c r="AK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</row>
    <row r="283" spans="34:111" ht="12.75">
      <c r="AH283" s="5"/>
      <c r="AI283" s="5"/>
      <c r="AJ283" s="5"/>
      <c r="AK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</row>
    <row r="284" spans="34:111" ht="12.75">
      <c r="AH284" s="5"/>
      <c r="AI284" s="5"/>
      <c r="AJ284" s="5"/>
      <c r="AK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</row>
    <row r="285" spans="34:111" ht="12.75">
      <c r="AH285" s="5"/>
      <c r="AI285" s="5"/>
      <c r="AJ285" s="5"/>
      <c r="AK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</row>
    <row r="286" spans="34:111" ht="12.75">
      <c r="AH286" s="5"/>
      <c r="AI286" s="5"/>
      <c r="AJ286" s="5"/>
      <c r="AK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</row>
    <row r="287" spans="34:111" ht="12.75">
      <c r="AH287" s="5"/>
      <c r="AI287" s="5"/>
      <c r="AJ287" s="5"/>
      <c r="AK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</row>
    <row r="288" spans="34:111" ht="12.75">
      <c r="AH288" s="5"/>
      <c r="AI288" s="5"/>
      <c r="AJ288" s="5"/>
      <c r="AK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</row>
    <row r="289" spans="34:111" ht="12.75">
      <c r="AH289" s="5"/>
      <c r="AI289" s="5"/>
      <c r="AJ289" s="5"/>
      <c r="AK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</row>
    <row r="290" spans="34:111" ht="12.75">
      <c r="AH290" s="5"/>
      <c r="AI290" s="5"/>
      <c r="AJ290" s="5"/>
      <c r="AK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</row>
    <row r="291" spans="34:111" ht="12.75">
      <c r="AH291" s="5"/>
      <c r="AI291" s="5"/>
      <c r="AJ291" s="5"/>
      <c r="AK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</row>
    <row r="292" spans="34:111" ht="12.75">
      <c r="AH292" s="5"/>
      <c r="AI292" s="5"/>
      <c r="AJ292" s="5"/>
      <c r="AK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</row>
    <row r="293" spans="34:111" ht="12.75">
      <c r="AH293" s="5"/>
      <c r="AI293" s="5"/>
      <c r="AJ293" s="5"/>
      <c r="AK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</row>
    <row r="294" spans="34:111" ht="12.75">
      <c r="AH294" s="5"/>
      <c r="AI294" s="5"/>
      <c r="AJ294" s="5"/>
      <c r="AK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</row>
    <row r="295" spans="34:111" ht="12.75">
      <c r="AH295" s="5"/>
      <c r="AI295" s="5"/>
      <c r="AJ295" s="5"/>
      <c r="AK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</row>
    <row r="296" spans="34:111" ht="12.75">
      <c r="AH296" s="5"/>
      <c r="AI296" s="5"/>
      <c r="AJ296" s="5"/>
      <c r="AK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</row>
    <row r="297" spans="34:111" ht="12.75">
      <c r="AH297" s="5"/>
      <c r="AI297" s="5"/>
      <c r="AJ297" s="5"/>
      <c r="AK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</row>
    <row r="298" spans="34:111" ht="12.75">
      <c r="AH298" s="5"/>
      <c r="AI298" s="5"/>
      <c r="AJ298" s="5"/>
      <c r="AK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</row>
    <row r="299" spans="34:111" ht="12.75">
      <c r="AH299" s="5"/>
      <c r="AI299" s="5"/>
      <c r="AJ299" s="5"/>
      <c r="AK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</row>
    <row r="300" spans="34:111" ht="12.75">
      <c r="AH300" s="5"/>
      <c r="AI300" s="5"/>
      <c r="AJ300" s="5"/>
      <c r="AK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</row>
    <row r="301" spans="34:111" ht="12.75">
      <c r="AH301" s="5"/>
      <c r="AI301" s="5"/>
      <c r="AJ301" s="5"/>
      <c r="AK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</row>
    <row r="302" spans="34:111" ht="12.75">
      <c r="AH302" s="5"/>
      <c r="AI302" s="5"/>
      <c r="AJ302" s="5"/>
      <c r="AK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</row>
    <row r="303" spans="34:111" ht="12.75">
      <c r="AH303" s="5"/>
      <c r="AI303" s="5"/>
      <c r="AJ303" s="5"/>
      <c r="AK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</row>
    <row r="304" spans="34:111" ht="12.75">
      <c r="AH304" s="5"/>
      <c r="AI304" s="5"/>
      <c r="AJ304" s="5"/>
      <c r="AK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</row>
    <row r="305" spans="34:111" ht="12.75">
      <c r="AH305" s="5"/>
      <c r="AI305" s="5"/>
      <c r="AJ305" s="5"/>
      <c r="AK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</row>
    <row r="306" spans="34:111" ht="12.75">
      <c r="AH306" s="5"/>
      <c r="AI306" s="5"/>
      <c r="AJ306" s="5"/>
      <c r="AK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</row>
    <row r="307" spans="34:111" ht="12.75">
      <c r="AH307" s="5"/>
      <c r="AI307" s="5"/>
      <c r="AJ307" s="5"/>
      <c r="AK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</row>
    <row r="308" spans="34:111" ht="12.75">
      <c r="AH308" s="5"/>
      <c r="AI308" s="5"/>
      <c r="AJ308" s="5"/>
      <c r="AK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</row>
    <row r="309" spans="34:111" ht="12.75">
      <c r="AH309" s="5"/>
      <c r="AI309" s="5"/>
      <c r="AJ309" s="5"/>
      <c r="AK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</row>
    <row r="310" spans="34:111" ht="12.75">
      <c r="AH310" s="5"/>
      <c r="AI310" s="5"/>
      <c r="AJ310" s="5"/>
      <c r="AK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</row>
    <row r="311" spans="34:111" ht="12.75">
      <c r="AH311" s="5"/>
      <c r="AI311" s="5"/>
      <c r="AJ311" s="5"/>
      <c r="AK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</row>
    <row r="312" spans="34:111" ht="12.75">
      <c r="AH312" s="5"/>
      <c r="AI312" s="5"/>
      <c r="AJ312" s="5"/>
      <c r="AK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</row>
    <row r="313" spans="34:111" ht="12.75">
      <c r="AH313" s="5"/>
      <c r="AI313" s="5"/>
      <c r="AJ313" s="5"/>
      <c r="AK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</row>
    <row r="314" spans="34:111" ht="12.75">
      <c r="AH314" s="5"/>
      <c r="AI314" s="5"/>
      <c r="AJ314" s="5"/>
      <c r="AK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</row>
    <row r="315" spans="34:111" ht="12.75">
      <c r="AH315" s="5"/>
      <c r="AI315" s="5"/>
      <c r="AJ315" s="5"/>
      <c r="AK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</row>
    <row r="316" spans="34:111" ht="12.75">
      <c r="AH316" s="5"/>
      <c r="AI316" s="5"/>
      <c r="AJ316" s="5"/>
      <c r="AK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</row>
    <row r="317" spans="34:111" ht="12.75">
      <c r="AH317" s="5"/>
      <c r="AI317" s="5"/>
      <c r="AJ317" s="5"/>
      <c r="AK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</row>
    <row r="318" spans="34:111" ht="12.75">
      <c r="AH318" s="5"/>
      <c r="AI318" s="5"/>
      <c r="AJ318" s="5"/>
      <c r="AK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</row>
    <row r="319" spans="34:111" ht="12.75">
      <c r="AH319" s="5"/>
      <c r="AI319" s="5"/>
      <c r="AJ319" s="5"/>
      <c r="AK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</row>
    <row r="320" spans="34:111" ht="12.75">
      <c r="AH320" s="5"/>
      <c r="AI320" s="5"/>
      <c r="AJ320" s="5"/>
      <c r="AK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</row>
    <row r="321" spans="34:111" ht="12.75">
      <c r="AH321" s="5"/>
      <c r="AI321" s="5"/>
      <c r="AJ321" s="5"/>
      <c r="AK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</row>
    <row r="322" spans="34:111" ht="12.75">
      <c r="AH322" s="5"/>
      <c r="AI322" s="5"/>
      <c r="AJ322" s="5"/>
      <c r="AK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</row>
    <row r="323" spans="34:111" ht="12.75">
      <c r="AH323" s="5"/>
      <c r="AI323" s="5"/>
      <c r="AJ323" s="5"/>
      <c r="AK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</row>
    <row r="324" spans="34:111" ht="12.75">
      <c r="AH324" s="5"/>
      <c r="AI324" s="5"/>
      <c r="AJ324" s="5"/>
      <c r="AK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</row>
    <row r="325" spans="34:111" ht="12.75">
      <c r="AH325" s="5"/>
      <c r="AI325" s="5"/>
      <c r="AJ325" s="5"/>
      <c r="AK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</row>
    <row r="326" spans="34:111" ht="12.75">
      <c r="AH326" s="5"/>
      <c r="AI326" s="5"/>
      <c r="AJ326" s="5"/>
      <c r="AK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</row>
    <row r="327" spans="34:111" ht="12.75">
      <c r="AH327" s="5"/>
      <c r="AI327" s="5"/>
      <c r="AJ327" s="5"/>
      <c r="AK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</row>
    <row r="328" spans="34:111" ht="12.75">
      <c r="AH328" s="5"/>
      <c r="AI328" s="5"/>
      <c r="AJ328" s="5"/>
      <c r="AK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</row>
    <row r="329" spans="34:111" ht="12.75">
      <c r="AH329" s="5"/>
      <c r="AI329" s="5"/>
      <c r="AJ329" s="5"/>
      <c r="AK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</row>
    <row r="330" spans="34:111" ht="12.75">
      <c r="AH330" s="5"/>
      <c r="AI330" s="5"/>
      <c r="AJ330" s="5"/>
      <c r="AK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</row>
    <row r="331" spans="34:111" ht="12.75">
      <c r="AH331" s="5"/>
      <c r="AI331" s="5"/>
      <c r="AJ331" s="5"/>
      <c r="AK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</row>
    <row r="332" spans="34:111" ht="12.75">
      <c r="AH332" s="5"/>
      <c r="AI332" s="5"/>
      <c r="AJ332" s="5"/>
      <c r="AK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</row>
    <row r="333" spans="34:111" ht="12.75">
      <c r="AH333" s="5"/>
      <c r="AI333" s="5"/>
      <c r="AJ333" s="5"/>
      <c r="AK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</row>
    <row r="334" spans="34:111" ht="12.75">
      <c r="AH334" s="5"/>
      <c r="AI334" s="5"/>
      <c r="AJ334" s="5"/>
      <c r="AK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</row>
    <row r="335" spans="34:111" ht="12.75">
      <c r="AH335" s="5"/>
      <c r="AI335" s="5"/>
      <c r="AJ335" s="5"/>
      <c r="AK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</row>
    <row r="336" spans="34:111" ht="12.75">
      <c r="AH336" s="5"/>
      <c r="AI336" s="5"/>
      <c r="AJ336" s="5"/>
      <c r="AK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</row>
    <row r="337" spans="34:111" ht="12.75">
      <c r="AH337" s="5"/>
      <c r="AI337" s="5"/>
      <c r="AJ337" s="5"/>
      <c r="AK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</row>
    <row r="338" spans="34:111" ht="12.75">
      <c r="AH338" s="5"/>
      <c r="AI338" s="5"/>
      <c r="AJ338" s="5"/>
      <c r="AK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</row>
    <row r="339" spans="34:111" ht="12.75">
      <c r="AH339" s="5"/>
      <c r="AI339" s="5"/>
      <c r="AJ339" s="5"/>
      <c r="AK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</row>
    <row r="340" spans="34:111" ht="12.75">
      <c r="AH340" s="5"/>
      <c r="AI340" s="5"/>
      <c r="AJ340" s="5"/>
      <c r="AK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</row>
    <row r="341" spans="34:111" ht="12.75">
      <c r="AH341" s="5"/>
      <c r="AI341" s="5"/>
      <c r="AJ341" s="5"/>
      <c r="AK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</row>
    <row r="342" spans="34:111" ht="12.75">
      <c r="AH342" s="5"/>
      <c r="AI342" s="5"/>
      <c r="AJ342" s="5"/>
      <c r="AK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</row>
    <row r="343" spans="34:111" ht="12.75">
      <c r="AH343" s="5"/>
      <c r="AI343" s="5"/>
      <c r="AJ343" s="5"/>
      <c r="AK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</row>
    <row r="344" spans="34:111" ht="12.75">
      <c r="AH344" s="5"/>
      <c r="AI344" s="5"/>
      <c r="AJ344" s="5"/>
      <c r="AK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</row>
    <row r="345" spans="34:111" ht="12.75">
      <c r="AH345" s="5"/>
      <c r="AI345" s="5"/>
      <c r="AJ345" s="5"/>
      <c r="AK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</row>
    <row r="346" spans="34:111" ht="12.75">
      <c r="AH346" s="5"/>
      <c r="AI346" s="5"/>
      <c r="AJ346" s="5"/>
      <c r="AK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</row>
    <row r="347" spans="34:111" ht="12.75">
      <c r="AH347" s="5"/>
      <c r="AI347" s="5"/>
      <c r="AJ347" s="5"/>
      <c r="AK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</row>
    <row r="348" spans="34:111" ht="12.75">
      <c r="AH348" s="5"/>
      <c r="AI348" s="5"/>
      <c r="AJ348" s="5"/>
      <c r="AK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</row>
    <row r="349" spans="34:111" ht="12.75">
      <c r="AH349" s="5"/>
      <c r="AI349" s="5"/>
      <c r="AJ349" s="5"/>
      <c r="AK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</row>
    <row r="350" spans="34:111" ht="12.75">
      <c r="AH350" s="5"/>
      <c r="AI350" s="5"/>
      <c r="AJ350" s="5"/>
      <c r="AK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</row>
    <row r="351" spans="34:111" ht="12.75">
      <c r="AH351" s="5"/>
      <c r="AI351" s="5"/>
      <c r="AJ351" s="5"/>
      <c r="AK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</row>
    <row r="352" spans="34:111" ht="12.75">
      <c r="AH352" s="5"/>
      <c r="AI352" s="5"/>
      <c r="AJ352" s="5"/>
      <c r="AK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</row>
    <row r="353" spans="34:111" ht="12.75">
      <c r="AH353" s="5"/>
      <c r="AI353" s="5"/>
      <c r="AJ353" s="5"/>
      <c r="AK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</row>
    <row r="354" spans="34:111" ht="12.75">
      <c r="AH354" s="5"/>
      <c r="AI354" s="5"/>
      <c r="AJ354" s="5"/>
      <c r="AK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</row>
    <row r="355" spans="34:111" ht="12.75">
      <c r="AH355" s="5"/>
      <c r="AI355" s="5"/>
      <c r="AJ355" s="5"/>
      <c r="AK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</row>
    <row r="356" spans="34:111" ht="12.75">
      <c r="AH356" s="5"/>
      <c r="AI356" s="5"/>
      <c r="AJ356" s="5"/>
      <c r="AK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</row>
    <row r="357" spans="34:111" ht="12.75">
      <c r="AH357" s="5"/>
      <c r="AI357" s="5"/>
      <c r="AJ357" s="5"/>
      <c r="AK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</row>
    <row r="358" spans="34:111" ht="12.75">
      <c r="AH358" s="5"/>
      <c r="AI358" s="5"/>
      <c r="AJ358" s="5"/>
      <c r="AK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</row>
    <row r="359" spans="34:111" ht="12.75">
      <c r="AH359" s="5"/>
      <c r="AI359" s="5"/>
      <c r="AJ359" s="5"/>
      <c r="AK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</row>
    <row r="360" spans="34:111" ht="12.75">
      <c r="AH360" s="5"/>
      <c r="AI360" s="5"/>
      <c r="AJ360" s="5"/>
      <c r="AK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</row>
    <row r="361" spans="34:111" ht="12.75">
      <c r="AH361" s="5"/>
      <c r="AI361" s="5"/>
      <c r="AJ361" s="5"/>
      <c r="AK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</row>
    <row r="362" spans="34:111" ht="12.75">
      <c r="AH362" s="5"/>
      <c r="AI362" s="5"/>
      <c r="AJ362" s="5"/>
      <c r="AK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</row>
    <row r="363" spans="34:111" ht="12.75">
      <c r="AH363" s="5"/>
      <c r="AI363" s="5"/>
      <c r="AJ363" s="5"/>
      <c r="AK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</row>
    <row r="364" spans="34:111" ht="12.75">
      <c r="AH364" s="5"/>
      <c r="AI364" s="5"/>
      <c r="AJ364" s="5"/>
      <c r="AK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</row>
    <row r="365" spans="34:111" ht="12.75">
      <c r="AH365" s="5"/>
      <c r="AI365" s="5"/>
      <c r="AJ365" s="5"/>
      <c r="AK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</row>
    <row r="366" spans="34:111" ht="12.75">
      <c r="AH366" s="5"/>
      <c r="AI366" s="5"/>
      <c r="AJ366" s="5"/>
      <c r="AK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</row>
    <row r="367" spans="34:111" ht="12.75">
      <c r="AH367" s="5"/>
      <c r="AI367" s="5"/>
      <c r="AJ367" s="5"/>
      <c r="AK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</row>
    <row r="368" spans="34:111" ht="12.75">
      <c r="AH368" s="5"/>
      <c r="AI368" s="5"/>
      <c r="AJ368" s="5"/>
      <c r="AK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</row>
    <row r="369" spans="34:111" ht="12.75">
      <c r="AH369" s="5"/>
      <c r="AI369" s="5"/>
      <c r="AJ369" s="5"/>
      <c r="AK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</row>
    <row r="370" spans="34:111" ht="12.75">
      <c r="AH370" s="5"/>
      <c r="AI370" s="5"/>
      <c r="AJ370" s="5"/>
      <c r="AK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</row>
    <row r="371" spans="34:111" ht="12.75">
      <c r="AH371" s="5"/>
      <c r="AI371" s="5"/>
      <c r="AJ371" s="5"/>
      <c r="AK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</row>
    <row r="372" spans="34:111" ht="12.75">
      <c r="AH372" s="5"/>
      <c r="AI372" s="5"/>
      <c r="AJ372" s="5"/>
      <c r="AK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</row>
    <row r="373" spans="34:111" ht="12.75">
      <c r="AH373" s="5"/>
      <c r="AI373" s="5"/>
      <c r="AJ373" s="5"/>
      <c r="AK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</row>
    <row r="374" spans="34:111" ht="12.75">
      <c r="AH374" s="5"/>
      <c r="AI374" s="5"/>
      <c r="AJ374" s="5"/>
      <c r="AK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</row>
    <row r="375" spans="34:111" ht="12.75">
      <c r="AH375" s="5"/>
      <c r="AI375" s="5"/>
      <c r="AJ375" s="5"/>
      <c r="AK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</row>
    <row r="376" spans="34:111" ht="12.75">
      <c r="AH376" s="5"/>
      <c r="AI376" s="5"/>
      <c r="AJ376" s="5"/>
      <c r="AK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</row>
    <row r="377" spans="34:111" ht="12.75">
      <c r="AH377" s="5"/>
      <c r="AI377" s="5"/>
      <c r="AJ377" s="5"/>
      <c r="AK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</row>
    <row r="378" spans="34:111" ht="12.75">
      <c r="AH378" s="5"/>
      <c r="AI378" s="5"/>
      <c r="AJ378" s="5"/>
      <c r="AK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</row>
    <row r="379" spans="34:111" ht="12.75">
      <c r="AH379" s="5"/>
      <c r="AI379" s="5"/>
      <c r="AJ379" s="5"/>
      <c r="AK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</row>
    <row r="380" spans="34:111" ht="12.75">
      <c r="AH380" s="5"/>
      <c r="AI380" s="5"/>
      <c r="AJ380" s="5"/>
      <c r="AK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</row>
    <row r="381" spans="34:111" ht="12.75">
      <c r="AH381" s="5"/>
      <c r="AI381" s="5"/>
      <c r="AJ381" s="5"/>
      <c r="AK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</row>
    <row r="382" spans="34:111" ht="12.75">
      <c r="AH382" s="5"/>
      <c r="AI382" s="5"/>
      <c r="AJ382" s="5"/>
      <c r="AK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</row>
    <row r="383" spans="34:111" ht="12.75">
      <c r="AH383" s="5"/>
      <c r="AI383" s="5"/>
      <c r="AJ383" s="5"/>
      <c r="AK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</row>
    <row r="384" spans="34:111" ht="12.75">
      <c r="AH384" s="5"/>
      <c r="AI384" s="5"/>
      <c r="AJ384" s="5"/>
      <c r="AK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</row>
    <row r="385" spans="34:111" ht="12.75">
      <c r="AH385" s="5"/>
      <c r="AI385" s="5"/>
      <c r="AJ385" s="5"/>
      <c r="AK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</row>
    <row r="386" spans="34:111" ht="12.75">
      <c r="AH386" s="5"/>
      <c r="AI386" s="5"/>
      <c r="AJ386" s="5"/>
      <c r="AK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</row>
    <row r="387" spans="34:111" ht="12.75">
      <c r="AH387" s="5"/>
      <c r="AI387" s="5"/>
      <c r="AJ387" s="5"/>
      <c r="AK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</row>
    <row r="388" spans="34:111" ht="12.75">
      <c r="AH388" s="5"/>
      <c r="AI388" s="5"/>
      <c r="AJ388" s="5"/>
      <c r="AK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</row>
    <row r="389" spans="34:111" ht="12.75">
      <c r="AH389" s="5"/>
      <c r="AI389" s="5"/>
      <c r="AJ389" s="5"/>
      <c r="AK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</row>
    <row r="390" spans="34:111" ht="12.75">
      <c r="AH390" s="5"/>
      <c r="AI390" s="5"/>
      <c r="AJ390" s="5"/>
      <c r="AK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</row>
    <row r="391" spans="34:111" ht="12.75">
      <c r="AH391" s="5"/>
      <c r="AI391" s="5"/>
      <c r="AJ391" s="5"/>
      <c r="AK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</row>
    <row r="392" spans="34:111" ht="12.75">
      <c r="AH392" s="5"/>
      <c r="AI392" s="5"/>
      <c r="AJ392" s="5"/>
      <c r="AK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</row>
    <row r="393" spans="34:111" ht="12.75">
      <c r="AH393" s="5"/>
      <c r="AI393" s="5"/>
      <c r="AJ393" s="5"/>
      <c r="AK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</row>
    <row r="394" spans="34:111" ht="12.75">
      <c r="AH394" s="5"/>
      <c r="AI394" s="5"/>
      <c r="AJ394" s="5"/>
      <c r="AK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</row>
    <row r="395" spans="34:111" ht="12.75">
      <c r="AH395" s="5"/>
      <c r="AI395" s="5"/>
      <c r="AJ395" s="5"/>
      <c r="AK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</row>
    <row r="396" spans="34:111" ht="12.75">
      <c r="AH396" s="5"/>
      <c r="AI396" s="5"/>
      <c r="AJ396" s="5"/>
      <c r="AK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</row>
    <row r="397" spans="34:111" ht="12.75">
      <c r="AH397" s="5"/>
      <c r="AI397" s="5"/>
      <c r="AJ397" s="5"/>
      <c r="AK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</row>
    <row r="398" spans="34:111" ht="12.75">
      <c r="AH398" s="5"/>
      <c r="AI398" s="5"/>
      <c r="AJ398" s="5"/>
      <c r="AK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</row>
    <row r="399" spans="34:111" ht="12.75">
      <c r="AH399" s="5"/>
      <c r="AI399" s="5"/>
      <c r="AJ399" s="5"/>
      <c r="AK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</row>
    <row r="400" spans="34:111" ht="12.75">
      <c r="AH400" s="5"/>
      <c r="AI400" s="5"/>
      <c r="AJ400" s="5"/>
      <c r="AK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</row>
    <row r="401" spans="34:111" ht="12.75">
      <c r="AH401" s="5"/>
      <c r="AI401" s="5"/>
      <c r="AJ401" s="5"/>
      <c r="AK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</row>
    <row r="402" spans="34:111" ht="12.75">
      <c r="AH402" s="5"/>
      <c r="AI402" s="5"/>
      <c r="AJ402" s="5"/>
      <c r="AK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</row>
    <row r="403" spans="34:111" ht="12.75">
      <c r="AH403" s="5"/>
      <c r="AI403" s="5"/>
      <c r="AJ403" s="5"/>
      <c r="AK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</row>
    <row r="404" spans="34:111" ht="12.75">
      <c r="AH404" s="5"/>
      <c r="AI404" s="5"/>
      <c r="AJ404" s="5"/>
      <c r="AK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</row>
    <row r="405" spans="34:111" ht="12.75">
      <c r="AH405" s="5"/>
      <c r="AI405" s="5"/>
      <c r="AJ405" s="5"/>
      <c r="AK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</row>
    <row r="406" spans="34:111" ht="12.75">
      <c r="AH406" s="5"/>
      <c r="AI406" s="5"/>
      <c r="AJ406" s="5"/>
      <c r="AK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</row>
    <row r="407" spans="34:111" ht="12.75">
      <c r="AH407" s="5"/>
      <c r="AI407" s="5"/>
      <c r="AJ407" s="5"/>
      <c r="AK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</row>
    <row r="408" spans="34:111" ht="12.75">
      <c r="AH408" s="5"/>
      <c r="AI408" s="5"/>
      <c r="AJ408" s="5"/>
      <c r="AK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</row>
    <row r="409" spans="34:111" ht="12.75">
      <c r="AH409" s="5"/>
      <c r="AI409" s="5"/>
      <c r="AJ409" s="5"/>
      <c r="AK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</row>
    <row r="410" spans="34:111" ht="12.75">
      <c r="AH410" s="5"/>
      <c r="AI410" s="5"/>
      <c r="AJ410" s="5"/>
      <c r="AK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</row>
    <row r="411" spans="34:111" ht="12.75">
      <c r="AH411" s="5"/>
      <c r="AI411" s="5"/>
      <c r="AJ411" s="5"/>
      <c r="AK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</row>
    <row r="412" spans="34:111" ht="12.75">
      <c r="AH412" s="5"/>
      <c r="AI412" s="5"/>
      <c r="AJ412" s="5"/>
      <c r="AK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</row>
    <row r="413" spans="34:111" ht="12.75">
      <c r="AH413" s="5"/>
      <c r="AI413" s="5"/>
      <c r="AJ413" s="5"/>
      <c r="AK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</row>
    <row r="414" spans="34:111" ht="12.75">
      <c r="AH414" s="5"/>
      <c r="AI414" s="5"/>
      <c r="AJ414" s="5"/>
      <c r="AK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</row>
    <row r="415" spans="34:111" ht="12.75">
      <c r="AH415" s="5"/>
      <c r="AI415" s="5"/>
      <c r="AJ415" s="5"/>
      <c r="AK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</row>
    <row r="416" spans="34:111" ht="12.75">
      <c r="AH416" s="5"/>
      <c r="AI416" s="5"/>
      <c r="AJ416" s="5"/>
      <c r="AK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</row>
    <row r="417" spans="34:111" ht="12.75">
      <c r="AH417" s="5"/>
      <c r="AI417" s="5"/>
      <c r="AJ417" s="5"/>
      <c r="AK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</row>
    <row r="418" spans="34:111" ht="12.75">
      <c r="AH418" s="5"/>
      <c r="AI418" s="5"/>
      <c r="AJ418" s="5"/>
      <c r="AK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</row>
    <row r="419" spans="34:111" ht="12.75">
      <c r="AH419" s="5"/>
      <c r="AI419" s="5"/>
      <c r="AJ419" s="5"/>
      <c r="AK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</row>
    <row r="420" spans="34:111" ht="12.75">
      <c r="AH420" s="5"/>
      <c r="AI420" s="5"/>
      <c r="AJ420" s="5"/>
      <c r="AK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</row>
    <row r="421" spans="34:111" ht="12.75">
      <c r="AH421" s="5"/>
      <c r="AI421" s="5"/>
      <c r="AJ421" s="5"/>
      <c r="AK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</row>
    <row r="422" spans="34:111" ht="12.75">
      <c r="AH422" s="5"/>
      <c r="AI422" s="5"/>
      <c r="AJ422" s="5"/>
      <c r="AK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</row>
    <row r="423" spans="34:111" ht="12.75">
      <c r="AH423" s="5"/>
      <c r="AI423" s="5"/>
      <c r="AJ423" s="5"/>
      <c r="AK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</row>
    <row r="424" spans="34:111" ht="12.75">
      <c r="AH424" s="5"/>
      <c r="AI424" s="5"/>
      <c r="AJ424" s="5"/>
      <c r="AK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</row>
    <row r="425" spans="34:111" ht="12.75">
      <c r="AH425" s="5"/>
      <c r="AI425" s="5"/>
      <c r="AJ425" s="5"/>
      <c r="AK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</row>
    <row r="426" spans="34:111" ht="12.75">
      <c r="AH426" s="5"/>
      <c r="AI426" s="5"/>
      <c r="AJ426" s="5"/>
      <c r="AK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</row>
    <row r="427" spans="34:111" ht="12.75">
      <c r="AH427" s="5"/>
      <c r="AI427" s="5"/>
      <c r="AJ427" s="5"/>
      <c r="AK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</row>
    <row r="428" spans="34:111" ht="12.75">
      <c r="AH428" s="5"/>
      <c r="AI428" s="5"/>
      <c r="AJ428" s="5"/>
      <c r="AK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</row>
    <row r="429" spans="34:111" ht="12.75">
      <c r="AH429" s="5"/>
      <c r="AI429" s="5"/>
      <c r="AJ429" s="5"/>
      <c r="AK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</row>
    <row r="430" spans="34:111" ht="12.75">
      <c r="AH430" s="5"/>
      <c r="AI430" s="5"/>
      <c r="AJ430" s="5"/>
      <c r="AK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</row>
    <row r="431" spans="34:111" ht="12.75">
      <c r="AH431" s="5"/>
      <c r="AI431" s="5"/>
      <c r="AJ431" s="5"/>
      <c r="AK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</row>
    <row r="432" spans="34:111" ht="12.75">
      <c r="AH432" s="5"/>
      <c r="AI432" s="5"/>
      <c r="AJ432" s="5"/>
      <c r="AK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</row>
    <row r="433" spans="34:111" ht="12.75">
      <c r="AH433" s="5"/>
      <c r="AI433" s="5"/>
      <c r="AJ433" s="5"/>
      <c r="AK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</row>
    <row r="434" spans="34:111" ht="12.75">
      <c r="AH434" s="5"/>
      <c r="AI434" s="5"/>
      <c r="AJ434" s="5"/>
      <c r="AK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</row>
    <row r="435" spans="34:111" ht="12.75">
      <c r="AH435" s="5"/>
      <c r="AI435" s="5"/>
      <c r="AJ435" s="5"/>
      <c r="AK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</row>
    <row r="436" spans="34:111" ht="12.75">
      <c r="AH436" s="5"/>
      <c r="AI436" s="5"/>
      <c r="AJ436" s="5"/>
      <c r="AK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</row>
    <row r="437" spans="34:111" ht="12.75">
      <c r="AH437" s="5"/>
      <c r="AI437" s="5"/>
      <c r="AJ437" s="5"/>
      <c r="AK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</row>
    <row r="438" spans="34:111" ht="12.75">
      <c r="AH438" s="5"/>
      <c r="AI438" s="5"/>
      <c r="AJ438" s="5"/>
      <c r="AK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</row>
    <row r="439" spans="34:111" ht="12.75">
      <c r="AH439" s="5"/>
      <c r="AI439" s="5"/>
      <c r="AJ439" s="5"/>
      <c r="AK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</row>
    <row r="440" spans="34:111" ht="12.75">
      <c r="AH440" s="5"/>
      <c r="AI440" s="5"/>
      <c r="AJ440" s="5"/>
      <c r="AK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</row>
    <row r="441" spans="34:111" ht="12.75">
      <c r="AH441" s="5"/>
      <c r="AI441" s="5"/>
      <c r="AJ441" s="5"/>
      <c r="AK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</row>
    <row r="442" spans="34:111" ht="12.75">
      <c r="AH442" s="5"/>
      <c r="AI442" s="5"/>
      <c r="AJ442" s="5"/>
      <c r="AK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</row>
    <row r="443" spans="34:111" ht="12.75">
      <c r="AH443" s="5"/>
      <c r="AI443" s="5"/>
      <c r="AJ443" s="5"/>
      <c r="AK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</row>
    <row r="444" spans="34:111" ht="12.75">
      <c r="AH444" s="5"/>
      <c r="AI444" s="5"/>
      <c r="AJ444" s="5"/>
      <c r="AK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</row>
    <row r="445" spans="34:111" ht="12.75">
      <c r="AH445" s="5"/>
      <c r="AI445" s="5"/>
      <c r="AJ445" s="5"/>
      <c r="AK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</row>
    <row r="446" spans="34:111" ht="12.75">
      <c r="AH446" s="5"/>
      <c r="AI446" s="5"/>
      <c r="AJ446" s="5"/>
      <c r="AK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</row>
    <row r="447" spans="34:111" ht="12.75">
      <c r="AH447" s="5"/>
      <c r="AI447" s="5"/>
      <c r="AJ447" s="5"/>
      <c r="AK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</row>
    <row r="448" spans="34:111" ht="12.75">
      <c r="AH448" s="5"/>
      <c r="AI448" s="5"/>
      <c r="AJ448" s="5"/>
      <c r="AK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</row>
    <row r="449" spans="34:111" ht="12.75">
      <c r="AH449" s="5"/>
      <c r="AI449" s="5"/>
      <c r="AJ449" s="5"/>
      <c r="AK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</row>
    <row r="450" spans="34:111" ht="12.75">
      <c r="AH450" s="5"/>
      <c r="AI450" s="5"/>
      <c r="AJ450" s="5"/>
      <c r="AK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</row>
    <row r="451" spans="34:111" ht="12.75">
      <c r="AH451" s="5"/>
      <c r="AI451" s="5"/>
      <c r="AJ451" s="5"/>
      <c r="AK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</row>
    <row r="452" spans="34:111" ht="12.75">
      <c r="AH452" s="5"/>
      <c r="AI452" s="5"/>
      <c r="AJ452" s="5"/>
      <c r="AK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</row>
    <row r="453" spans="34:111" ht="12.75">
      <c r="AH453" s="5"/>
      <c r="AI453" s="5"/>
      <c r="AJ453" s="5"/>
      <c r="AK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</row>
    <row r="454" spans="34:111" ht="12.75">
      <c r="AH454" s="5"/>
      <c r="AI454" s="5"/>
      <c r="AJ454" s="5"/>
      <c r="AK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</row>
    <row r="455" spans="34:111" ht="12.75">
      <c r="AH455" s="5"/>
      <c r="AI455" s="5"/>
      <c r="AJ455" s="5"/>
      <c r="AK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</row>
    <row r="456" spans="34:111" ht="12.75">
      <c r="AH456" s="5"/>
      <c r="AI456" s="5"/>
      <c r="AJ456" s="5"/>
      <c r="AK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</row>
    <row r="457" spans="34:111" ht="12.75">
      <c r="AH457" s="5"/>
      <c r="AI457" s="5"/>
      <c r="AJ457" s="5"/>
      <c r="AK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</row>
    <row r="458" spans="34:111" ht="12.75">
      <c r="AH458" s="5"/>
      <c r="AI458" s="5"/>
      <c r="AJ458" s="5"/>
      <c r="AK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</row>
    <row r="459" spans="34:111" ht="12.75">
      <c r="AH459" s="5"/>
      <c r="AI459" s="5"/>
      <c r="AJ459" s="5"/>
      <c r="AK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</row>
    <row r="460" spans="34:111" ht="12.75">
      <c r="AH460" s="5"/>
      <c r="AI460" s="5"/>
      <c r="AJ460" s="5"/>
      <c r="AK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</row>
    <row r="461" spans="34:111" ht="12.75">
      <c r="AH461" s="5"/>
      <c r="AI461" s="5"/>
      <c r="AJ461" s="5"/>
      <c r="AK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</row>
    <row r="462" spans="34:111" ht="12.75">
      <c r="AH462" s="5"/>
      <c r="AI462" s="5"/>
      <c r="AJ462" s="5"/>
      <c r="AK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</row>
    <row r="463" spans="34:111" ht="12.75">
      <c r="AH463" s="5"/>
      <c r="AI463" s="5"/>
      <c r="AJ463" s="5"/>
      <c r="AK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</row>
    <row r="464" spans="34:111" ht="12.75">
      <c r="AH464" s="5"/>
      <c r="AI464" s="5"/>
      <c r="AJ464" s="5"/>
      <c r="AK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</row>
    <row r="465" spans="34:111" ht="12.75">
      <c r="AH465" s="5"/>
      <c r="AI465" s="5"/>
      <c r="AJ465" s="5"/>
      <c r="AK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</row>
    <row r="466" spans="34:111" ht="12.75">
      <c r="AH466" s="5"/>
      <c r="AI466" s="5"/>
      <c r="AJ466" s="5"/>
      <c r="AK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</row>
    <row r="467" spans="34:111" ht="12.75">
      <c r="AH467" s="5"/>
      <c r="AI467" s="5"/>
      <c r="AJ467" s="5"/>
      <c r="AK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</row>
    <row r="468" spans="34:111" ht="12.75">
      <c r="AH468" s="5"/>
      <c r="AI468" s="5"/>
      <c r="AJ468" s="5"/>
      <c r="AK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</row>
    <row r="469" spans="34:111" ht="12.75">
      <c r="AH469" s="5"/>
      <c r="AI469" s="5"/>
      <c r="AJ469" s="5"/>
      <c r="AK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</row>
    <row r="470" spans="34:111" ht="12.75">
      <c r="AH470" s="5"/>
      <c r="AI470" s="5"/>
      <c r="AJ470" s="5"/>
      <c r="AK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</row>
    <row r="471" spans="34:111" ht="12.75">
      <c r="AH471" s="5"/>
      <c r="AI471" s="5"/>
      <c r="AJ471" s="5"/>
      <c r="AK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</row>
    <row r="472" spans="34:111" ht="12.75">
      <c r="AH472" s="5"/>
      <c r="AI472" s="5"/>
      <c r="AJ472" s="5"/>
      <c r="AK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</row>
    <row r="473" spans="34:111" ht="12.75">
      <c r="AH473" s="5"/>
      <c r="AI473" s="5"/>
      <c r="AJ473" s="5"/>
      <c r="AK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</row>
    <row r="474" spans="34:111" ht="12.75">
      <c r="AH474" s="5"/>
      <c r="AI474" s="5"/>
      <c r="AJ474" s="5"/>
      <c r="AK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</row>
    <row r="475" spans="34:111" ht="12.75">
      <c r="AH475" s="5"/>
      <c r="AI475" s="5"/>
      <c r="AJ475" s="5"/>
      <c r="AK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</row>
    <row r="476" spans="34:111" ht="12.75">
      <c r="AH476" s="5"/>
      <c r="AI476" s="5"/>
      <c r="AJ476" s="5"/>
      <c r="AK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</row>
    <row r="477" spans="34:111" ht="12.75">
      <c r="AH477" s="5"/>
      <c r="AI477" s="5"/>
      <c r="AJ477" s="5"/>
      <c r="AK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</row>
    <row r="478" spans="34:111" ht="12.75">
      <c r="AH478" s="5"/>
      <c r="AI478" s="5"/>
      <c r="AJ478" s="5"/>
      <c r="AK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</row>
    <row r="479" spans="34:111" ht="12.75">
      <c r="AH479" s="5"/>
      <c r="AI479" s="5"/>
      <c r="AJ479" s="5"/>
      <c r="AK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</row>
    <row r="480" spans="34:111" ht="12.75">
      <c r="AH480" s="5"/>
      <c r="AI480" s="5"/>
      <c r="AJ480" s="5"/>
      <c r="AK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</row>
    <row r="481" spans="34:111" ht="12.75">
      <c r="AH481" s="5"/>
      <c r="AI481" s="5"/>
      <c r="AJ481" s="5"/>
      <c r="AK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</row>
    <row r="482" spans="34:111" ht="12.75">
      <c r="AH482" s="5"/>
      <c r="AI482" s="5"/>
      <c r="AJ482" s="5"/>
      <c r="AK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</row>
    <row r="483" spans="34:111" ht="12.75">
      <c r="AH483" s="5"/>
      <c r="AI483" s="5"/>
      <c r="AJ483" s="5"/>
      <c r="AK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</row>
    <row r="484" spans="34:111" ht="12.75">
      <c r="AH484" s="5"/>
      <c r="AI484" s="5"/>
      <c r="AJ484" s="5"/>
      <c r="AK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</row>
    <row r="485" spans="34:111" ht="12.75">
      <c r="AH485" s="5"/>
      <c r="AI485" s="5"/>
      <c r="AJ485" s="5"/>
      <c r="AK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</row>
    <row r="486" spans="34:111" ht="12.75">
      <c r="AH486" s="5"/>
      <c r="AI486" s="5"/>
      <c r="AJ486" s="5"/>
      <c r="AK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</row>
    <row r="487" spans="34:111" ht="12.75">
      <c r="AH487" s="5"/>
      <c r="AI487" s="5"/>
      <c r="AJ487" s="5"/>
      <c r="AK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</row>
    <row r="488" spans="34:111" ht="12.75">
      <c r="AH488" s="5"/>
      <c r="AI488" s="5"/>
      <c r="AJ488" s="5"/>
      <c r="AK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</row>
    <row r="489" spans="34:111" ht="12.75">
      <c r="AH489" s="5"/>
      <c r="AI489" s="5"/>
      <c r="AJ489" s="5"/>
      <c r="AK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</row>
    <row r="490" spans="34:111" ht="12.75">
      <c r="AH490" s="5"/>
      <c r="AI490" s="5"/>
      <c r="AJ490" s="5"/>
      <c r="AK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</row>
    <row r="491" spans="34:111" ht="12.75">
      <c r="AH491" s="5"/>
      <c r="AI491" s="5"/>
      <c r="AJ491" s="5"/>
      <c r="AK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</row>
    <row r="492" spans="34:111" ht="12.75">
      <c r="AH492" s="5"/>
      <c r="AI492" s="5"/>
      <c r="AJ492" s="5"/>
      <c r="AK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</row>
    <row r="493" spans="34:111" ht="12.75">
      <c r="AH493" s="5"/>
      <c r="AI493" s="5"/>
      <c r="AJ493" s="5"/>
      <c r="AK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</row>
    <row r="494" spans="34:111" ht="12.75">
      <c r="AH494" s="5"/>
      <c r="AI494" s="5"/>
      <c r="AJ494" s="5"/>
      <c r="AK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</row>
    <row r="495" spans="34:111" ht="12.75">
      <c r="AH495" s="5"/>
      <c r="AI495" s="5"/>
      <c r="AJ495" s="5"/>
      <c r="AK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</row>
    <row r="496" spans="34:111" ht="12.75">
      <c r="AH496" s="5"/>
      <c r="AI496" s="5"/>
      <c r="AJ496" s="5"/>
      <c r="AK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</row>
    <row r="497" spans="34:111" ht="12.75">
      <c r="AH497" s="5"/>
      <c r="AI497" s="5"/>
      <c r="AJ497" s="5"/>
      <c r="AK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</row>
    <row r="498" spans="34:111" ht="12.75">
      <c r="AH498" s="5"/>
      <c r="AI498" s="5"/>
      <c r="AJ498" s="5"/>
      <c r="AK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</row>
    <row r="499" spans="34:111" ht="12.75">
      <c r="AH499" s="5"/>
      <c r="AI499" s="5"/>
      <c r="AJ499" s="5"/>
      <c r="AK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</row>
    <row r="500" spans="34:111" ht="12.75">
      <c r="AH500" s="5"/>
      <c r="AI500" s="5"/>
      <c r="AJ500" s="5"/>
      <c r="AK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</row>
    <row r="501" spans="34:111" ht="12.75">
      <c r="AH501" s="5"/>
      <c r="AI501" s="5"/>
      <c r="AJ501" s="5"/>
      <c r="AK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</row>
    <row r="502" spans="34:111" ht="12.75">
      <c r="AH502" s="5"/>
      <c r="AI502" s="5"/>
      <c r="AJ502" s="5"/>
      <c r="AK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</row>
    <row r="503" spans="34:111" ht="12.75">
      <c r="AH503" s="5"/>
      <c r="AI503" s="5"/>
      <c r="AJ503" s="5"/>
      <c r="AK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</row>
    <row r="504" spans="34:111" ht="12.75">
      <c r="AH504" s="5"/>
      <c r="AI504" s="5"/>
      <c r="AJ504" s="5"/>
      <c r="AK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</row>
    <row r="505" spans="34:111" ht="12.75">
      <c r="AH505" s="5"/>
      <c r="AI505" s="5"/>
      <c r="AJ505" s="5"/>
      <c r="AK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</row>
    <row r="506" spans="34:111" ht="12.75">
      <c r="AH506" s="5"/>
      <c r="AI506" s="5"/>
      <c r="AJ506" s="5"/>
      <c r="AK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</row>
    <row r="507" spans="34:111" ht="12.75">
      <c r="AH507" s="5"/>
      <c r="AI507" s="5"/>
      <c r="AJ507" s="5"/>
      <c r="AK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</row>
    <row r="508" spans="34:111" ht="12.75">
      <c r="AH508" s="5"/>
      <c r="AI508" s="5"/>
      <c r="AJ508" s="5"/>
      <c r="AK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</row>
    <row r="509" spans="34:111" ht="12.75">
      <c r="AH509" s="5"/>
      <c r="AI509" s="5"/>
      <c r="AJ509" s="5"/>
      <c r="AK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</row>
    <row r="510" spans="34:111" ht="12.75">
      <c r="AH510" s="5"/>
      <c r="AI510" s="5"/>
      <c r="AJ510" s="5"/>
      <c r="AK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</row>
    <row r="511" spans="34:111" ht="12.75">
      <c r="AH511" s="5"/>
      <c r="AI511" s="5"/>
      <c r="AJ511" s="5"/>
      <c r="AK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</row>
    <row r="512" spans="34:111" ht="12.75">
      <c r="AH512" s="5"/>
      <c r="AI512" s="5"/>
      <c r="AJ512" s="5"/>
      <c r="AK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</row>
    <row r="513" spans="34:111" ht="12.75">
      <c r="AH513" s="5"/>
      <c r="AI513" s="5"/>
      <c r="AJ513" s="5"/>
      <c r="AK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</row>
    <row r="514" spans="34:111" ht="12.75">
      <c r="AH514" s="5"/>
      <c r="AI514" s="5"/>
      <c r="AJ514" s="5"/>
      <c r="AK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</row>
    <row r="515" spans="34:111" ht="12.75">
      <c r="AH515" s="5"/>
      <c r="AI515" s="5"/>
      <c r="AJ515" s="5"/>
      <c r="AK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</row>
    <row r="516" spans="34:111" ht="12.75">
      <c r="AH516" s="5"/>
      <c r="AI516" s="5"/>
      <c r="AJ516" s="5"/>
      <c r="AK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</row>
    <row r="517" spans="34:111" ht="12.75">
      <c r="AH517" s="5"/>
      <c r="AI517" s="5"/>
      <c r="AJ517" s="5"/>
      <c r="AK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</row>
    <row r="518" spans="34:111" ht="12.75">
      <c r="AH518" s="5"/>
      <c r="AI518" s="5"/>
      <c r="AJ518" s="5"/>
      <c r="AK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</row>
    <row r="519" spans="34:111" ht="12.75">
      <c r="AH519" s="5"/>
      <c r="AI519" s="5"/>
      <c r="AJ519" s="5"/>
      <c r="AK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</row>
    <row r="520" spans="34:111" ht="12.75">
      <c r="AH520" s="5"/>
      <c r="AI520" s="5"/>
      <c r="AJ520" s="5"/>
      <c r="AK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</row>
    <row r="521" spans="34:111" ht="12.75">
      <c r="AH521" s="5"/>
      <c r="AI521" s="5"/>
      <c r="AJ521" s="5"/>
      <c r="AK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</row>
    <row r="522" spans="34:111" ht="12.75">
      <c r="AH522" s="5"/>
      <c r="AI522" s="5"/>
      <c r="AJ522" s="5"/>
      <c r="AK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</row>
    <row r="523" spans="34:111" ht="12.75">
      <c r="AH523" s="5"/>
      <c r="AI523" s="5"/>
      <c r="AJ523" s="5"/>
      <c r="AK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</row>
    <row r="524" spans="34:111" ht="12.75">
      <c r="AH524" s="5"/>
      <c r="AI524" s="5"/>
      <c r="AJ524" s="5"/>
      <c r="AK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</row>
    <row r="525" spans="34:111" ht="12.75">
      <c r="AH525" s="5"/>
      <c r="AI525" s="5"/>
      <c r="AJ525" s="5"/>
      <c r="AK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</row>
    <row r="526" spans="34:111" ht="12.75">
      <c r="AH526" s="5"/>
      <c r="AI526" s="5"/>
      <c r="AJ526" s="5"/>
      <c r="AK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</row>
    <row r="527" spans="34:111" ht="12.75">
      <c r="AH527" s="5"/>
      <c r="AI527" s="5"/>
      <c r="AJ527" s="5"/>
      <c r="AK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</row>
    <row r="528" spans="34:111" ht="12.75">
      <c r="AH528" s="5"/>
      <c r="AI528" s="5"/>
      <c r="AJ528" s="5"/>
      <c r="AK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</row>
    <row r="529" spans="34:111" ht="12.75">
      <c r="AH529" s="5"/>
      <c r="AI529" s="5"/>
      <c r="AJ529" s="5"/>
      <c r="AK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</row>
    <row r="530" spans="34:111" ht="12.75">
      <c r="AH530" s="5"/>
      <c r="AI530" s="5"/>
      <c r="AJ530" s="5"/>
      <c r="AK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</row>
    <row r="531" spans="34:111" ht="12.75">
      <c r="AH531" s="5"/>
      <c r="AI531" s="5"/>
      <c r="AJ531" s="5"/>
      <c r="AK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</row>
    <row r="532" spans="34:111" ht="12.75">
      <c r="AH532" s="5"/>
      <c r="AI532" s="5"/>
      <c r="AJ532" s="5"/>
      <c r="AK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</row>
    <row r="533" spans="34:111" ht="12.75">
      <c r="AH533" s="5"/>
      <c r="AI533" s="5"/>
      <c r="AJ533" s="5"/>
      <c r="AK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</row>
    <row r="534" spans="34:111" ht="12.75">
      <c r="AH534" s="5"/>
      <c r="AI534" s="5"/>
      <c r="AJ534" s="5"/>
      <c r="AK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</row>
    <row r="535" spans="34:111" ht="12.75">
      <c r="AH535" s="5"/>
      <c r="AI535" s="5"/>
      <c r="AJ535" s="5"/>
      <c r="AK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</row>
    <row r="536" spans="34:111" ht="12.75">
      <c r="AH536" s="5"/>
      <c r="AI536" s="5"/>
      <c r="AJ536" s="5"/>
      <c r="AK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</row>
    <row r="537" spans="34:111" ht="12.75">
      <c r="AH537" s="5"/>
      <c r="AI537" s="5"/>
      <c r="AJ537" s="5"/>
      <c r="AK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</row>
    <row r="538" spans="34:111" ht="12.75">
      <c r="AH538" s="5"/>
      <c r="AI538" s="5"/>
      <c r="AJ538" s="5"/>
      <c r="AK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</row>
    <row r="539" spans="34:111" ht="12.75">
      <c r="AH539" s="5"/>
      <c r="AI539" s="5"/>
      <c r="AJ539" s="5"/>
      <c r="AK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</row>
    <row r="540" spans="34:111" ht="12.75">
      <c r="AH540" s="5"/>
      <c r="AI540" s="5"/>
      <c r="AJ540" s="5"/>
      <c r="AK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</row>
    <row r="541" spans="34:111" ht="12.75">
      <c r="AH541" s="5"/>
      <c r="AI541" s="5"/>
      <c r="AJ541" s="5"/>
      <c r="AK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</row>
    <row r="542" spans="34:111" ht="12.75">
      <c r="AH542" s="5"/>
      <c r="AI542" s="5"/>
      <c r="AJ542" s="5"/>
      <c r="AK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</row>
    <row r="543" spans="34:111" ht="12.75">
      <c r="AH543" s="5"/>
      <c r="AI543" s="5"/>
      <c r="AJ543" s="5"/>
      <c r="AK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</row>
    <row r="544" spans="34:111" ht="12.75">
      <c r="AH544" s="5"/>
      <c r="AI544" s="5"/>
      <c r="AJ544" s="5"/>
      <c r="AK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</row>
    <row r="545" spans="34:111" ht="12.75">
      <c r="AH545" s="5"/>
      <c r="AI545" s="5"/>
      <c r="AJ545" s="5"/>
      <c r="AK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</row>
    <row r="546" spans="34:111" ht="12.75">
      <c r="AH546" s="5"/>
      <c r="AI546" s="5"/>
      <c r="AJ546" s="5"/>
      <c r="AK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</row>
    <row r="547" spans="34:111" ht="12.75">
      <c r="AH547" s="5"/>
      <c r="AI547" s="5"/>
      <c r="AJ547" s="5"/>
      <c r="AK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</row>
    <row r="548" spans="34:111" ht="12.75">
      <c r="AH548" s="5"/>
      <c r="AI548" s="5"/>
      <c r="AJ548" s="5"/>
      <c r="AK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</row>
    <row r="549" spans="34:111" ht="12.75">
      <c r="AH549" s="5"/>
      <c r="AI549" s="5"/>
      <c r="AJ549" s="5"/>
      <c r="AK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</row>
    <row r="550" spans="34:111" ht="12.75">
      <c r="AH550" s="5"/>
      <c r="AI550" s="5"/>
      <c r="AJ550" s="5"/>
      <c r="AK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</row>
    <row r="551" spans="34:111" ht="12.75">
      <c r="AH551" s="5"/>
      <c r="AI551" s="5"/>
      <c r="AJ551" s="5"/>
      <c r="AK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</row>
    <row r="552" spans="34:111" ht="12.75">
      <c r="AH552" s="5"/>
      <c r="AI552" s="5"/>
      <c r="AJ552" s="5"/>
      <c r="AK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</row>
    <row r="553" spans="34:111" ht="12.75">
      <c r="AH553" s="5"/>
      <c r="AI553" s="5"/>
      <c r="AJ553" s="5"/>
      <c r="AK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</row>
    <row r="554" spans="34:111" ht="12.75">
      <c r="AH554" s="5"/>
      <c r="AI554" s="5"/>
      <c r="AJ554" s="5"/>
      <c r="AK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</row>
    <row r="555" spans="34:111" ht="12.75">
      <c r="AH555" s="5"/>
      <c r="AI555" s="5"/>
      <c r="AJ555" s="5"/>
      <c r="AK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</row>
    <row r="556" spans="34:111" ht="12.75">
      <c r="AH556" s="5"/>
      <c r="AI556" s="5"/>
      <c r="AJ556" s="5"/>
      <c r="AK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</row>
    <row r="557" spans="34:111" ht="12.75">
      <c r="AH557" s="5"/>
      <c r="AI557" s="5"/>
      <c r="AJ557" s="5"/>
      <c r="AK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</row>
    <row r="558" spans="34:111" ht="12.75">
      <c r="AH558" s="5"/>
      <c r="AI558" s="5"/>
      <c r="AJ558" s="5"/>
      <c r="AK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</row>
    <row r="559" spans="34:111" ht="12.75">
      <c r="AH559" s="5"/>
      <c r="AI559" s="5"/>
      <c r="AJ559" s="5"/>
      <c r="AK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</row>
    <row r="560" spans="34:111" ht="12.75">
      <c r="AH560" s="5"/>
      <c r="AI560" s="5"/>
      <c r="AJ560" s="5"/>
      <c r="AK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</row>
    <row r="561" spans="34:111" ht="12.75">
      <c r="AH561" s="5"/>
      <c r="AI561" s="5"/>
      <c r="AJ561" s="5"/>
      <c r="AK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</row>
    <row r="562" spans="34:111" ht="12.75">
      <c r="AH562" s="5"/>
      <c r="AI562" s="5"/>
      <c r="AJ562" s="5"/>
      <c r="AK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</row>
    <row r="563" spans="34:111" ht="12.75">
      <c r="AH563" s="5"/>
      <c r="AI563" s="5"/>
      <c r="AJ563" s="5"/>
      <c r="AK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</row>
    <row r="564" spans="34:111" ht="12.75">
      <c r="AH564" s="5"/>
      <c r="AI564" s="5"/>
      <c r="AJ564" s="5"/>
      <c r="AK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</row>
    <row r="565" spans="34:111" ht="12.75">
      <c r="AH565" s="5"/>
      <c r="AI565" s="5"/>
      <c r="AJ565" s="5"/>
      <c r="AK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</row>
    <row r="566" spans="34:111" ht="12.75">
      <c r="AH566" s="5"/>
      <c r="AI566" s="5"/>
      <c r="AJ566" s="5"/>
      <c r="AK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</row>
    <row r="567" spans="34:111" ht="12.75">
      <c r="AH567" s="5"/>
      <c r="AI567" s="5"/>
      <c r="AJ567" s="5"/>
      <c r="AK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</row>
    <row r="568" spans="34:111" ht="12.75">
      <c r="AH568" s="5"/>
      <c r="AI568" s="5"/>
      <c r="AJ568" s="5"/>
      <c r="AK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</row>
    <row r="569" spans="34:111" ht="12.75">
      <c r="AH569" s="5"/>
      <c r="AI569" s="5"/>
      <c r="AJ569" s="5"/>
      <c r="AK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</row>
    <row r="570" spans="34:111" ht="12.75">
      <c r="AH570" s="5"/>
      <c r="AI570" s="5"/>
      <c r="AJ570" s="5"/>
      <c r="AK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</row>
    <row r="571" spans="34:111" ht="12.75">
      <c r="AH571" s="5"/>
      <c r="AI571" s="5"/>
      <c r="AJ571" s="5"/>
      <c r="AK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</row>
    <row r="572" spans="34:111" ht="12.75">
      <c r="AH572" s="5"/>
      <c r="AI572" s="5"/>
      <c r="AJ572" s="5"/>
      <c r="AK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</row>
    <row r="573" spans="34:111" ht="12.75">
      <c r="AH573" s="5"/>
      <c r="AI573" s="5"/>
      <c r="AJ573" s="5"/>
      <c r="AK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</row>
    <row r="574" spans="34:111" ht="12.75">
      <c r="AH574" s="5"/>
      <c r="AI574" s="5"/>
      <c r="AJ574" s="5"/>
      <c r="AK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</row>
    <row r="575" spans="34:111" ht="12.75">
      <c r="AH575" s="5"/>
      <c r="AI575" s="5"/>
      <c r="AJ575" s="5"/>
      <c r="AK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</row>
    <row r="576" spans="34:111" ht="12.75">
      <c r="AH576" s="5"/>
      <c r="AI576" s="5"/>
      <c r="AJ576" s="5"/>
      <c r="AK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</row>
  </sheetData>
  <sheetProtection/>
  <printOptions/>
  <pageMargins left="0.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  <colBreaks count="2" manualBreakCount="2">
    <brk id="13" max="65535" man="1"/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86"/>
  <sheetViews>
    <sheetView zoomScale="124" zoomScaleNormal="124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40" sqref="H40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4" width="12.7109375" style="5" customWidth="1"/>
    <col min="35" max="36" width="13.7109375" style="5" customWidth="1"/>
    <col min="37" max="37" width="3.7109375" style="5" customWidth="1"/>
    <col min="38" max="39" width="12.7109375" style="5" customWidth="1"/>
    <col min="40" max="41" width="13.7109375" style="5" customWidth="1"/>
    <col min="42" max="42" width="3.7109375" style="5" customWidth="1"/>
    <col min="43" max="44" width="12.7109375" style="5" customWidth="1"/>
    <col min="45" max="46" width="14.14062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0" customWidth="1"/>
    <col min="58" max="59" width="12.7109375" style="5" customWidth="1"/>
    <col min="60" max="61" width="14.140625" style="5" customWidth="1"/>
  </cols>
  <sheetData>
    <row r="1" spans="1:53" ht="12.75">
      <c r="A1" s="1"/>
      <c r="B1" s="2"/>
      <c r="D1" s="4"/>
      <c r="H1" s="4" t="s">
        <v>27</v>
      </c>
      <c r="W1" s="4" t="s">
        <v>27</v>
      </c>
      <c r="AL1" s="4" t="s">
        <v>27</v>
      </c>
      <c r="BA1" s="4" t="s">
        <v>27</v>
      </c>
    </row>
    <row r="2" spans="1:53" ht="12.75">
      <c r="A2" s="1"/>
      <c r="B2" s="2"/>
      <c r="D2" s="4"/>
      <c r="H2" s="4" t="s">
        <v>26</v>
      </c>
      <c r="W2" s="4" t="s">
        <v>26</v>
      </c>
      <c r="AL2" s="4" t="s">
        <v>26</v>
      </c>
      <c r="BA2" s="4" t="s">
        <v>26</v>
      </c>
    </row>
    <row r="3" spans="1:53" ht="12.75">
      <c r="A3" s="1"/>
      <c r="B3" s="2"/>
      <c r="D3" s="7"/>
      <c r="H3" s="80" t="s">
        <v>83</v>
      </c>
      <c r="W3" s="80" t="s">
        <v>83</v>
      </c>
      <c r="AL3" s="80" t="s">
        <v>83</v>
      </c>
      <c r="BA3" s="80" t="s">
        <v>83</v>
      </c>
    </row>
    <row r="4" spans="1:4" ht="12.75">
      <c r="A4" s="1"/>
      <c r="B4" s="2"/>
      <c r="C4" s="7"/>
      <c r="D4" s="4"/>
    </row>
    <row r="5" spans="1:61" ht="12.75">
      <c r="A5" s="9" t="s">
        <v>0</v>
      </c>
      <c r="C5" s="81" t="s">
        <v>81</v>
      </c>
      <c r="D5" s="10"/>
      <c r="E5" s="11"/>
      <c r="F5" s="111"/>
      <c r="H5" s="76" t="s">
        <v>99</v>
      </c>
      <c r="I5" s="13"/>
      <c r="J5" s="14"/>
      <c r="K5" s="34"/>
      <c r="M5" s="74" t="s">
        <v>142</v>
      </c>
      <c r="N5" s="13"/>
      <c r="O5" s="14"/>
      <c r="P5" s="34"/>
      <c r="R5" s="74" t="s">
        <v>30</v>
      </c>
      <c r="S5" s="13"/>
      <c r="T5" s="14"/>
      <c r="U5" s="34"/>
      <c r="W5" s="41" t="s">
        <v>101</v>
      </c>
      <c r="X5" s="72"/>
      <c r="Y5" s="73"/>
      <c r="Z5" s="112"/>
      <c r="AB5" s="41" t="s">
        <v>102</v>
      </c>
      <c r="AC5" s="72"/>
      <c r="AD5" s="73"/>
      <c r="AE5" s="112"/>
      <c r="AG5" s="75" t="s">
        <v>143</v>
      </c>
      <c r="AH5" s="13"/>
      <c r="AI5" s="14"/>
      <c r="AJ5" s="34"/>
      <c r="AL5" s="75" t="s">
        <v>103</v>
      </c>
      <c r="AM5" s="13"/>
      <c r="AN5" s="14"/>
      <c r="AO5" s="34"/>
      <c r="AQ5" s="109" t="s">
        <v>170</v>
      </c>
      <c r="AR5" s="13"/>
      <c r="AS5" s="14"/>
      <c r="AT5" s="34"/>
      <c r="AV5" s="41" t="s">
        <v>113</v>
      </c>
      <c r="AW5" s="13"/>
      <c r="AX5" s="14"/>
      <c r="AY5" s="34"/>
      <c r="BA5" s="109" t="s">
        <v>171</v>
      </c>
      <c r="BB5" s="13"/>
      <c r="BC5" s="14"/>
      <c r="BD5" s="34"/>
      <c r="BF5" s="109" t="s">
        <v>172</v>
      </c>
      <c r="BG5" s="13"/>
      <c r="BH5" s="14"/>
      <c r="BI5" s="34"/>
    </row>
    <row r="6" spans="1:61" ht="12.75">
      <c r="A6" s="21" t="s">
        <v>1</v>
      </c>
      <c r="B6" s="8"/>
      <c r="C6" s="84" t="s">
        <v>114</v>
      </c>
      <c r="D6" s="13"/>
      <c r="E6" s="40"/>
      <c r="F6" s="30" t="s">
        <v>174</v>
      </c>
      <c r="H6" s="22">
        <f>M6+R6+W6+AB6+AG6+AL6+AV6</f>
        <v>0.0302577</v>
      </c>
      <c r="I6" s="28">
        <f>N6+S6+X6+AC6+AH6+AM6+AR6+AW6+BB6+BG6</f>
        <v>0.07272619999999999</v>
      </c>
      <c r="J6" s="23"/>
      <c r="K6" s="30" t="s">
        <v>174</v>
      </c>
      <c r="M6" s="42">
        <v>6.27E-05</v>
      </c>
      <c r="N6" s="8">
        <v>5.59E-05</v>
      </c>
      <c r="O6" s="24"/>
      <c r="P6" s="30" t="s">
        <v>174</v>
      </c>
      <c r="R6" s="42">
        <v>0.0004979</v>
      </c>
      <c r="S6" s="8">
        <v>0.0019122</v>
      </c>
      <c r="T6" s="24"/>
      <c r="U6" s="30" t="s">
        <v>174</v>
      </c>
      <c r="W6" s="42">
        <v>0.0006548</v>
      </c>
      <c r="X6" s="8">
        <v>0.0019035</v>
      </c>
      <c r="Y6" s="24"/>
      <c r="Z6" s="30" t="s">
        <v>174</v>
      </c>
      <c r="AB6" s="42">
        <v>0.001373</v>
      </c>
      <c r="AC6" s="8">
        <v>0.0032718</v>
      </c>
      <c r="AD6" s="24"/>
      <c r="AE6" s="30" t="s">
        <v>174</v>
      </c>
      <c r="AG6" s="42">
        <v>0.0015205</v>
      </c>
      <c r="AH6" s="23">
        <v>0.0013757</v>
      </c>
      <c r="AI6" s="24"/>
      <c r="AJ6" s="30" t="s">
        <v>174</v>
      </c>
      <c r="AL6" s="42">
        <v>0.0064201</v>
      </c>
      <c r="AM6" s="23">
        <v>0.0071229</v>
      </c>
      <c r="AN6" s="24"/>
      <c r="AO6" s="30" t="s">
        <v>174</v>
      </c>
      <c r="AQ6" s="42">
        <v>0</v>
      </c>
      <c r="AR6" s="23">
        <v>2.81E-05</v>
      </c>
      <c r="AS6" s="24"/>
      <c r="AT6" s="30" t="s">
        <v>174</v>
      </c>
      <c r="AV6" s="42">
        <v>0.0197287</v>
      </c>
      <c r="AW6" s="23">
        <v>0.0189087</v>
      </c>
      <c r="AX6" s="24"/>
      <c r="AY6" s="30" t="s">
        <v>174</v>
      </c>
      <c r="BA6" s="42">
        <v>0</v>
      </c>
      <c r="BB6" s="23">
        <v>0.0005726</v>
      </c>
      <c r="BC6" s="24"/>
      <c r="BD6" s="30" t="s">
        <v>174</v>
      </c>
      <c r="BF6" s="42">
        <v>0</v>
      </c>
      <c r="BG6" s="23">
        <v>0.0375748</v>
      </c>
      <c r="BH6" s="24"/>
      <c r="BI6" s="30" t="s">
        <v>174</v>
      </c>
    </row>
    <row r="7" spans="1:61" ht="12.75">
      <c r="A7" s="21"/>
      <c r="B7" s="8"/>
      <c r="C7" s="41"/>
      <c r="D7" s="13"/>
      <c r="E7" s="40"/>
      <c r="F7" s="30" t="s">
        <v>175</v>
      </c>
      <c r="H7" s="22"/>
      <c r="I7" s="23"/>
      <c r="J7" s="23"/>
      <c r="K7" s="30" t="s">
        <v>175</v>
      </c>
      <c r="M7" s="42"/>
      <c r="N7" s="23"/>
      <c r="O7" s="24"/>
      <c r="P7" s="30" t="s">
        <v>175</v>
      </c>
      <c r="R7" s="42"/>
      <c r="S7" s="23"/>
      <c r="T7" s="24"/>
      <c r="U7" s="30" t="s">
        <v>175</v>
      </c>
      <c r="W7" s="42"/>
      <c r="X7" s="23"/>
      <c r="Y7" s="24"/>
      <c r="Z7" s="30" t="s">
        <v>175</v>
      </c>
      <c r="AB7" s="42"/>
      <c r="AC7" s="23"/>
      <c r="AD7" s="24"/>
      <c r="AE7" s="30" t="s">
        <v>175</v>
      </c>
      <c r="AG7" s="42"/>
      <c r="AH7" s="8"/>
      <c r="AI7" s="24"/>
      <c r="AJ7" s="30" t="s">
        <v>175</v>
      </c>
      <c r="AL7" s="42"/>
      <c r="AM7" s="8"/>
      <c r="AN7" s="24"/>
      <c r="AO7" s="30" t="s">
        <v>175</v>
      </c>
      <c r="AQ7" s="42"/>
      <c r="AR7" s="8"/>
      <c r="AS7" s="24"/>
      <c r="AT7" s="30" t="s">
        <v>175</v>
      </c>
      <c r="AV7" s="42"/>
      <c r="AW7" s="8"/>
      <c r="AX7" s="24"/>
      <c r="AY7" s="30" t="s">
        <v>175</v>
      </c>
      <c r="BA7" s="42"/>
      <c r="BB7" s="8"/>
      <c r="BC7" s="24"/>
      <c r="BD7" s="30" t="s">
        <v>175</v>
      </c>
      <c r="BF7" s="42"/>
      <c r="BG7" s="8"/>
      <c r="BH7" s="24"/>
      <c r="BI7" s="30" t="s">
        <v>175</v>
      </c>
    </row>
    <row r="8" spans="1:61" ht="12.75">
      <c r="A8" s="29"/>
      <c r="C8" s="30" t="s">
        <v>2</v>
      </c>
      <c r="D8" s="30" t="s">
        <v>3</v>
      </c>
      <c r="E8" s="30" t="s">
        <v>4</v>
      </c>
      <c r="F8" s="30" t="s">
        <v>4</v>
      </c>
      <c r="H8" s="30" t="s">
        <v>2</v>
      </c>
      <c r="I8" s="30" t="s">
        <v>3</v>
      </c>
      <c r="J8" s="30" t="s">
        <v>4</v>
      </c>
      <c r="K8" s="30" t="s">
        <v>4</v>
      </c>
      <c r="M8" s="30" t="s">
        <v>2</v>
      </c>
      <c r="N8" s="30" t="s">
        <v>3</v>
      </c>
      <c r="O8" s="30" t="s">
        <v>4</v>
      </c>
      <c r="P8" s="30" t="s">
        <v>4</v>
      </c>
      <c r="R8" s="30" t="s">
        <v>2</v>
      </c>
      <c r="S8" s="30" t="s">
        <v>3</v>
      </c>
      <c r="T8" s="30" t="s">
        <v>4</v>
      </c>
      <c r="U8" s="30" t="s">
        <v>4</v>
      </c>
      <c r="W8" s="30" t="s">
        <v>2</v>
      </c>
      <c r="X8" s="30" t="s">
        <v>3</v>
      </c>
      <c r="Y8" s="30" t="s">
        <v>4</v>
      </c>
      <c r="Z8" s="30" t="s">
        <v>4</v>
      </c>
      <c r="AB8" s="30" t="s">
        <v>2</v>
      </c>
      <c r="AC8" s="30" t="s">
        <v>3</v>
      </c>
      <c r="AD8" s="30" t="s">
        <v>4</v>
      </c>
      <c r="AE8" s="30" t="s">
        <v>4</v>
      </c>
      <c r="AG8" s="30" t="s">
        <v>2</v>
      </c>
      <c r="AH8" s="30" t="s">
        <v>3</v>
      </c>
      <c r="AI8" s="30" t="s">
        <v>4</v>
      </c>
      <c r="AJ8" s="30" t="s">
        <v>4</v>
      </c>
      <c r="AL8" s="30" t="s">
        <v>2</v>
      </c>
      <c r="AM8" s="30" t="s">
        <v>3</v>
      </c>
      <c r="AN8" s="30" t="s">
        <v>4</v>
      </c>
      <c r="AO8" s="30" t="s">
        <v>4</v>
      </c>
      <c r="AQ8" s="30" t="s">
        <v>2</v>
      </c>
      <c r="AR8" s="30" t="s">
        <v>3</v>
      </c>
      <c r="AS8" s="30" t="s">
        <v>4</v>
      </c>
      <c r="AT8" s="30" t="s">
        <v>4</v>
      </c>
      <c r="AV8" s="30" t="s">
        <v>2</v>
      </c>
      <c r="AW8" s="30" t="s">
        <v>3</v>
      </c>
      <c r="AX8" s="30" t="s">
        <v>4</v>
      </c>
      <c r="AY8" s="30" t="s">
        <v>4</v>
      </c>
      <c r="BA8" s="30" t="s">
        <v>2</v>
      </c>
      <c r="BB8" s="30" t="s">
        <v>3</v>
      </c>
      <c r="BC8" s="30" t="s">
        <v>4</v>
      </c>
      <c r="BD8" s="30" t="s">
        <v>4</v>
      </c>
      <c r="BF8" s="30" t="s">
        <v>2</v>
      </c>
      <c r="BG8" s="30" t="s">
        <v>3</v>
      </c>
      <c r="BH8" s="30" t="s">
        <v>4</v>
      </c>
      <c r="BI8" s="30" t="s">
        <v>4</v>
      </c>
    </row>
    <row r="9" spans="1:61" ht="12.75">
      <c r="A9" s="36">
        <v>44470</v>
      </c>
      <c r="D9" s="3">
        <v>1807875</v>
      </c>
      <c r="E9" s="34">
        <f aca="true" t="shared" si="0" ref="E9:E44">C9+D9</f>
        <v>1807875</v>
      </c>
      <c r="F9" s="34">
        <v>239339.62999999998</v>
      </c>
      <c r="H9" s="43"/>
      <c r="I9" s="35">
        <f aca="true" t="shared" si="1" ref="I9:K44">N9+S9+X9+AC9+AH9+AM9+AR9+AW9+BB9+BG9</f>
        <v>131479.878825</v>
      </c>
      <c r="J9" s="35">
        <f aca="true" t="shared" si="2" ref="J9:J44">H9+I9</f>
        <v>131479.878825</v>
      </c>
      <c r="K9" s="35">
        <f t="shared" si="1"/>
        <v>17406.261799305998</v>
      </c>
      <c r="M9" s="35"/>
      <c r="N9" s="35">
        <f aca="true" t="shared" si="3" ref="N9:N44">D9*$N$6</f>
        <v>101.06021249999999</v>
      </c>
      <c r="O9" s="5">
        <f aca="true" t="shared" si="4" ref="O9:O44">M9+N9</f>
        <v>101.06021249999999</v>
      </c>
      <c r="P9" s="34">
        <f aca="true" t="shared" si="5" ref="P9:P44">$F9*N$6</f>
        <v>13.379085316999998</v>
      </c>
      <c r="R9" s="35"/>
      <c r="S9" s="35">
        <f aca="true" t="shared" si="6" ref="S9:S44">D9*$S$6</f>
        <v>3457.018575</v>
      </c>
      <c r="T9" s="5">
        <f aca="true" t="shared" si="7" ref="T9:T44">R9+S9</f>
        <v>3457.018575</v>
      </c>
      <c r="U9" s="34">
        <f aca="true" t="shared" si="8" ref="U9:U44">$F9*S$6</f>
        <v>457.66524048599996</v>
      </c>
      <c r="W9" s="35"/>
      <c r="X9" s="35">
        <f aca="true" t="shared" si="9" ref="X9:X44">D9*$X$6</f>
        <v>3441.2900625</v>
      </c>
      <c r="Y9" s="5">
        <f aca="true" t="shared" si="10" ref="Y9:Y44">W9+X9</f>
        <v>3441.2900625</v>
      </c>
      <c r="Z9" s="34">
        <f aca="true" t="shared" si="11" ref="Z9:Z44">$F9*X$6</f>
        <v>455.58298570499994</v>
      </c>
      <c r="AB9" s="35"/>
      <c r="AC9" s="35">
        <f aca="true" t="shared" si="12" ref="AC9:AC44">D9*$AC$6</f>
        <v>5915.005425</v>
      </c>
      <c r="AD9" s="5">
        <f aca="true" t="shared" si="13" ref="AD9:AD44">AB9+AC9</f>
        <v>5915.005425</v>
      </c>
      <c r="AE9" s="34">
        <f aca="true" t="shared" si="14" ref="AE9:AE44">$F9*AC$6</f>
        <v>783.0714014339999</v>
      </c>
      <c r="AG9" s="35"/>
      <c r="AH9" s="35">
        <f aca="true" t="shared" si="15" ref="AH9:AH44">D9*$AH$6</f>
        <v>2487.0936375</v>
      </c>
      <c r="AI9" s="5">
        <f aca="true" t="shared" si="16" ref="AI9:AI44">AG9+AH9</f>
        <v>2487.0936375</v>
      </c>
      <c r="AJ9" s="34">
        <f aca="true" t="shared" si="17" ref="AJ9:AJ44">$F9*AH$6</f>
        <v>329.25952899099997</v>
      </c>
      <c r="AL9" s="35"/>
      <c r="AM9" s="35">
        <f aca="true" t="shared" si="18" ref="AM9:AM44">D9*$AM$6</f>
        <v>12877.3128375</v>
      </c>
      <c r="AN9" s="5">
        <f aca="true" t="shared" si="19" ref="AN9:AN44">AL9+AM9</f>
        <v>12877.3128375</v>
      </c>
      <c r="AO9" s="34">
        <f aca="true" t="shared" si="20" ref="AO9:AO44">$F9*AM$6</f>
        <v>1704.7922505269999</v>
      </c>
      <c r="AQ9" s="35"/>
      <c r="AR9" s="35">
        <f aca="true" t="shared" si="21" ref="AR9:AR44">D9*$AR$6</f>
        <v>50.8012875</v>
      </c>
      <c r="AS9" s="5">
        <f aca="true" t="shared" si="22" ref="AS9:AS44">AQ9+AR9</f>
        <v>50.8012875</v>
      </c>
      <c r="AT9" s="34">
        <f aca="true" t="shared" si="23" ref="AT9:AT44">$F9*AR$6</f>
        <v>6.725443602999999</v>
      </c>
      <c r="AV9" s="35"/>
      <c r="AW9" s="35">
        <f aca="true" t="shared" si="24" ref="AW9:AW44">D9*$AW$6</f>
        <v>34184.5660125</v>
      </c>
      <c r="AX9" s="5">
        <f aca="true" t="shared" si="25" ref="AX9:AX44">AV9+AW9</f>
        <v>34184.5660125</v>
      </c>
      <c r="AY9" s="34">
        <f aca="true" t="shared" si="26" ref="AY9:AY44">$F9*AW$6</f>
        <v>4525.601261780999</v>
      </c>
      <c r="BA9" s="35"/>
      <c r="BB9" s="35">
        <f aca="true" t="shared" si="27" ref="BB9:BB44">D9*$BB$6</f>
        <v>1035.189225</v>
      </c>
      <c r="BC9" s="5">
        <f aca="true" t="shared" si="28" ref="BC9:BC44">BA9+BB9</f>
        <v>1035.189225</v>
      </c>
      <c r="BD9" s="34">
        <f aca="true" t="shared" si="29" ref="BD9:BD44">$F9*BB$6</f>
        <v>137.045872138</v>
      </c>
      <c r="BF9" s="35"/>
      <c r="BG9" s="35">
        <f aca="true" t="shared" si="30" ref="BG9:BG44">D9*$BG$6</f>
        <v>67930.54155</v>
      </c>
      <c r="BH9" s="5">
        <f aca="true" t="shared" si="31" ref="BH9:BH44">BF9+BG9</f>
        <v>67930.54155</v>
      </c>
      <c r="BI9" s="34">
        <f aca="true" t="shared" si="32" ref="BI9:BI44">$F9*BG$6</f>
        <v>8993.138729323999</v>
      </c>
    </row>
    <row r="10" spans="1:61" ht="12.75">
      <c r="A10" s="36">
        <v>44652</v>
      </c>
      <c r="C10" s="3">
        <v>3290000</v>
      </c>
      <c r="D10" s="3">
        <v>1807875</v>
      </c>
      <c r="E10" s="34">
        <f t="shared" si="0"/>
        <v>5097875</v>
      </c>
      <c r="F10" s="34">
        <v>239339.62999999998</v>
      </c>
      <c r="H10" s="43">
        <f aca="true" t="shared" si="33" ref="H10:H44">M10+R10+W10+AB10+AG10+AL10+AQ10+AV10+BA10+BF10</f>
        <v>239269.198</v>
      </c>
      <c r="I10" s="35">
        <f t="shared" si="1"/>
        <v>131479.878825</v>
      </c>
      <c r="J10" s="35">
        <f t="shared" si="2"/>
        <v>370749.076825</v>
      </c>
      <c r="K10" s="35">
        <f t="shared" si="1"/>
        <v>17406.261799305998</v>
      </c>
      <c r="M10" s="35">
        <f aca="true" t="shared" si="34" ref="M10:M44">C10*$N$6</f>
        <v>183.911</v>
      </c>
      <c r="N10" s="35">
        <f t="shared" si="3"/>
        <v>101.06021249999999</v>
      </c>
      <c r="O10" s="5">
        <f t="shared" si="4"/>
        <v>284.9712125</v>
      </c>
      <c r="P10" s="34">
        <f t="shared" si="5"/>
        <v>13.379085316999998</v>
      </c>
      <c r="R10" s="35">
        <f aca="true" t="shared" si="35" ref="R10:R44">C10*$S$6</f>
        <v>6291.138</v>
      </c>
      <c r="S10" s="35">
        <f t="shared" si="6"/>
        <v>3457.018575</v>
      </c>
      <c r="T10" s="5">
        <f t="shared" si="7"/>
        <v>9748.156575</v>
      </c>
      <c r="U10" s="34">
        <f t="shared" si="8"/>
        <v>457.66524048599996</v>
      </c>
      <c r="W10" s="35">
        <f aca="true" t="shared" si="36" ref="W10:W44">C10*$X$6</f>
        <v>6262.515</v>
      </c>
      <c r="X10" s="35">
        <f t="shared" si="9"/>
        <v>3441.2900625</v>
      </c>
      <c r="Y10" s="5">
        <f t="shared" si="10"/>
        <v>9703.8050625</v>
      </c>
      <c r="Z10" s="34">
        <f t="shared" si="11"/>
        <v>455.58298570499994</v>
      </c>
      <c r="AB10" s="35">
        <f aca="true" t="shared" si="37" ref="AB10:AB44">C10*$AC$6</f>
        <v>10764.222</v>
      </c>
      <c r="AC10" s="35">
        <f t="shared" si="12"/>
        <v>5915.005425</v>
      </c>
      <c r="AD10" s="5">
        <f t="shared" si="13"/>
        <v>16679.227425</v>
      </c>
      <c r="AE10" s="34">
        <f t="shared" si="14"/>
        <v>783.0714014339999</v>
      </c>
      <c r="AG10" s="35">
        <f aca="true" t="shared" si="38" ref="AG10:AG44">C10*$AH$6</f>
        <v>4526.053</v>
      </c>
      <c r="AH10" s="35">
        <f t="shared" si="15"/>
        <v>2487.0936375</v>
      </c>
      <c r="AI10" s="5">
        <f t="shared" si="16"/>
        <v>7013.1466375</v>
      </c>
      <c r="AJ10" s="34">
        <f t="shared" si="17"/>
        <v>329.25952899099997</v>
      </c>
      <c r="AL10" s="35">
        <f aca="true" t="shared" si="39" ref="AL10:AL44">C10*$AM$6</f>
        <v>23434.341</v>
      </c>
      <c r="AM10" s="35">
        <f t="shared" si="18"/>
        <v>12877.3128375</v>
      </c>
      <c r="AN10" s="5">
        <f t="shared" si="19"/>
        <v>36311.6538375</v>
      </c>
      <c r="AO10" s="34">
        <f t="shared" si="20"/>
        <v>1704.7922505269999</v>
      </c>
      <c r="AQ10" s="35">
        <f aca="true" t="shared" si="40" ref="AQ10:AQ44">C10*$AR$6</f>
        <v>92.449</v>
      </c>
      <c r="AR10" s="35">
        <f t="shared" si="21"/>
        <v>50.8012875</v>
      </c>
      <c r="AS10" s="5">
        <f t="shared" si="22"/>
        <v>143.2502875</v>
      </c>
      <c r="AT10" s="34">
        <f t="shared" si="23"/>
        <v>6.725443602999999</v>
      </c>
      <c r="AV10" s="35">
        <f aca="true" t="shared" si="41" ref="AV10:AV44">C10*$AW$6</f>
        <v>62209.623</v>
      </c>
      <c r="AW10" s="35">
        <f t="shared" si="24"/>
        <v>34184.5660125</v>
      </c>
      <c r="AX10" s="5">
        <f t="shared" si="25"/>
        <v>96394.18901249999</v>
      </c>
      <c r="AY10" s="34">
        <f t="shared" si="26"/>
        <v>4525.601261780999</v>
      </c>
      <c r="BA10" s="35">
        <f aca="true" t="shared" si="42" ref="BA10:BA44">C10*$BB$6</f>
        <v>1883.854</v>
      </c>
      <c r="BB10" s="35">
        <f t="shared" si="27"/>
        <v>1035.189225</v>
      </c>
      <c r="BC10" s="5">
        <f t="shared" si="28"/>
        <v>2919.0432250000003</v>
      </c>
      <c r="BD10" s="34">
        <f t="shared" si="29"/>
        <v>137.045872138</v>
      </c>
      <c r="BF10" s="35">
        <f aca="true" t="shared" si="43" ref="BF10:BF44">C10*$BG$6</f>
        <v>123621.09199999999</v>
      </c>
      <c r="BG10" s="35">
        <f t="shared" si="30"/>
        <v>67930.54155</v>
      </c>
      <c r="BH10" s="5">
        <f t="shared" si="31"/>
        <v>191551.63354999997</v>
      </c>
      <c r="BI10" s="34">
        <f t="shared" si="32"/>
        <v>8993.138729323999</v>
      </c>
    </row>
    <row r="11" spans="1:61" ht="12.75">
      <c r="A11" s="36">
        <v>44835</v>
      </c>
      <c r="D11" s="3">
        <v>1725625</v>
      </c>
      <c r="E11" s="34">
        <f t="shared" si="0"/>
        <v>1725625</v>
      </c>
      <c r="F11" s="34">
        <v>239339.62999999998</v>
      </c>
      <c r="H11" s="43"/>
      <c r="I11" s="35">
        <f t="shared" si="1"/>
        <v>125498.14887500001</v>
      </c>
      <c r="J11" s="35">
        <f t="shared" si="2"/>
        <v>125498.14887500001</v>
      </c>
      <c r="K11" s="35">
        <f t="shared" si="1"/>
        <v>17406.261799305998</v>
      </c>
      <c r="M11" s="35"/>
      <c r="N11" s="35">
        <f t="shared" si="3"/>
        <v>96.4624375</v>
      </c>
      <c r="O11" s="5">
        <f t="shared" si="4"/>
        <v>96.4624375</v>
      </c>
      <c r="P11" s="34">
        <f t="shared" si="5"/>
        <v>13.379085316999998</v>
      </c>
      <c r="R11" s="35"/>
      <c r="S11" s="35">
        <f t="shared" si="6"/>
        <v>3299.740125</v>
      </c>
      <c r="T11" s="5">
        <f t="shared" si="7"/>
        <v>3299.740125</v>
      </c>
      <c r="U11" s="34">
        <f t="shared" si="8"/>
        <v>457.66524048599996</v>
      </c>
      <c r="W11" s="35"/>
      <c r="X11" s="35">
        <f t="shared" si="9"/>
        <v>3284.7271875</v>
      </c>
      <c r="Y11" s="5">
        <f t="shared" si="10"/>
        <v>3284.7271875</v>
      </c>
      <c r="Z11" s="34">
        <f t="shared" si="11"/>
        <v>455.58298570499994</v>
      </c>
      <c r="AB11" s="35"/>
      <c r="AC11" s="35">
        <f t="shared" si="12"/>
        <v>5645.899875</v>
      </c>
      <c r="AD11" s="5">
        <f t="shared" si="13"/>
        <v>5645.899875</v>
      </c>
      <c r="AE11" s="34">
        <f t="shared" si="14"/>
        <v>783.0714014339999</v>
      </c>
      <c r="AG11" s="35"/>
      <c r="AH11" s="35">
        <f t="shared" si="15"/>
        <v>2373.9423125000003</v>
      </c>
      <c r="AI11" s="5">
        <f t="shared" si="16"/>
        <v>2373.9423125000003</v>
      </c>
      <c r="AJ11" s="34">
        <f t="shared" si="17"/>
        <v>329.25952899099997</v>
      </c>
      <c r="AL11" s="35"/>
      <c r="AM11" s="35">
        <f t="shared" si="18"/>
        <v>12291.4543125</v>
      </c>
      <c r="AN11" s="5">
        <f t="shared" si="19"/>
        <v>12291.4543125</v>
      </c>
      <c r="AO11" s="34">
        <f t="shared" si="20"/>
        <v>1704.7922505269999</v>
      </c>
      <c r="AQ11" s="35"/>
      <c r="AR11" s="35">
        <f t="shared" si="21"/>
        <v>48.4900625</v>
      </c>
      <c r="AS11" s="5">
        <f t="shared" si="22"/>
        <v>48.4900625</v>
      </c>
      <c r="AT11" s="34">
        <f t="shared" si="23"/>
        <v>6.725443602999999</v>
      </c>
      <c r="AV11" s="35"/>
      <c r="AW11" s="35">
        <f t="shared" si="24"/>
        <v>32629.3254375</v>
      </c>
      <c r="AX11" s="5">
        <f t="shared" si="25"/>
        <v>32629.3254375</v>
      </c>
      <c r="AY11" s="34">
        <f t="shared" si="26"/>
        <v>4525.601261780999</v>
      </c>
      <c r="BA11" s="35"/>
      <c r="BB11" s="35">
        <f t="shared" si="27"/>
        <v>988.092875</v>
      </c>
      <c r="BC11" s="5">
        <f t="shared" si="28"/>
        <v>988.092875</v>
      </c>
      <c r="BD11" s="34">
        <f t="shared" si="29"/>
        <v>137.045872138</v>
      </c>
      <c r="BF11" s="35"/>
      <c r="BG11" s="35">
        <f t="shared" si="30"/>
        <v>64840.01425</v>
      </c>
      <c r="BH11" s="5">
        <f t="shared" si="31"/>
        <v>64840.01425</v>
      </c>
      <c r="BI11" s="34">
        <f t="shared" si="32"/>
        <v>8993.138729323999</v>
      </c>
    </row>
    <row r="12" spans="1:61" ht="12.75">
      <c r="A12" s="36">
        <v>45017</v>
      </c>
      <c r="C12" s="3">
        <v>3455000</v>
      </c>
      <c r="D12" s="3">
        <v>1725625</v>
      </c>
      <c r="E12" s="34">
        <f t="shared" si="0"/>
        <v>5180625</v>
      </c>
      <c r="F12" s="34">
        <v>239339.62999999998</v>
      </c>
      <c r="H12" s="43">
        <f t="shared" si="33"/>
        <v>251269.021</v>
      </c>
      <c r="I12" s="35">
        <f t="shared" si="1"/>
        <v>125498.14887500001</v>
      </c>
      <c r="J12" s="35">
        <f t="shared" si="2"/>
        <v>376767.169875</v>
      </c>
      <c r="K12" s="35">
        <f t="shared" si="1"/>
        <v>17406.261799305998</v>
      </c>
      <c r="M12" s="35">
        <f t="shared" si="34"/>
        <v>193.1345</v>
      </c>
      <c r="N12" s="35">
        <f t="shared" si="3"/>
        <v>96.4624375</v>
      </c>
      <c r="O12" s="5">
        <f t="shared" si="4"/>
        <v>289.59693749999997</v>
      </c>
      <c r="P12" s="34">
        <f t="shared" si="5"/>
        <v>13.379085316999998</v>
      </c>
      <c r="R12" s="35">
        <f t="shared" si="35"/>
        <v>6606.651</v>
      </c>
      <c r="S12" s="35">
        <f t="shared" si="6"/>
        <v>3299.740125</v>
      </c>
      <c r="T12" s="5">
        <f t="shared" si="7"/>
        <v>9906.391125</v>
      </c>
      <c r="U12" s="34">
        <f t="shared" si="8"/>
        <v>457.66524048599996</v>
      </c>
      <c r="W12" s="35">
        <f t="shared" si="36"/>
        <v>6576.5925</v>
      </c>
      <c r="X12" s="35">
        <f t="shared" si="9"/>
        <v>3284.7271875</v>
      </c>
      <c r="Y12" s="5">
        <f t="shared" si="10"/>
        <v>9861.3196875</v>
      </c>
      <c r="Z12" s="34">
        <f t="shared" si="11"/>
        <v>455.58298570499994</v>
      </c>
      <c r="AB12" s="35">
        <f t="shared" si="37"/>
        <v>11304.069</v>
      </c>
      <c r="AC12" s="35">
        <f t="shared" si="12"/>
        <v>5645.899875</v>
      </c>
      <c r="AD12" s="5">
        <f t="shared" si="13"/>
        <v>16949.968875</v>
      </c>
      <c r="AE12" s="34">
        <f t="shared" si="14"/>
        <v>783.0714014339999</v>
      </c>
      <c r="AG12" s="35">
        <f t="shared" si="38"/>
        <v>4753.043500000001</v>
      </c>
      <c r="AH12" s="35">
        <f t="shared" si="15"/>
        <v>2373.9423125000003</v>
      </c>
      <c r="AI12" s="5">
        <f t="shared" si="16"/>
        <v>7126.985812500001</v>
      </c>
      <c r="AJ12" s="34">
        <f t="shared" si="17"/>
        <v>329.25952899099997</v>
      </c>
      <c r="AL12" s="35">
        <f t="shared" si="39"/>
        <v>24609.6195</v>
      </c>
      <c r="AM12" s="35">
        <f t="shared" si="18"/>
        <v>12291.4543125</v>
      </c>
      <c r="AN12" s="5">
        <f t="shared" si="19"/>
        <v>36901.0738125</v>
      </c>
      <c r="AO12" s="34">
        <f t="shared" si="20"/>
        <v>1704.7922505269999</v>
      </c>
      <c r="AQ12" s="35">
        <f t="shared" si="40"/>
        <v>97.0855</v>
      </c>
      <c r="AR12" s="35">
        <f t="shared" si="21"/>
        <v>48.4900625</v>
      </c>
      <c r="AS12" s="5">
        <f t="shared" si="22"/>
        <v>145.5755625</v>
      </c>
      <c r="AT12" s="34">
        <f t="shared" si="23"/>
        <v>6.725443602999999</v>
      </c>
      <c r="AV12" s="35">
        <f t="shared" si="41"/>
        <v>65329.5585</v>
      </c>
      <c r="AW12" s="35">
        <f t="shared" si="24"/>
        <v>32629.3254375</v>
      </c>
      <c r="AX12" s="5">
        <f t="shared" si="25"/>
        <v>97958.8839375</v>
      </c>
      <c r="AY12" s="34">
        <f t="shared" si="26"/>
        <v>4525.601261780999</v>
      </c>
      <c r="BA12" s="35">
        <f t="shared" si="42"/>
        <v>1978.333</v>
      </c>
      <c r="BB12" s="35">
        <f t="shared" si="27"/>
        <v>988.092875</v>
      </c>
      <c r="BC12" s="5">
        <f t="shared" si="28"/>
        <v>2966.425875</v>
      </c>
      <c r="BD12" s="34">
        <f t="shared" si="29"/>
        <v>137.045872138</v>
      </c>
      <c r="BF12" s="35">
        <f t="shared" si="43"/>
        <v>129820.934</v>
      </c>
      <c r="BG12" s="35">
        <f t="shared" si="30"/>
        <v>64840.01425</v>
      </c>
      <c r="BH12" s="5">
        <f t="shared" si="31"/>
        <v>194660.94825</v>
      </c>
      <c r="BI12" s="34">
        <f t="shared" si="32"/>
        <v>8993.138729323999</v>
      </c>
    </row>
    <row r="13" spans="1:61" ht="12.75">
      <c r="A13" s="36">
        <v>45200</v>
      </c>
      <c r="D13" s="3">
        <v>1639250</v>
      </c>
      <c r="E13" s="34">
        <f t="shared" si="0"/>
        <v>1639250</v>
      </c>
      <c r="F13" s="34">
        <v>239339.62999999998</v>
      </c>
      <c r="H13" s="43"/>
      <c r="I13" s="35">
        <f t="shared" si="1"/>
        <v>119216.42335</v>
      </c>
      <c r="J13" s="35">
        <f t="shared" si="2"/>
        <v>119216.42335</v>
      </c>
      <c r="K13" s="35">
        <f t="shared" si="1"/>
        <v>17406.261799305998</v>
      </c>
      <c r="M13" s="35"/>
      <c r="N13" s="35">
        <f t="shared" si="3"/>
        <v>91.634075</v>
      </c>
      <c r="O13" s="5">
        <f t="shared" si="4"/>
        <v>91.634075</v>
      </c>
      <c r="P13" s="34">
        <f t="shared" si="5"/>
        <v>13.379085316999998</v>
      </c>
      <c r="R13" s="35"/>
      <c r="S13" s="35">
        <f t="shared" si="6"/>
        <v>3134.5738499999998</v>
      </c>
      <c r="T13" s="5">
        <f t="shared" si="7"/>
        <v>3134.5738499999998</v>
      </c>
      <c r="U13" s="34">
        <f t="shared" si="8"/>
        <v>457.66524048599996</v>
      </c>
      <c r="W13" s="35"/>
      <c r="X13" s="35">
        <f t="shared" si="9"/>
        <v>3120.312375</v>
      </c>
      <c r="Y13" s="5">
        <f t="shared" si="10"/>
        <v>3120.312375</v>
      </c>
      <c r="Z13" s="34">
        <f t="shared" si="11"/>
        <v>455.58298570499994</v>
      </c>
      <c r="AB13" s="35"/>
      <c r="AC13" s="35">
        <f t="shared" si="12"/>
        <v>5363.2981500000005</v>
      </c>
      <c r="AD13" s="5">
        <f t="shared" si="13"/>
        <v>5363.2981500000005</v>
      </c>
      <c r="AE13" s="34">
        <f t="shared" si="14"/>
        <v>783.0714014339999</v>
      </c>
      <c r="AG13" s="35"/>
      <c r="AH13" s="35">
        <f t="shared" si="15"/>
        <v>2255.116225</v>
      </c>
      <c r="AI13" s="5">
        <f t="shared" si="16"/>
        <v>2255.116225</v>
      </c>
      <c r="AJ13" s="34">
        <f t="shared" si="17"/>
        <v>329.25952899099997</v>
      </c>
      <c r="AL13" s="35"/>
      <c r="AM13" s="35">
        <f t="shared" si="18"/>
        <v>11676.213824999999</v>
      </c>
      <c r="AN13" s="5">
        <f t="shared" si="19"/>
        <v>11676.213824999999</v>
      </c>
      <c r="AO13" s="34">
        <f t="shared" si="20"/>
        <v>1704.7922505269999</v>
      </c>
      <c r="AQ13" s="35"/>
      <c r="AR13" s="35">
        <f t="shared" si="21"/>
        <v>46.062925</v>
      </c>
      <c r="AS13" s="5">
        <f t="shared" si="22"/>
        <v>46.062925</v>
      </c>
      <c r="AT13" s="34">
        <f t="shared" si="23"/>
        <v>6.725443602999999</v>
      </c>
      <c r="AV13" s="35"/>
      <c r="AW13" s="35">
        <f t="shared" si="24"/>
        <v>30996.086475</v>
      </c>
      <c r="AX13" s="5">
        <f t="shared" si="25"/>
        <v>30996.086475</v>
      </c>
      <c r="AY13" s="34">
        <f t="shared" si="26"/>
        <v>4525.601261780999</v>
      </c>
      <c r="BA13" s="35"/>
      <c r="BB13" s="35">
        <f t="shared" si="27"/>
        <v>938.6345500000001</v>
      </c>
      <c r="BC13" s="5">
        <f t="shared" si="28"/>
        <v>938.6345500000001</v>
      </c>
      <c r="BD13" s="34">
        <f t="shared" si="29"/>
        <v>137.045872138</v>
      </c>
      <c r="BF13" s="35"/>
      <c r="BG13" s="35">
        <f t="shared" si="30"/>
        <v>61594.4909</v>
      </c>
      <c r="BH13" s="5">
        <f t="shared" si="31"/>
        <v>61594.4909</v>
      </c>
      <c r="BI13" s="34">
        <f t="shared" si="32"/>
        <v>8993.138729323999</v>
      </c>
    </row>
    <row r="14" spans="1:61" ht="12.75">
      <c r="A14" s="36">
        <v>45383</v>
      </c>
      <c r="B14" s="37"/>
      <c r="C14" s="3">
        <v>3630000</v>
      </c>
      <c r="D14" s="3">
        <v>1639250</v>
      </c>
      <c r="E14" s="34">
        <f t="shared" si="0"/>
        <v>5269250</v>
      </c>
      <c r="F14" s="34">
        <v>239339.62999999998</v>
      </c>
      <c r="H14" s="43">
        <f t="shared" si="33"/>
        <v>263996.106</v>
      </c>
      <c r="I14" s="35">
        <f t="shared" si="1"/>
        <v>119216.42335</v>
      </c>
      <c r="J14" s="35">
        <f t="shared" si="2"/>
        <v>383212.52935</v>
      </c>
      <c r="K14" s="35">
        <f t="shared" si="1"/>
        <v>17406.261799305998</v>
      </c>
      <c r="M14" s="35">
        <f t="shared" si="34"/>
        <v>202.917</v>
      </c>
      <c r="N14" s="35">
        <f t="shared" si="3"/>
        <v>91.634075</v>
      </c>
      <c r="O14" s="5">
        <f t="shared" si="4"/>
        <v>294.55107499999997</v>
      </c>
      <c r="P14" s="34">
        <f t="shared" si="5"/>
        <v>13.379085316999998</v>
      </c>
      <c r="R14" s="35">
        <f t="shared" si="35"/>
        <v>6941.286</v>
      </c>
      <c r="S14" s="35">
        <f t="shared" si="6"/>
        <v>3134.5738499999998</v>
      </c>
      <c r="T14" s="5">
        <f t="shared" si="7"/>
        <v>10075.85985</v>
      </c>
      <c r="U14" s="34">
        <f t="shared" si="8"/>
        <v>457.66524048599996</v>
      </c>
      <c r="W14" s="35">
        <f t="shared" si="36"/>
        <v>6909.705</v>
      </c>
      <c r="X14" s="35">
        <f t="shared" si="9"/>
        <v>3120.312375</v>
      </c>
      <c r="Y14" s="5">
        <f t="shared" si="10"/>
        <v>10030.017375</v>
      </c>
      <c r="Z14" s="34">
        <f t="shared" si="11"/>
        <v>455.58298570499994</v>
      </c>
      <c r="AB14" s="35">
        <f t="shared" si="37"/>
        <v>11876.634</v>
      </c>
      <c r="AC14" s="35">
        <f t="shared" si="12"/>
        <v>5363.2981500000005</v>
      </c>
      <c r="AD14" s="5">
        <f t="shared" si="13"/>
        <v>17239.93215</v>
      </c>
      <c r="AE14" s="34">
        <f t="shared" si="14"/>
        <v>783.0714014339999</v>
      </c>
      <c r="AG14" s="35">
        <f t="shared" si="38"/>
        <v>4993.791</v>
      </c>
      <c r="AH14" s="35">
        <f t="shared" si="15"/>
        <v>2255.116225</v>
      </c>
      <c r="AI14" s="5">
        <f t="shared" si="16"/>
        <v>7248.907225000001</v>
      </c>
      <c r="AJ14" s="34">
        <f t="shared" si="17"/>
        <v>329.25952899099997</v>
      </c>
      <c r="AL14" s="35">
        <f t="shared" si="39"/>
        <v>25856.127</v>
      </c>
      <c r="AM14" s="35">
        <f t="shared" si="18"/>
        <v>11676.213824999999</v>
      </c>
      <c r="AN14" s="5">
        <f t="shared" si="19"/>
        <v>37532.340825</v>
      </c>
      <c r="AO14" s="34">
        <f t="shared" si="20"/>
        <v>1704.7922505269999</v>
      </c>
      <c r="AQ14" s="35">
        <f t="shared" si="40"/>
        <v>102.003</v>
      </c>
      <c r="AR14" s="35">
        <f t="shared" si="21"/>
        <v>46.062925</v>
      </c>
      <c r="AS14" s="5">
        <f t="shared" si="22"/>
        <v>148.065925</v>
      </c>
      <c r="AT14" s="34">
        <f t="shared" si="23"/>
        <v>6.725443602999999</v>
      </c>
      <c r="AV14" s="35">
        <f t="shared" si="41"/>
        <v>68638.581</v>
      </c>
      <c r="AW14" s="35">
        <f t="shared" si="24"/>
        <v>30996.086475</v>
      </c>
      <c r="AX14" s="5">
        <f t="shared" si="25"/>
        <v>99634.66747500001</v>
      </c>
      <c r="AY14" s="34">
        <f t="shared" si="26"/>
        <v>4525.601261780999</v>
      </c>
      <c r="BA14" s="35">
        <f t="shared" si="42"/>
        <v>2078.538</v>
      </c>
      <c r="BB14" s="35">
        <f t="shared" si="27"/>
        <v>938.6345500000001</v>
      </c>
      <c r="BC14" s="5">
        <f t="shared" si="28"/>
        <v>3017.1725500000002</v>
      </c>
      <c r="BD14" s="34">
        <f t="shared" si="29"/>
        <v>137.045872138</v>
      </c>
      <c r="BF14" s="35">
        <f t="shared" si="43"/>
        <v>136396.524</v>
      </c>
      <c r="BG14" s="35">
        <f t="shared" si="30"/>
        <v>61594.4909</v>
      </c>
      <c r="BH14" s="5">
        <f t="shared" si="31"/>
        <v>197991.0149</v>
      </c>
      <c r="BI14" s="34">
        <f t="shared" si="32"/>
        <v>8993.138729323999</v>
      </c>
    </row>
    <row r="15" spans="1:61" ht="12.75">
      <c r="A15" s="36">
        <v>45566</v>
      </c>
      <c r="D15" s="3">
        <v>1548500</v>
      </c>
      <c r="E15" s="34">
        <f t="shared" si="0"/>
        <v>1548500</v>
      </c>
      <c r="F15" s="34">
        <v>239339.62999999998</v>
      </c>
      <c r="H15" s="43"/>
      <c r="I15" s="35">
        <f t="shared" si="1"/>
        <v>112616.5207</v>
      </c>
      <c r="J15" s="35">
        <f t="shared" si="2"/>
        <v>112616.5207</v>
      </c>
      <c r="K15" s="35">
        <f t="shared" si="1"/>
        <v>17406.261799305998</v>
      </c>
      <c r="M15" s="35"/>
      <c r="N15" s="35">
        <f t="shared" si="3"/>
        <v>86.56115</v>
      </c>
      <c r="O15" s="5">
        <f t="shared" si="4"/>
        <v>86.56115</v>
      </c>
      <c r="P15" s="34">
        <f t="shared" si="5"/>
        <v>13.379085316999998</v>
      </c>
      <c r="R15" s="35"/>
      <c r="S15" s="35">
        <f t="shared" si="6"/>
        <v>2961.0416999999998</v>
      </c>
      <c r="T15" s="5">
        <f t="shared" si="7"/>
        <v>2961.0416999999998</v>
      </c>
      <c r="U15" s="34">
        <f t="shared" si="8"/>
        <v>457.66524048599996</v>
      </c>
      <c r="W15" s="35"/>
      <c r="X15" s="35">
        <f t="shared" si="9"/>
        <v>2947.56975</v>
      </c>
      <c r="Y15" s="5">
        <f t="shared" si="10"/>
        <v>2947.56975</v>
      </c>
      <c r="Z15" s="34">
        <f t="shared" si="11"/>
        <v>455.58298570499994</v>
      </c>
      <c r="AB15" s="35"/>
      <c r="AC15" s="35">
        <f t="shared" si="12"/>
        <v>5066.3823</v>
      </c>
      <c r="AD15" s="5">
        <f t="shared" si="13"/>
        <v>5066.3823</v>
      </c>
      <c r="AE15" s="34">
        <f t="shared" si="14"/>
        <v>783.0714014339999</v>
      </c>
      <c r="AG15" s="35"/>
      <c r="AH15" s="35">
        <f t="shared" si="15"/>
        <v>2130.27145</v>
      </c>
      <c r="AI15" s="5">
        <f t="shared" si="16"/>
        <v>2130.27145</v>
      </c>
      <c r="AJ15" s="34">
        <f t="shared" si="17"/>
        <v>329.25952899099997</v>
      </c>
      <c r="AL15" s="35"/>
      <c r="AM15" s="35">
        <f t="shared" si="18"/>
        <v>11029.81065</v>
      </c>
      <c r="AN15" s="5">
        <f t="shared" si="19"/>
        <v>11029.81065</v>
      </c>
      <c r="AO15" s="34">
        <f t="shared" si="20"/>
        <v>1704.7922505269999</v>
      </c>
      <c r="AQ15" s="35"/>
      <c r="AR15" s="35">
        <f t="shared" si="21"/>
        <v>43.51285</v>
      </c>
      <c r="AS15" s="5">
        <f t="shared" si="22"/>
        <v>43.51285</v>
      </c>
      <c r="AT15" s="34">
        <f t="shared" si="23"/>
        <v>6.725443602999999</v>
      </c>
      <c r="AV15" s="35"/>
      <c r="AW15" s="35">
        <f t="shared" si="24"/>
        <v>29280.12195</v>
      </c>
      <c r="AX15" s="5">
        <f t="shared" si="25"/>
        <v>29280.12195</v>
      </c>
      <c r="AY15" s="34">
        <f t="shared" si="26"/>
        <v>4525.601261780999</v>
      </c>
      <c r="BA15" s="35"/>
      <c r="BB15" s="35">
        <f t="shared" si="27"/>
        <v>886.6711</v>
      </c>
      <c r="BC15" s="5">
        <f t="shared" si="28"/>
        <v>886.6711</v>
      </c>
      <c r="BD15" s="34">
        <f t="shared" si="29"/>
        <v>137.045872138</v>
      </c>
      <c r="BF15" s="35"/>
      <c r="BG15" s="35">
        <f t="shared" si="30"/>
        <v>58184.5778</v>
      </c>
      <c r="BH15" s="5">
        <f t="shared" si="31"/>
        <v>58184.5778</v>
      </c>
      <c r="BI15" s="34">
        <f t="shared" si="32"/>
        <v>8993.138729323999</v>
      </c>
    </row>
    <row r="16" spans="1:61" ht="12.75">
      <c r="A16" s="36">
        <v>45748</v>
      </c>
      <c r="C16" s="3">
        <v>3810000</v>
      </c>
      <c r="D16" s="3">
        <v>1548500</v>
      </c>
      <c r="E16" s="34">
        <f t="shared" si="0"/>
        <v>5358500</v>
      </c>
      <c r="F16" s="34">
        <v>239339.62999999998</v>
      </c>
      <c r="H16" s="43">
        <f t="shared" si="33"/>
        <v>277086.822</v>
      </c>
      <c r="I16" s="35">
        <f t="shared" si="1"/>
        <v>112616.5207</v>
      </c>
      <c r="J16" s="35">
        <f t="shared" si="2"/>
        <v>389703.3427</v>
      </c>
      <c r="K16" s="35">
        <f t="shared" si="1"/>
        <v>17406.261799305998</v>
      </c>
      <c r="M16" s="35">
        <f t="shared" si="34"/>
        <v>212.97899999999998</v>
      </c>
      <c r="N16" s="35">
        <f t="shared" si="3"/>
        <v>86.56115</v>
      </c>
      <c r="O16" s="5">
        <f t="shared" si="4"/>
        <v>299.54015</v>
      </c>
      <c r="P16" s="34">
        <f t="shared" si="5"/>
        <v>13.379085316999998</v>
      </c>
      <c r="R16" s="35">
        <f t="shared" si="35"/>
        <v>7285.482</v>
      </c>
      <c r="S16" s="35">
        <f t="shared" si="6"/>
        <v>2961.0416999999998</v>
      </c>
      <c r="T16" s="5">
        <f t="shared" si="7"/>
        <v>10246.5237</v>
      </c>
      <c r="U16" s="34">
        <f t="shared" si="8"/>
        <v>457.66524048599996</v>
      </c>
      <c r="W16" s="35">
        <f t="shared" si="36"/>
        <v>7252.335</v>
      </c>
      <c r="X16" s="35">
        <f t="shared" si="9"/>
        <v>2947.56975</v>
      </c>
      <c r="Y16" s="5">
        <f t="shared" si="10"/>
        <v>10199.90475</v>
      </c>
      <c r="Z16" s="34">
        <f t="shared" si="11"/>
        <v>455.58298570499994</v>
      </c>
      <c r="AB16" s="35">
        <f t="shared" si="37"/>
        <v>12465.558</v>
      </c>
      <c r="AC16" s="35">
        <f t="shared" si="12"/>
        <v>5066.3823</v>
      </c>
      <c r="AD16" s="5">
        <f t="shared" si="13"/>
        <v>17531.940300000002</v>
      </c>
      <c r="AE16" s="34">
        <f t="shared" si="14"/>
        <v>783.0714014339999</v>
      </c>
      <c r="AG16" s="35">
        <f t="shared" si="38"/>
        <v>5241.417</v>
      </c>
      <c r="AH16" s="35">
        <f t="shared" si="15"/>
        <v>2130.27145</v>
      </c>
      <c r="AI16" s="5">
        <f t="shared" si="16"/>
        <v>7371.688450000001</v>
      </c>
      <c r="AJ16" s="34">
        <f t="shared" si="17"/>
        <v>329.25952899099997</v>
      </c>
      <c r="AL16" s="35">
        <f t="shared" si="39"/>
        <v>27138.249</v>
      </c>
      <c r="AM16" s="35">
        <f t="shared" si="18"/>
        <v>11029.81065</v>
      </c>
      <c r="AN16" s="5">
        <f t="shared" si="19"/>
        <v>38168.059649999996</v>
      </c>
      <c r="AO16" s="34">
        <f t="shared" si="20"/>
        <v>1704.7922505269999</v>
      </c>
      <c r="AQ16" s="35">
        <f t="shared" si="40"/>
        <v>107.06099999999999</v>
      </c>
      <c r="AR16" s="35">
        <f t="shared" si="21"/>
        <v>43.51285</v>
      </c>
      <c r="AS16" s="5">
        <f t="shared" si="22"/>
        <v>150.57385</v>
      </c>
      <c r="AT16" s="34">
        <f t="shared" si="23"/>
        <v>6.725443602999999</v>
      </c>
      <c r="AV16" s="35">
        <f t="shared" si="41"/>
        <v>72042.147</v>
      </c>
      <c r="AW16" s="35">
        <f t="shared" si="24"/>
        <v>29280.12195</v>
      </c>
      <c r="AX16" s="5">
        <f t="shared" si="25"/>
        <v>101322.26895</v>
      </c>
      <c r="AY16" s="34">
        <f t="shared" si="26"/>
        <v>4525.601261780999</v>
      </c>
      <c r="BA16" s="35">
        <f t="shared" si="42"/>
        <v>2181.606</v>
      </c>
      <c r="BB16" s="35">
        <f t="shared" si="27"/>
        <v>886.6711</v>
      </c>
      <c r="BC16" s="5">
        <f t="shared" si="28"/>
        <v>3068.2771000000002</v>
      </c>
      <c r="BD16" s="34">
        <f t="shared" si="29"/>
        <v>137.045872138</v>
      </c>
      <c r="BF16" s="35">
        <f t="shared" si="43"/>
        <v>143159.98799999998</v>
      </c>
      <c r="BG16" s="35">
        <f t="shared" si="30"/>
        <v>58184.5778</v>
      </c>
      <c r="BH16" s="5">
        <f t="shared" si="31"/>
        <v>201344.56579999998</v>
      </c>
      <c r="BI16" s="34">
        <f t="shared" si="32"/>
        <v>8993.138729323999</v>
      </c>
    </row>
    <row r="17" spans="1:61" ht="12.75">
      <c r="A17" s="36">
        <v>45931</v>
      </c>
      <c r="D17" s="3">
        <v>1453250</v>
      </c>
      <c r="E17" s="34">
        <f t="shared" si="0"/>
        <v>1453250</v>
      </c>
      <c r="F17" s="34">
        <v>239339.62999999998</v>
      </c>
      <c r="H17" s="43"/>
      <c r="I17" s="35">
        <f t="shared" si="1"/>
        <v>105689.35015</v>
      </c>
      <c r="J17" s="35">
        <f t="shared" si="2"/>
        <v>105689.35015</v>
      </c>
      <c r="K17" s="35">
        <f t="shared" si="1"/>
        <v>17406.261799305998</v>
      </c>
      <c r="M17" s="35"/>
      <c r="N17" s="35">
        <f t="shared" si="3"/>
        <v>81.23667499999999</v>
      </c>
      <c r="O17" s="5">
        <f t="shared" si="4"/>
        <v>81.23667499999999</v>
      </c>
      <c r="P17" s="34">
        <f t="shared" si="5"/>
        <v>13.379085316999998</v>
      </c>
      <c r="R17" s="35"/>
      <c r="S17" s="35">
        <f t="shared" si="6"/>
        <v>2778.90465</v>
      </c>
      <c r="T17" s="5">
        <f t="shared" si="7"/>
        <v>2778.90465</v>
      </c>
      <c r="U17" s="34">
        <f t="shared" si="8"/>
        <v>457.66524048599996</v>
      </c>
      <c r="W17" s="35"/>
      <c r="X17" s="35">
        <f t="shared" si="9"/>
        <v>2766.261375</v>
      </c>
      <c r="Y17" s="5">
        <f t="shared" si="10"/>
        <v>2766.261375</v>
      </c>
      <c r="Z17" s="34">
        <f t="shared" si="11"/>
        <v>455.58298570499994</v>
      </c>
      <c r="AB17" s="35"/>
      <c r="AC17" s="35">
        <f t="shared" si="12"/>
        <v>4754.74335</v>
      </c>
      <c r="AD17" s="5">
        <f t="shared" si="13"/>
        <v>4754.74335</v>
      </c>
      <c r="AE17" s="34">
        <f t="shared" si="14"/>
        <v>783.0714014339999</v>
      </c>
      <c r="AG17" s="35"/>
      <c r="AH17" s="35">
        <f t="shared" si="15"/>
        <v>1999.2360250000002</v>
      </c>
      <c r="AI17" s="5">
        <f t="shared" si="16"/>
        <v>1999.2360250000002</v>
      </c>
      <c r="AJ17" s="34">
        <f t="shared" si="17"/>
        <v>329.25952899099997</v>
      </c>
      <c r="AL17" s="35"/>
      <c r="AM17" s="35">
        <f t="shared" si="18"/>
        <v>10351.354425</v>
      </c>
      <c r="AN17" s="5">
        <f t="shared" si="19"/>
        <v>10351.354425</v>
      </c>
      <c r="AO17" s="34">
        <f t="shared" si="20"/>
        <v>1704.7922505269999</v>
      </c>
      <c r="AQ17" s="35"/>
      <c r="AR17" s="35">
        <f t="shared" si="21"/>
        <v>40.836324999999995</v>
      </c>
      <c r="AS17" s="5">
        <f t="shared" si="22"/>
        <v>40.836324999999995</v>
      </c>
      <c r="AT17" s="34">
        <f t="shared" si="23"/>
        <v>6.725443602999999</v>
      </c>
      <c r="AV17" s="35"/>
      <c r="AW17" s="35">
        <f t="shared" si="24"/>
        <v>27479.068275</v>
      </c>
      <c r="AX17" s="5">
        <f t="shared" si="25"/>
        <v>27479.068275</v>
      </c>
      <c r="AY17" s="34">
        <f t="shared" si="26"/>
        <v>4525.601261780999</v>
      </c>
      <c r="BA17" s="35"/>
      <c r="BB17" s="35">
        <f t="shared" si="27"/>
        <v>832.1309500000001</v>
      </c>
      <c r="BC17" s="5">
        <f t="shared" si="28"/>
        <v>832.1309500000001</v>
      </c>
      <c r="BD17" s="34">
        <f t="shared" si="29"/>
        <v>137.045872138</v>
      </c>
      <c r="BF17" s="35"/>
      <c r="BG17" s="35">
        <f t="shared" si="30"/>
        <v>54605.5781</v>
      </c>
      <c r="BH17" s="5">
        <f t="shared" si="31"/>
        <v>54605.5781</v>
      </c>
      <c r="BI17" s="34">
        <f t="shared" si="32"/>
        <v>8993.138729323999</v>
      </c>
    </row>
    <row r="18" spans="1:61" ht="12.75">
      <c r="A18" s="36">
        <v>46113</v>
      </c>
      <c r="C18" s="3">
        <v>4000000</v>
      </c>
      <c r="D18" s="3">
        <v>1453250</v>
      </c>
      <c r="E18" s="34">
        <f t="shared" si="0"/>
        <v>5453250</v>
      </c>
      <c r="F18" s="34">
        <v>239339.62999999998</v>
      </c>
      <c r="H18" s="43">
        <f t="shared" si="33"/>
        <v>290904.8</v>
      </c>
      <c r="I18" s="35">
        <f t="shared" si="1"/>
        <v>105689.35015</v>
      </c>
      <c r="J18" s="35">
        <f t="shared" si="2"/>
        <v>396594.15015</v>
      </c>
      <c r="K18" s="35">
        <f t="shared" si="1"/>
        <v>17406.261799305998</v>
      </c>
      <c r="M18" s="35">
        <f t="shared" si="34"/>
        <v>223.6</v>
      </c>
      <c r="N18" s="35">
        <f t="shared" si="3"/>
        <v>81.23667499999999</v>
      </c>
      <c r="O18" s="5">
        <f t="shared" si="4"/>
        <v>304.836675</v>
      </c>
      <c r="P18" s="34">
        <f t="shared" si="5"/>
        <v>13.379085316999998</v>
      </c>
      <c r="R18" s="35">
        <f t="shared" si="35"/>
        <v>7648.8</v>
      </c>
      <c r="S18" s="35">
        <f t="shared" si="6"/>
        <v>2778.90465</v>
      </c>
      <c r="T18" s="5">
        <f t="shared" si="7"/>
        <v>10427.70465</v>
      </c>
      <c r="U18" s="34">
        <f t="shared" si="8"/>
        <v>457.66524048599996</v>
      </c>
      <c r="W18" s="35">
        <f t="shared" si="36"/>
        <v>7614</v>
      </c>
      <c r="X18" s="35">
        <f t="shared" si="9"/>
        <v>2766.261375</v>
      </c>
      <c r="Y18" s="5">
        <f t="shared" si="10"/>
        <v>10380.261375</v>
      </c>
      <c r="Z18" s="34">
        <f t="shared" si="11"/>
        <v>455.58298570499994</v>
      </c>
      <c r="AB18" s="35">
        <f t="shared" si="37"/>
        <v>13087.2</v>
      </c>
      <c r="AC18" s="35">
        <f t="shared" si="12"/>
        <v>4754.74335</v>
      </c>
      <c r="AD18" s="5">
        <f t="shared" si="13"/>
        <v>17841.94335</v>
      </c>
      <c r="AE18" s="34">
        <f t="shared" si="14"/>
        <v>783.0714014339999</v>
      </c>
      <c r="AG18" s="35">
        <f t="shared" si="38"/>
        <v>5502.8</v>
      </c>
      <c r="AH18" s="35">
        <f t="shared" si="15"/>
        <v>1999.2360250000002</v>
      </c>
      <c r="AI18" s="5">
        <f t="shared" si="16"/>
        <v>7502.036025</v>
      </c>
      <c r="AJ18" s="34">
        <f t="shared" si="17"/>
        <v>329.25952899099997</v>
      </c>
      <c r="AL18" s="35">
        <f t="shared" si="39"/>
        <v>28491.6</v>
      </c>
      <c r="AM18" s="35">
        <f t="shared" si="18"/>
        <v>10351.354425</v>
      </c>
      <c r="AN18" s="5">
        <f t="shared" si="19"/>
        <v>38842.954424999996</v>
      </c>
      <c r="AO18" s="34">
        <f t="shared" si="20"/>
        <v>1704.7922505269999</v>
      </c>
      <c r="AQ18" s="35">
        <f t="shared" si="40"/>
        <v>112.39999999999999</v>
      </c>
      <c r="AR18" s="35">
        <f t="shared" si="21"/>
        <v>40.836324999999995</v>
      </c>
      <c r="AS18" s="5">
        <f t="shared" si="22"/>
        <v>153.236325</v>
      </c>
      <c r="AT18" s="34">
        <f t="shared" si="23"/>
        <v>6.725443602999999</v>
      </c>
      <c r="AV18" s="35">
        <f t="shared" si="41"/>
        <v>75634.8</v>
      </c>
      <c r="AW18" s="35">
        <f t="shared" si="24"/>
        <v>27479.068275</v>
      </c>
      <c r="AX18" s="5">
        <f t="shared" si="25"/>
        <v>103113.868275</v>
      </c>
      <c r="AY18" s="34">
        <f t="shared" si="26"/>
        <v>4525.601261780999</v>
      </c>
      <c r="BA18" s="35">
        <f t="shared" si="42"/>
        <v>2290.4</v>
      </c>
      <c r="BB18" s="35">
        <f t="shared" si="27"/>
        <v>832.1309500000001</v>
      </c>
      <c r="BC18" s="5">
        <f t="shared" si="28"/>
        <v>3122.5309500000003</v>
      </c>
      <c r="BD18" s="34">
        <f t="shared" si="29"/>
        <v>137.045872138</v>
      </c>
      <c r="BF18" s="35">
        <f t="shared" si="43"/>
        <v>150299.19999999998</v>
      </c>
      <c r="BG18" s="35">
        <f t="shared" si="30"/>
        <v>54605.5781</v>
      </c>
      <c r="BH18" s="5">
        <f t="shared" si="31"/>
        <v>204904.7781</v>
      </c>
      <c r="BI18" s="34">
        <f t="shared" si="32"/>
        <v>8993.138729323999</v>
      </c>
    </row>
    <row r="19" spans="1:61" ht="12.75">
      <c r="A19" s="36">
        <v>46296</v>
      </c>
      <c r="D19" s="3">
        <v>1353250</v>
      </c>
      <c r="E19" s="34">
        <f t="shared" si="0"/>
        <v>1353250</v>
      </c>
      <c r="F19" s="34">
        <v>239339.62999999998</v>
      </c>
      <c r="H19" s="43"/>
      <c r="I19" s="35">
        <f t="shared" si="1"/>
        <v>98416.73014999999</v>
      </c>
      <c r="J19" s="35">
        <f t="shared" si="2"/>
        <v>98416.73014999999</v>
      </c>
      <c r="K19" s="35">
        <f t="shared" si="1"/>
        <v>17406.261799305998</v>
      </c>
      <c r="M19" s="35"/>
      <c r="N19" s="35">
        <f t="shared" si="3"/>
        <v>75.646675</v>
      </c>
      <c r="O19" s="5">
        <f t="shared" si="4"/>
        <v>75.646675</v>
      </c>
      <c r="P19" s="34">
        <f t="shared" si="5"/>
        <v>13.379085316999998</v>
      </c>
      <c r="R19" s="35"/>
      <c r="S19" s="35">
        <f t="shared" si="6"/>
        <v>2587.68465</v>
      </c>
      <c r="T19" s="5">
        <f t="shared" si="7"/>
        <v>2587.68465</v>
      </c>
      <c r="U19" s="34">
        <f t="shared" si="8"/>
        <v>457.66524048599996</v>
      </c>
      <c r="W19" s="35"/>
      <c r="X19" s="35">
        <f t="shared" si="9"/>
        <v>2575.911375</v>
      </c>
      <c r="Y19" s="5">
        <f t="shared" si="10"/>
        <v>2575.911375</v>
      </c>
      <c r="Z19" s="34">
        <f t="shared" si="11"/>
        <v>455.58298570499994</v>
      </c>
      <c r="AB19" s="35"/>
      <c r="AC19" s="35">
        <f t="shared" si="12"/>
        <v>4427.56335</v>
      </c>
      <c r="AD19" s="5">
        <f t="shared" si="13"/>
        <v>4427.56335</v>
      </c>
      <c r="AE19" s="34">
        <f t="shared" si="14"/>
        <v>783.0714014339999</v>
      </c>
      <c r="AG19" s="35"/>
      <c r="AH19" s="35">
        <f t="shared" si="15"/>
        <v>1861.6660250000002</v>
      </c>
      <c r="AI19" s="5">
        <f t="shared" si="16"/>
        <v>1861.6660250000002</v>
      </c>
      <c r="AJ19" s="34">
        <f t="shared" si="17"/>
        <v>329.25952899099997</v>
      </c>
      <c r="AL19" s="35"/>
      <c r="AM19" s="35">
        <f t="shared" si="18"/>
        <v>9639.064425</v>
      </c>
      <c r="AN19" s="5">
        <f t="shared" si="19"/>
        <v>9639.064425</v>
      </c>
      <c r="AO19" s="34">
        <f t="shared" si="20"/>
        <v>1704.7922505269999</v>
      </c>
      <c r="AQ19" s="35"/>
      <c r="AR19" s="35">
        <f t="shared" si="21"/>
        <v>38.026325</v>
      </c>
      <c r="AS19" s="5">
        <f t="shared" si="22"/>
        <v>38.026325</v>
      </c>
      <c r="AT19" s="34">
        <f t="shared" si="23"/>
        <v>6.725443602999999</v>
      </c>
      <c r="AV19" s="35"/>
      <c r="AW19" s="35">
        <f t="shared" si="24"/>
        <v>25588.198275000002</v>
      </c>
      <c r="AX19" s="5">
        <f t="shared" si="25"/>
        <v>25588.198275000002</v>
      </c>
      <c r="AY19" s="34">
        <f t="shared" si="26"/>
        <v>4525.601261780999</v>
      </c>
      <c r="BA19" s="35"/>
      <c r="BB19" s="35">
        <f t="shared" si="27"/>
        <v>774.8709500000001</v>
      </c>
      <c r="BC19" s="5">
        <f t="shared" si="28"/>
        <v>774.8709500000001</v>
      </c>
      <c r="BD19" s="34">
        <f t="shared" si="29"/>
        <v>137.045872138</v>
      </c>
      <c r="BF19" s="35"/>
      <c r="BG19" s="35">
        <f t="shared" si="30"/>
        <v>50848.098099999996</v>
      </c>
      <c r="BH19" s="5">
        <f t="shared" si="31"/>
        <v>50848.098099999996</v>
      </c>
      <c r="BI19" s="34">
        <f t="shared" si="32"/>
        <v>8993.138729323999</v>
      </c>
    </row>
    <row r="20" spans="1:61" ht="12.75">
      <c r="A20" s="36">
        <v>46478</v>
      </c>
      <c r="C20" s="3">
        <v>4200000</v>
      </c>
      <c r="D20" s="3">
        <v>1353250</v>
      </c>
      <c r="E20" s="34">
        <f t="shared" si="0"/>
        <v>5553250</v>
      </c>
      <c r="F20" s="34">
        <v>239339.62999999998</v>
      </c>
      <c r="H20" s="43">
        <f t="shared" si="33"/>
        <v>305450.04000000004</v>
      </c>
      <c r="I20" s="35">
        <f t="shared" si="1"/>
        <v>98416.73014999999</v>
      </c>
      <c r="J20" s="35">
        <f t="shared" si="2"/>
        <v>403866.77015</v>
      </c>
      <c r="K20" s="35">
        <f t="shared" si="1"/>
        <v>17406.261799305998</v>
      </c>
      <c r="M20" s="35">
        <f t="shared" si="34"/>
        <v>234.77999999999997</v>
      </c>
      <c r="N20" s="35">
        <f t="shared" si="3"/>
        <v>75.646675</v>
      </c>
      <c r="O20" s="5">
        <f t="shared" si="4"/>
        <v>310.426675</v>
      </c>
      <c r="P20" s="34">
        <f t="shared" si="5"/>
        <v>13.379085316999998</v>
      </c>
      <c r="R20" s="35">
        <f t="shared" si="35"/>
        <v>8031.24</v>
      </c>
      <c r="S20" s="35">
        <f t="shared" si="6"/>
        <v>2587.68465</v>
      </c>
      <c r="T20" s="5">
        <f t="shared" si="7"/>
        <v>10618.92465</v>
      </c>
      <c r="U20" s="34">
        <f t="shared" si="8"/>
        <v>457.66524048599996</v>
      </c>
      <c r="W20" s="35">
        <f t="shared" si="36"/>
        <v>7994.7</v>
      </c>
      <c r="X20" s="35">
        <f t="shared" si="9"/>
        <v>2575.911375</v>
      </c>
      <c r="Y20" s="5">
        <f t="shared" si="10"/>
        <v>10570.611375</v>
      </c>
      <c r="Z20" s="34">
        <f t="shared" si="11"/>
        <v>455.58298570499994</v>
      </c>
      <c r="AB20" s="35">
        <f t="shared" si="37"/>
        <v>13741.56</v>
      </c>
      <c r="AC20" s="35">
        <f t="shared" si="12"/>
        <v>4427.56335</v>
      </c>
      <c r="AD20" s="5">
        <f t="shared" si="13"/>
        <v>18169.12335</v>
      </c>
      <c r="AE20" s="34">
        <f t="shared" si="14"/>
        <v>783.0714014339999</v>
      </c>
      <c r="AG20" s="35">
        <f t="shared" si="38"/>
        <v>5777.9400000000005</v>
      </c>
      <c r="AH20" s="35">
        <f t="shared" si="15"/>
        <v>1861.6660250000002</v>
      </c>
      <c r="AI20" s="5">
        <f t="shared" si="16"/>
        <v>7639.606025000001</v>
      </c>
      <c r="AJ20" s="34">
        <f t="shared" si="17"/>
        <v>329.25952899099997</v>
      </c>
      <c r="AL20" s="35">
        <f t="shared" si="39"/>
        <v>29916.18</v>
      </c>
      <c r="AM20" s="35">
        <f t="shared" si="18"/>
        <v>9639.064425</v>
      </c>
      <c r="AN20" s="5">
        <f t="shared" si="19"/>
        <v>39555.244425</v>
      </c>
      <c r="AO20" s="34">
        <f t="shared" si="20"/>
        <v>1704.7922505269999</v>
      </c>
      <c r="AQ20" s="35">
        <f t="shared" si="40"/>
        <v>118.02</v>
      </c>
      <c r="AR20" s="35">
        <f t="shared" si="21"/>
        <v>38.026325</v>
      </c>
      <c r="AS20" s="5">
        <f t="shared" si="22"/>
        <v>156.046325</v>
      </c>
      <c r="AT20" s="34">
        <f t="shared" si="23"/>
        <v>6.725443602999999</v>
      </c>
      <c r="AV20" s="35">
        <f t="shared" si="41"/>
        <v>79416.54000000001</v>
      </c>
      <c r="AW20" s="35">
        <f t="shared" si="24"/>
        <v>25588.198275000002</v>
      </c>
      <c r="AX20" s="5">
        <f t="shared" si="25"/>
        <v>105004.73827500001</v>
      </c>
      <c r="AY20" s="34">
        <f t="shared" si="26"/>
        <v>4525.601261780999</v>
      </c>
      <c r="BA20" s="35">
        <f t="shared" si="42"/>
        <v>2404.92</v>
      </c>
      <c r="BB20" s="35">
        <f t="shared" si="27"/>
        <v>774.8709500000001</v>
      </c>
      <c r="BC20" s="5">
        <f t="shared" si="28"/>
        <v>3179.79095</v>
      </c>
      <c r="BD20" s="34">
        <f t="shared" si="29"/>
        <v>137.045872138</v>
      </c>
      <c r="BF20" s="35">
        <f t="shared" si="43"/>
        <v>157814.16</v>
      </c>
      <c r="BG20" s="35">
        <f t="shared" si="30"/>
        <v>50848.098099999996</v>
      </c>
      <c r="BH20" s="5">
        <f t="shared" si="31"/>
        <v>208662.2581</v>
      </c>
      <c r="BI20" s="34">
        <f t="shared" si="32"/>
        <v>8993.138729323999</v>
      </c>
    </row>
    <row r="21" spans="1:61" ht="12.75">
      <c r="A21" s="36">
        <v>46661</v>
      </c>
      <c r="D21" s="3">
        <v>1248250</v>
      </c>
      <c r="E21" s="34">
        <f t="shared" si="0"/>
        <v>1248250</v>
      </c>
      <c r="F21" s="34">
        <v>239339.62999999998</v>
      </c>
      <c r="H21" s="43"/>
      <c r="I21" s="35">
        <f t="shared" si="1"/>
        <v>90780.47915</v>
      </c>
      <c r="J21" s="35">
        <f t="shared" si="2"/>
        <v>90780.47915</v>
      </c>
      <c r="K21" s="35">
        <f t="shared" si="1"/>
        <v>17406.261799305998</v>
      </c>
      <c r="M21" s="35"/>
      <c r="N21" s="35">
        <f t="shared" si="3"/>
        <v>69.777175</v>
      </c>
      <c r="O21" s="5">
        <f t="shared" si="4"/>
        <v>69.777175</v>
      </c>
      <c r="P21" s="34">
        <f t="shared" si="5"/>
        <v>13.379085316999998</v>
      </c>
      <c r="R21" s="35"/>
      <c r="S21" s="35">
        <f t="shared" si="6"/>
        <v>2386.9036499999997</v>
      </c>
      <c r="T21" s="5">
        <f t="shared" si="7"/>
        <v>2386.9036499999997</v>
      </c>
      <c r="U21" s="34">
        <f t="shared" si="8"/>
        <v>457.66524048599996</v>
      </c>
      <c r="W21" s="35"/>
      <c r="X21" s="35">
        <f t="shared" si="9"/>
        <v>2376.043875</v>
      </c>
      <c r="Y21" s="5">
        <f t="shared" si="10"/>
        <v>2376.043875</v>
      </c>
      <c r="Z21" s="34">
        <f t="shared" si="11"/>
        <v>455.58298570499994</v>
      </c>
      <c r="AB21" s="35"/>
      <c r="AC21" s="35">
        <f t="shared" si="12"/>
        <v>4084.02435</v>
      </c>
      <c r="AD21" s="5">
        <f t="shared" si="13"/>
        <v>4084.02435</v>
      </c>
      <c r="AE21" s="34">
        <f t="shared" si="14"/>
        <v>783.0714014339999</v>
      </c>
      <c r="AG21" s="35"/>
      <c r="AH21" s="35">
        <f t="shared" si="15"/>
        <v>1717.217525</v>
      </c>
      <c r="AI21" s="5">
        <f t="shared" si="16"/>
        <v>1717.217525</v>
      </c>
      <c r="AJ21" s="34">
        <f t="shared" si="17"/>
        <v>329.25952899099997</v>
      </c>
      <c r="AL21" s="35"/>
      <c r="AM21" s="35">
        <f t="shared" si="18"/>
        <v>8891.159925</v>
      </c>
      <c r="AN21" s="5">
        <f t="shared" si="19"/>
        <v>8891.159925</v>
      </c>
      <c r="AO21" s="34">
        <f t="shared" si="20"/>
        <v>1704.7922505269999</v>
      </c>
      <c r="AQ21" s="35"/>
      <c r="AR21" s="35">
        <f t="shared" si="21"/>
        <v>35.075825</v>
      </c>
      <c r="AS21" s="5">
        <f t="shared" si="22"/>
        <v>35.075825</v>
      </c>
      <c r="AT21" s="34">
        <f t="shared" si="23"/>
        <v>6.725443602999999</v>
      </c>
      <c r="AV21" s="35"/>
      <c r="AW21" s="35">
        <f t="shared" si="24"/>
        <v>23602.784775</v>
      </c>
      <c r="AX21" s="5">
        <f t="shared" si="25"/>
        <v>23602.784775</v>
      </c>
      <c r="AY21" s="34">
        <f t="shared" si="26"/>
        <v>4525.601261780999</v>
      </c>
      <c r="BA21" s="35"/>
      <c r="BB21" s="35">
        <f t="shared" si="27"/>
        <v>714.7479500000001</v>
      </c>
      <c r="BC21" s="5">
        <f t="shared" si="28"/>
        <v>714.7479500000001</v>
      </c>
      <c r="BD21" s="34">
        <f t="shared" si="29"/>
        <v>137.045872138</v>
      </c>
      <c r="BF21" s="35"/>
      <c r="BG21" s="35">
        <f t="shared" si="30"/>
        <v>46902.744099999996</v>
      </c>
      <c r="BH21" s="5">
        <f t="shared" si="31"/>
        <v>46902.744099999996</v>
      </c>
      <c r="BI21" s="34">
        <f t="shared" si="32"/>
        <v>8993.138729323999</v>
      </c>
    </row>
    <row r="22" spans="1:61" ht="12.75">
      <c r="A22" s="36">
        <v>46844</v>
      </c>
      <c r="C22" s="3">
        <v>4410000</v>
      </c>
      <c r="D22" s="3">
        <v>1248250</v>
      </c>
      <c r="E22" s="34">
        <f t="shared" si="0"/>
        <v>5658250</v>
      </c>
      <c r="F22" s="34">
        <v>239339.62999999998</v>
      </c>
      <c r="H22" s="43">
        <f t="shared" si="33"/>
        <v>320722.542</v>
      </c>
      <c r="I22" s="35">
        <f t="shared" si="1"/>
        <v>90780.47915</v>
      </c>
      <c r="J22" s="35">
        <f t="shared" si="2"/>
        <v>411503.02115000004</v>
      </c>
      <c r="K22" s="35">
        <f t="shared" si="1"/>
        <v>17406.261799305998</v>
      </c>
      <c r="M22" s="35">
        <f t="shared" si="34"/>
        <v>246.51899999999998</v>
      </c>
      <c r="N22" s="35">
        <f t="shared" si="3"/>
        <v>69.777175</v>
      </c>
      <c r="O22" s="5">
        <f t="shared" si="4"/>
        <v>316.29617499999995</v>
      </c>
      <c r="P22" s="34">
        <f t="shared" si="5"/>
        <v>13.379085316999998</v>
      </c>
      <c r="R22" s="35">
        <f t="shared" si="35"/>
        <v>8432.802</v>
      </c>
      <c r="S22" s="35">
        <f t="shared" si="6"/>
        <v>2386.9036499999997</v>
      </c>
      <c r="T22" s="5">
        <f t="shared" si="7"/>
        <v>10819.70565</v>
      </c>
      <c r="U22" s="34">
        <f t="shared" si="8"/>
        <v>457.66524048599996</v>
      </c>
      <c r="W22" s="35">
        <f t="shared" si="36"/>
        <v>8394.435</v>
      </c>
      <c r="X22" s="35">
        <f t="shared" si="9"/>
        <v>2376.043875</v>
      </c>
      <c r="Y22" s="5">
        <f t="shared" si="10"/>
        <v>10770.478874999999</v>
      </c>
      <c r="Z22" s="34">
        <f t="shared" si="11"/>
        <v>455.58298570499994</v>
      </c>
      <c r="AB22" s="35">
        <f t="shared" si="37"/>
        <v>14428.638</v>
      </c>
      <c r="AC22" s="35">
        <f t="shared" si="12"/>
        <v>4084.02435</v>
      </c>
      <c r="AD22" s="5">
        <f t="shared" si="13"/>
        <v>18512.662350000002</v>
      </c>
      <c r="AE22" s="34">
        <f t="shared" si="14"/>
        <v>783.0714014339999</v>
      </c>
      <c r="AG22" s="35">
        <f t="shared" si="38"/>
        <v>6066.837</v>
      </c>
      <c r="AH22" s="35">
        <f t="shared" si="15"/>
        <v>1717.217525</v>
      </c>
      <c r="AI22" s="5">
        <f t="shared" si="16"/>
        <v>7784.0545250000005</v>
      </c>
      <c r="AJ22" s="34">
        <f t="shared" si="17"/>
        <v>329.25952899099997</v>
      </c>
      <c r="AL22" s="35">
        <f t="shared" si="39"/>
        <v>31411.988999999998</v>
      </c>
      <c r="AM22" s="35">
        <f t="shared" si="18"/>
        <v>8891.159925</v>
      </c>
      <c r="AN22" s="5">
        <f t="shared" si="19"/>
        <v>40303.148925</v>
      </c>
      <c r="AO22" s="34">
        <f t="shared" si="20"/>
        <v>1704.7922505269999</v>
      </c>
      <c r="AQ22" s="35">
        <f t="shared" si="40"/>
        <v>123.92099999999999</v>
      </c>
      <c r="AR22" s="35">
        <f t="shared" si="21"/>
        <v>35.075825</v>
      </c>
      <c r="AS22" s="5">
        <f t="shared" si="22"/>
        <v>158.996825</v>
      </c>
      <c r="AT22" s="34">
        <f t="shared" si="23"/>
        <v>6.725443602999999</v>
      </c>
      <c r="AV22" s="35">
        <f t="shared" si="41"/>
        <v>83387.367</v>
      </c>
      <c r="AW22" s="35">
        <f t="shared" si="24"/>
        <v>23602.784775</v>
      </c>
      <c r="AX22" s="5">
        <f t="shared" si="25"/>
        <v>106990.151775</v>
      </c>
      <c r="AY22" s="34">
        <f t="shared" si="26"/>
        <v>4525.601261780999</v>
      </c>
      <c r="BA22" s="35">
        <f t="shared" si="42"/>
        <v>2525.166</v>
      </c>
      <c r="BB22" s="35">
        <f t="shared" si="27"/>
        <v>714.7479500000001</v>
      </c>
      <c r="BC22" s="5">
        <f t="shared" si="28"/>
        <v>3239.91395</v>
      </c>
      <c r="BD22" s="34">
        <f t="shared" si="29"/>
        <v>137.045872138</v>
      </c>
      <c r="BF22" s="35">
        <f t="shared" si="43"/>
        <v>165704.868</v>
      </c>
      <c r="BG22" s="35">
        <f t="shared" si="30"/>
        <v>46902.744099999996</v>
      </c>
      <c r="BH22" s="5">
        <f t="shared" si="31"/>
        <v>212607.61209999997</v>
      </c>
      <c r="BI22" s="34">
        <f t="shared" si="32"/>
        <v>8993.138729323999</v>
      </c>
    </row>
    <row r="23" spans="1:61" ht="12.75">
      <c r="A23" s="36">
        <v>47027</v>
      </c>
      <c r="D23" s="3">
        <v>1138000</v>
      </c>
      <c r="E23" s="34">
        <f t="shared" si="0"/>
        <v>1138000</v>
      </c>
      <c r="F23" s="34">
        <v>239339.62999999998</v>
      </c>
      <c r="H23" s="43"/>
      <c r="I23" s="35">
        <f t="shared" si="1"/>
        <v>82762.41560000001</v>
      </c>
      <c r="J23" s="35">
        <f t="shared" si="2"/>
        <v>82762.41560000001</v>
      </c>
      <c r="K23" s="35">
        <f t="shared" si="1"/>
        <v>17406.261799305998</v>
      </c>
      <c r="M23" s="35"/>
      <c r="N23" s="35">
        <f t="shared" si="3"/>
        <v>63.6142</v>
      </c>
      <c r="O23" s="5">
        <f t="shared" si="4"/>
        <v>63.6142</v>
      </c>
      <c r="P23" s="34">
        <f t="shared" si="5"/>
        <v>13.379085316999998</v>
      </c>
      <c r="R23" s="35"/>
      <c r="S23" s="35">
        <f t="shared" si="6"/>
        <v>2176.0836</v>
      </c>
      <c r="T23" s="5">
        <f t="shared" si="7"/>
        <v>2176.0836</v>
      </c>
      <c r="U23" s="34">
        <f t="shared" si="8"/>
        <v>457.66524048599996</v>
      </c>
      <c r="W23" s="35"/>
      <c r="X23" s="35">
        <f t="shared" si="9"/>
        <v>2166.183</v>
      </c>
      <c r="Y23" s="5">
        <f t="shared" si="10"/>
        <v>2166.183</v>
      </c>
      <c r="Z23" s="34">
        <f t="shared" si="11"/>
        <v>455.58298570499994</v>
      </c>
      <c r="AB23" s="35"/>
      <c r="AC23" s="35">
        <f t="shared" si="12"/>
        <v>3723.3084</v>
      </c>
      <c r="AD23" s="5">
        <f t="shared" si="13"/>
        <v>3723.3084</v>
      </c>
      <c r="AE23" s="34">
        <f t="shared" si="14"/>
        <v>783.0714014339999</v>
      </c>
      <c r="AG23" s="35"/>
      <c r="AH23" s="35">
        <f t="shared" si="15"/>
        <v>1565.5466000000001</v>
      </c>
      <c r="AI23" s="5">
        <f t="shared" si="16"/>
        <v>1565.5466000000001</v>
      </c>
      <c r="AJ23" s="34">
        <f t="shared" si="17"/>
        <v>329.25952899099997</v>
      </c>
      <c r="AL23" s="35"/>
      <c r="AM23" s="35">
        <f t="shared" si="18"/>
        <v>8105.8602</v>
      </c>
      <c r="AN23" s="5">
        <f t="shared" si="19"/>
        <v>8105.8602</v>
      </c>
      <c r="AO23" s="34">
        <f t="shared" si="20"/>
        <v>1704.7922505269999</v>
      </c>
      <c r="AQ23" s="35"/>
      <c r="AR23" s="35">
        <f t="shared" si="21"/>
        <v>31.9778</v>
      </c>
      <c r="AS23" s="5">
        <f t="shared" si="22"/>
        <v>31.9778</v>
      </c>
      <c r="AT23" s="34">
        <f t="shared" si="23"/>
        <v>6.725443602999999</v>
      </c>
      <c r="AV23" s="35"/>
      <c r="AW23" s="35">
        <f t="shared" si="24"/>
        <v>21518.1006</v>
      </c>
      <c r="AX23" s="5">
        <f t="shared" si="25"/>
        <v>21518.1006</v>
      </c>
      <c r="AY23" s="34">
        <f t="shared" si="26"/>
        <v>4525.601261780999</v>
      </c>
      <c r="BA23" s="35"/>
      <c r="BB23" s="35">
        <f t="shared" si="27"/>
        <v>651.6188000000001</v>
      </c>
      <c r="BC23" s="5">
        <f t="shared" si="28"/>
        <v>651.6188000000001</v>
      </c>
      <c r="BD23" s="34">
        <f t="shared" si="29"/>
        <v>137.045872138</v>
      </c>
      <c r="BF23" s="35"/>
      <c r="BG23" s="35">
        <f t="shared" si="30"/>
        <v>42760.1224</v>
      </c>
      <c r="BH23" s="5">
        <f t="shared" si="31"/>
        <v>42760.1224</v>
      </c>
      <c r="BI23" s="34">
        <f t="shared" si="32"/>
        <v>8993.138729323999</v>
      </c>
    </row>
    <row r="24" spans="1:61" ht="12.75">
      <c r="A24" s="36">
        <v>47209</v>
      </c>
      <c r="C24" s="3">
        <v>4630000</v>
      </c>
      <c r="D24" s="3">
        <v>1138000</v>
      </c>
      <c r="E24" s="34">
        <f t="shared" si="0"/>
        <v>5768000</v>
      </c>
      <c r="F24" s="34">
        <v>239339.62999999998</v>
      </c>
      <c r="H24" s="43">
        <f t="shared" si="33"/>
        <v>336722.306</v>
      </c>
      <c r="I24" s="35">
        <f t="shared" si="1"/>
        <v>82762.41560000001</v>
      </c>
      <c r="J24" s="35">
        <f t="shared" si="2"/>
        <v>419484.7216</v>
      </c>
      <c r="K24" s="35">
        <f t="shared" si="1"/>
        <v>17406.261799305998</v>
      </c>
      <c r="M24" s="35">
        <f t="shared" si="34"/>
        <v>258.817</v>
      </c>
      <c r="N24" s="35">
        <f t="shared" si="3"/>
        <v>63.6142</v>
      </c>
      <c r="O24" s="5">
        <f t="shared" si="4"/>
        <v>322.4312</v>
      </c>
      <c r="P24" s="34">
        <f t="shared" si="5"/>
        <v>13.379085316999998</v>
      </c>
      <c r="R24" s="35">
        <f t="shared" si="35"/>
        <v>8853.485999999999</v>
      </c>
      <c r="S24" s="35">
        <f t="shared" si="6"/>
        <v>2176.0836</v>
      </c>
      <c r="T24" s="5">
        <f t="shared" si="7"/>
        <v>11029.569599999999</v>
      </c>
      <c r="U24" s="34">
        <f t="shared" si="8"/>
        <v>457.66524048599996</v>
      </c>
      <c r="W24" s="35">
        <f t="shared" si="36"/>
        <v>8813.205</v>
      </c>
      <c r="X24" s="35">
        <f t="shared" si="9"/>
        <v>2166.183</v>
      </c>
      <c r="Y24" s="5">
        <f t="shared" si="10"/>
        <v>10979.387999999999</v>
      </c>
      <c r="Z24" s="34">
        <f t="shared" si="11"/>
        <v>455.58298570499994</v>
      </c>
      <c r="AB24" s="35">
        <f t="shared" si="37"/>
        <v>15148.434000000001</v>
      </c>
      <c r="AC24" s="35">
        <f t="shared" si="12"/>
        <v>3723.3084</v>
      </c>
      <c r="AD24" s="5">
        <f t="shared" si="13"/>
        <v>18871.742400000003</v>
      </c>
      <c r="AE24" s="34">
        <f t="shared" si="14"/>
        <v>783.0714014339999</v>
      </c>
      <c r="AG24" s="35">
        <f t="shared" si="38"/>
        <v>6369.491000000001</v>
      </c>
      <c r="AH24" s="35">
        <f t="shared" si="15"/>
        <v>1565.5466000000001</v>
      </c>
      <c r="AI24" s="5">
        <f t="shared" si="16"/>
        <v>7935.0376000000015</v>
      </c>
      <c r="AJ24" s="34">
        <f t="shared" si="17"/>
        <v>329.25952899099997</v>
      </c>
      <c r="AL24" s="35">
        <f t="shared" si="39"/>
        <v>32979.027</v>
      </c>
      <c r="AM24" s="35">
        <f t="shared" si="18"/>
        <v>8105.8602</v>
      </c>
      <c r="AN24" s="5">
        <f t="shared" si="19"/>
        <v>41084.887200000005</v>
      </c>
      <c r="AO24" s="34">
        <f t="shared" si="20"/>
        <v>1704.7922505269999</v>
      </c>
      <c r="AQ24" s="35">
        <f t="shared" si="40"/>
        <v>130.10299999999998</v>
      </c>
      <c r="AR24" s="35">
        <f t="shared" si="21"/>
        <v>31.9778</v>
      </c>
      <c r="AS24" s="5">
        <f t="shared" si="22"/>
        <v>162.08079999999998</v>
      </c>
      <c r="AT24" s="34">
        <f t="shared" si="23"/>
        <v>6.725443602999999</v>
      </c>
      <c r="AV24" s="35">
        <f t="shared" si="41"/>
        <v>87547.281</v>
      </c>
      <c r="AW24" s="35">
        <f t="shared" si="24"/>
        <v>21518.1006</v>
      </c>
      <c r="AX24" s="5">
        <f t="shared" si="25"/>
        <v>109065.38160000001</v>
      </c>
      <c r="AY24" s="34">
        <f t="shared" si="26"/>
        <v>4525.601261780999</v>
      </c>
      <c r="BA24" s="35">
        <f t="shared" si="42"/>
        <v>2651.1380000000004</v>
      </c>
      <c r="BB24" s="35">
        <f t="shared" si="27"/>
        <v>651.6188000000001</v>
      </c>
      <c r="BC24" s="5">
        <f t="shared" si="28"/>
        <v>3302.7568000000006</v>
      </c>
      <c r="BD24" s="34">
        <f t="shared" si="29"/>
        <v>137.045872138</v>
      </c>
      <c r="BF24" s="35">
        <f t="shared" si="43"/>
        <v>173971.324</v>
      </c>
      <c r="BG24" s="35">
        <f t="shared" si="30"/>
        <v>42760.1224</v>
      </c>
      <c r="BH24" s="5">
        <f t="shared" si="31"/>
        <v>216731.4464</v>
      </c>
      <c r="BI24" s="34">
        <f t="shared" si="32"/>
        <v>8993.138729323999</v>
      </c>
    </row>
    <row r="25" spans="1:61" ht="12.75">
      <c r="A25" s="36">
        <v>47392</v>
      </c>
      <c r="D25" s="3">
        <v>1022250</v>
      </c>
      <c r="E25" s="34">
        <f t="shared" si="0"/>
        <v>1022250</v>
      </c>
      <c r="F25" s="34">
        <v>239339.62999999998</v>
      </c>
      <c r="H25" s="43"/>
      <c r="I25" s="35">
        <f t="shared" si="1"/>
        <v>74344.35795</v>
      </c>
      <c r="J25" s="35">
        <f t="shared" si="2"/>
        <v>74344.35795</v>
      </c>
      <c r="K25" s="35">
        <f t="shared" si="1"/>
        <v>17406.261799305998</v>
      </c>
      <c r="M25" s="35"/>
      <c r="N25" s="35">
        <f t="shared" si="3"/>
        <v>57.143775</v>
      </c>
      <c r="O25" s="5">
        <f t="shared" si="4"/>
        <v>57.143775</v>
      </c>
      <c r="P25" s="34">
        <f t="shared" si="5"/>
        <v>13.379085316999998</v>
      </c>
      <c r="R25" s="35"/>
      <c r="S25" s="35">
        <f t="shared" si="6"/>
        <v>1954.7464499999999</v>
      </c>
      <c r="T25" s="5">
        <f t="shared" si="7"/>
        <v>1954.7464499999999</v>
      </c>
      <c r="U25" s="34">
        <f t="shared" si="8"/>
        <v>457.66524048599996</v>
      </c>
      <c r="W25" s="35"/>
      <c r="X25" s="35">
        <f t="shared" si="9"/>
        <v>1945.852875</v>
      </c>
      <c r="Y25" s="5">
        <f t="shared" si="10"/>
        <v>1945.852875</v>
      </c>
      <c r="Z25" s="34">
        <f t="shared" si="11"/>
        <v>455.58298570499994</v>
      </c>
      <c r="AB25" s="35"/>
      <c r="AC25" s="35">
        <f t="shared" si="12"/>
        <v>3344.59755</v>
      </c>
      <c r="AD25" s="5">
        <f t="shared" si="13"/>
        <v>3344.59755</v>
      </c>
      <c r="AE25" s="34">
        <f t="shared" si="14"/>
        <v>783.0714014339999</v>
      </c>
      <c r="AG25" s="35"/>
      <c r="AH25" s="35">
        <f t="shared" si="15"/>
        <v>1406.3093250000002</v>
      </c>
      <c r="AI25" s="5">
        <f t="shared" si="16"/>
        <v>1406.3093250000002</v>
      </c>
      <c r="AJ25" s="34">
        <f t="shared" si="17"/>
        <v>329.25952899099997</v>
      </c>
      <c r="AL25" s="35"/>
      <c r="AM25" s="35">
        <f t="shared" si="18"/>
        <v>7281.3845249999995</v>
      </c>
      <c r="AN25" s="5">
        <f t="shared" si="19"/>
        <v>7281.3845249999995</v>
      </c>
      <c r="AO25" s="34">
        <f t="shared" si="20"/>
        <v>1704.7922505269999</v>
      </c>
      <c r="AQ25" s="35"/>
      <c r="AR25" s="35">
        <f t="shared" si="21"/>
        <v>28.725225</v>
      </c>
      <c r="AS25" s="5">
        <f t="shared" si="22"/>
        <v>28.725225</v>
      </c>
      <c r="AT25" s="34">
        <f t="shared" si="23"/>
        <v>6.725443602999999</v>
      </c>
      <c r="AV25" s="35"/>
      <c r="AW25" s="35">
        <f t="shared" si="24"/>
        <v>19329.418575</v>
      </c>
      <c r="AX25" s="5">
        <f t="shared" si="25"/>
        <v>19329.418575</v>
      </c>
      <c r="AY25" s="34">
        <f t="shared" si="26"/>
        <v>4525.601261780999</v>
      </c>
      <c r="BA25" s="35"/>
      <c r="BB25" s="35">
        <f t="shared" si="27"/>
        <v>585.3403500000001</v>
      </c>
      <c r="BC25" s="5">
        <f t="shared" si="28"/>
        <v>585.3403500000001</v>
      </c>
      <c r="BD25" s="34">
        <f t="shared" si="29"/>
        <v>137.045872138</v>
      </c>
      <c r="BF25" s="35"/>
      <c r="BG25" s="35">
        <f t="shared" si="30"/>
        <v>38410.8393</v>
      </c>
      <c r="BH25" s="5">
        <f t="shared" si="31"/>
        <v>38410.8393</v>
      </c>
      <c r="BI25" s="34">
        <f t="shared" si="32"/>
        <v>8993.138729323999</v>
      </c>
    </row>
    <row r="26" spans="1:61" ht="12.75">
      <c r="A26" s="36">
        <v>11049</v>
      </c>
      <c r="C26" s="3">
        <v>4860000</v>
      </c>
      <c r="D26" s="3">
        <v>1022250</v>
      </c>
      <c r="E26" s="34">
        <f t="shared" si="0"/>
        <v>5882250</v>
      </c>
      <c r="F26" s="34">
        <v>239339.62999999998</v>
      </c>
      <c r="H26" s="43">
        <f t="shared" si="33"/>
        <v>353449.332</v>
      </c>
      <c r="I26" s="35">
        <f t="shared" si="1"/>
        <v>74344.35795</v>
      </c>
      <c r="J26" s="35">
        <f t="shared" si="2"/>
        <v>427793.68995</v>
      </c>
      <c r="K26" s="35">
        <f t="shared" si="1"/>
        <v>17406.261799305998</v>
      </c>
      <c r="M26" s="35">
        <f t="shared" si="34"/>
        <v>271.674</v>
      </c>
      <c r="N26" s="35">
        <f t="shared" si="3"/>
        <v>57.143775</v>
      </c>
      <c r="O26" s="5">
        <f t="shared" si="4"/>
        <v>328.817775</v>
      </c>
      <c r="P26" s="34">
        <f t="shared" si="5"/>
        <v>13.379085316999998</v>
      </c>
      <c r="R26" s="35">
        <f t="shared" si="35"/>
        <v>9293.292</v>
      </c>
      <c r="S26" s="35">
        <f t="shared" si="6"/>
        <v>1954.7464499999999</v>
      </c>
      <c r="T26" s="5">
        <f t="shared" si="7"/>
        <v>11248.03845</v>
      </c>
      <c r="U26" s="34">
        <f t="shared" si="8"/>
        <v>457.66524048599996</v>
      </c>
      <c r="W26" s="35">
        <f t="shared" si="36"/>
        <v>9251.01</v>
      </c>
      <c r="X26" s="35">
        <f t="shared" si="9"/>
        <v>1945.852875</v>
      </c>
      <c r="Y26" s="5">
        <f t="shared" si="10"/>
        <v>11196.862875</v>
      </c>
      <c r="Z26" s="34">
        <f t="shared" si="11"/>
        <v>455.58298570499994</v>
      </c>
      <c r="AB26" s="35">
        <f t="shared" si="37"/>
        <v>15900.948</v>
      </c>
      <c r="AC26" s="35">
        <f t="shared" si="12"/>
        <v>3344.59755</v>
      </c>
      <c r="AD26" s="5">
        <f t="shared" si="13"/>
        <v>19245.54555</v>
      </c>
      <c r="AE26" s="34">
        <f t="shared" si="14"/>
        <v>783.0714014339999</v>
      </c>
      <c r="AG26" s="35">
        <f t="shared" si="38"/>
        <v>6685.902</v>
      </c>
      <c r="AH26" s="35">
        <f t="shared" si="15"/>
        <v>1406.3093250000002</v>
      </c>
      <c r="AI26" s="5">
        <f t="shared" si="16"/>
        <v>8092.211325</v>
      </c>
      <c r="AJ26" s="34">
        <f t="shared" si="17"/>
        <v>329.25952899099997</v>
      </c>
      <c r="AL26" s="35">
        <f t="shared" si="39"/>
        <v>34617.294</v>
      </c>
      <c r="AM26" s="35">
        <f t="shared" si="18"/>
        <v>7281.3845249999995</v>
      </c>
      <c r="AN26" s="5">
        <f t="shared" si="19"/>
        <v>41898.678525</v>
      </c>
      <c r="AO26" s="34">
        <f t="shared" si="20"/>
        <v>1704.7922505269999</v>
      </c>
      <c r="AQ26" s="35">
        <f t="shared" si="40"/>
        <v>136.566</v>
      </c>
      <c r="AR26" s="35">
        <f t="shared" si="21"/>
        <v>28.725225</v>
      </c>
      <c r="AS26" s="5">
        <f t="shared" si="22"/>
        <v>165.291225</v>
      </c>
      <c r="AT26" s="34">
        <f t="shared" si="23"/>
        <v>6.725443602999999</v>
      </c>
      <c r="AV26" s="35">
        <f t="shared" si="41"/>
        <v>91896.282</v>
      </c>
      <c r="AW26" s="35">
        <f t="shared" si="24"/>
        <v>19329.418575</v>
      </c>
      <c r="AX26" s="5">
        <f t="shared" si="25"/>
        <v>111225.70057500001</v>
      </c>
      <c r="AY26" s="34">
        <f t="shared" si="26"/>
        <v>4525.601261780999</v>
      </c>
      <c r="BA26" s="35">
        <f t="shared" si="42"/>
        <v>2782.8360000000002</v>
      </c>
      <c r="BB26" s="35">
        <f t="shared" si="27"/>
        <v>585.3403500000001</v>
      </c>
      <c r="BC26" s="5">
        <f t="shared" si="28"/>
        <v>3368.17635</v>
      </c>
      <c r="BD26" s="34">
        <f t="shared" si="29"/>
        <v>137.045872138</v>
      </c>
      <c r="BF26" s="35">
        <f t="shared" si="43"/>
        <v>182613.528</v>
      </c>
      <c r="BG26" s="35">
        <f t="shared" si="30"/>
        <v>38410.8393</v>
      </c>
      <c r="BH26" s="5">
        <f t="shared" si="31"/>
        <v>221024.36729999998</v>
      </c>
      <c r="BI26" s="34">
        <f t="shared" si="32"/>
        <v>8993.138729323999</v>
      </c>
    </row>
    <row r="27" spans="1:61" ht="12.75">
      <c r="A27" s="36">
        <v>11232</v>
      </c>
      <c r="D27" s="3">
        <v>900750</v>
      </c>
      <c r="E27" s="34">
        <f t="shared" si="0"/>
        <v>900750</v>
      </c>
      <c r="F27" s="34">
        <v>239339.62999999998</v>
      </c>
      <c r="H27" s="43"/>
      <c r="I27" s="35">
        <f t="shared" si="1"/>
        <v>65508.124650000005</v>
      </c>
      <c r="J27" s="35">
        <f t="shared" si="2"/>
        <v>65508.124650000005</v>
      </c>
      <c r="K27" s="35">
        <f t="shared" si="1"/>
        <v>17406.261799305998</v>
      </c>
      <c r="M27" s="35"/>
      <c r="N27" s="35">
        <f t="shared" si="3"/>
        <v>50.351924999999994</v>
      </c>
      <c r="O27" s="5">
        <f t="shared" si="4"/>
        <v>50.351924999999994</v>
      </c>
      <c r="P27" s="34">
        <f t="shared" si="5"/>
        <v>13.379085316999998</v>
      </c>
      <c r="R27" s="35"/>
      <c r="S27" s="35">
        <f t="shared" si="6"/>
        <v>1722.41415</v>
      </c>
      <c r="T27" s="5">
        <f t="shared" si="7"/>
        <v>1722.41415</v>
      </c>
      <c r="U27" s="34">
        <f t="shared" si="8"/>
        <v>457.66524048599996</v>
      </c>
      <c r="W27" s="35"/>
      <c r="X27" s="35">
        <f t="shared" si="9"/>
        <v>1714.5776250000001</v>
      </c>
      <c r="Y27" s="5">
        <f t="shared" si="10"/>
        <v>1714.5776250000001</v>
      </c>
      <c r="Z27" s="34">
        <f t="shared" si="11"/>
        <v>455.58298570499994</v>
      </c>
      <c r="AB27" s="35"/>
      <c r="AC27" s="35">
        <f t="shared" si="12"/>
        <v>2947.07385</v>
      </c>
      <c r="AD27" s="5">
        <f t="shared" si="13"/>
        <v>2947.07385</v>
      </c>
      <c r="AE27" s="34">
        <f t="shared" si="14"/>
        <v>783.0714014339999</v>
      </c>
      <c r="AG27" s="35"/>
      <c r="AH27" s="35">
        <f t="shared" si="15"/>
        <v>1239.161775</v>
      </c>
      <c r="AI27" s="5">
        <f t="shared" si="16"/>
        <v>1239.161775</v>
      </c>
      <c r="AJ27" s="34">
        <f t="shared" si="17"/>
        <v>329.25952899099997</v>
      </c>
      <c r="AL27" s="35"/>
      <c r="AM27" s="35">
        <f t="shared" si="18"/>
        <v>6415.952174999999</v>
      </c>
      <c r="AN27" s="5">
        <f t="shared" si="19"/>
        <v>6415.952174999999</v>
      </c>
      <c r="AO27" s="34">
        <f t="shared" si="20"/>
        <v>1704.7922505269999</v>
      </c>
      <c r="AQ27" s="35"/>
      <c r="AR27" s="35">
        <f t="shared" si="21"/>
        <v>25.311075</v>
      </c>
      <c r="AS27" s="5">
        <f t="shared" si="22"/>
        <v>25.311075</v>
      </c>
      <c r="AT27" s="34">
        <f t="shared" si="23"/>
        <v>6.725443602999999</v>
      </c>
      <c r="AV27" s="35"/>
      <c r="AW27" s="35">
        <f t="shared" si="24"/>
        <v>17032.011525</v>
      </c>
      <c r="AX27" s="5">
        <f t="shared" si="25"/>
        <v>17032.011525</v>
      </c>
      <c r="AY27" s="34">
        <f t="shared" si="26"/>
        <v>4525.601261780999</v>
      </c>
      <c r="BA27" s="35"/>
      <c r="BB27" s="35">
        <f t="shared" si="27"/>
        <v>515.76945</v>
      </c>
      <c r="BC27" s="5">
        <f t="shared" si="28"/>
        <v>515.76945</v>
      </c>
      <c r="BD27" s="34">
        <f t="shared" si="29"/>
        <v>137.045872138</v>
      </c>
      <c r="BF27" s="35"/>
      <c r="BG27" s="35">
        <f t="shared" si="30"/>
        <v>33845.5011</v>
      </c>
      <c r="BH27" s="5">
        <f t="shared" si="31"/>
        <v>33845.5011</v>
      </c>
      <c r="BI27" s="34">
        <f t="shared" si="32"/>
        <v>8993.138729323999</v>
      </c>
    </row>
    <row r="28" spans="1:61" ht="12.75">
      <c r="A28" s="36">
        <v>11414</v>
      </c>
      <c r="C28" s="3">
        <v>5105000</v>
      </c>
      <c r="D28" s="3">
        <v>900750</v>
      </c>
      <c r="E28" s="34">
        <f t="shared" si="0"/>
        <v>6005750</v>
      </c>
      <c r="F28" s="34">
        <v>239339.62999999998</v>
      </c>
      <c r="H28" s="43">
        <f t="shared" si="33"/>
        <v>371267.25100000005</v>
      </c>
      <c r="I28" s="35">
        <f t="shared" si="1"/>
        <v>65508.124650000005</v>
      </c>
      <c r="J28" s="35">
        <f t="shared" si="2"/>
        <v>436775.37565000006</v>
      </c>
      <c r="K28" s="35">
        <f t="shared" si="1"/>
        <v>17406.261799305998</v>
      </c>
      <c r="L28"/>
      <c r="M28" s="35">
        <f t="shared" si="34"/>
        <v>285.36949999999996</v>
      </c>
      <c r="N28" s="35">
        <f t="shared" si="3"/>
        <v>50.351924999999994</v>
      </c>
      <c r="O28" s="5">
        <f t="shared" si="4"/>
        <v>335.72142499999995</v>
      </c>
      <c r="P28" s="34">
        <f t="shared" si="5"/>
        <v>13.379085316999998</v>
      </c>
      <c r="Q28"/>
      <c r="R28" s="35">
        <f t="shared" si="35"/>
        <v>9761.780999999999</v>
      </c>
      <c r="S28" s="35">
        <f t="shared" si="6"/>
        <v>1722.41415</v>
      </c>
      <c r="T28" s="5">
        <f t="shared" si="7"/>
        <v>11484.19515</v>
      </c>
      <c r="U28" s="34">
        <f t="shared" si="8"/>
        <v>457.66524048599996</v>
      </c>
      <c r="V28"/>
      <c r="W28" s="35">
        <f t="shared" si="36"/>
        <v>9717.3675</v>
      </c>
      <c r="X28" s="35">
        <f t="shared" si="9"/>
        <v>1714.5776250000001</v>
      </c>
      <c r="Y28" s="5">
        <f t="shared" si="10"/>
        <v>11431.945125</v>
      </c>
      <c r="Z28" s="34">
        <f t="shared" si="11"/>
        <v>455.58298570499994</v>
      </c>
      <c r="AA28"/>
      <c r="AB28" s="35">
        <f t="shared" si="37"/>
        <v>16702.539</v>
      </c>
      <c r="AC28" s="35">
        <f t="shared" si="12"/>
        <v>2947.07385</v>
      </c>
      <c r="AD28" s="5">
        <f t="shared" si="13"/>
        <v>19649.61285</v>
      </c>
      <c r="AE28" s="34">
        <f t="shared" si="14"/>
        <v>783.0714014339999</v>
      </c>
      <c r="AF28"/>
      <c r="AG28" s="35">
        <f t="shared" si="38"/>
        <v>7022.9485</v>
      </c>
      <c r="AH28" s="35">
        <f t="shared" si="15"/>
        <v>1239.161775</v>
      </c>
      <c r="AI28" s="5">
        <f t="shared" si="16"/>
        <v>8262.110275000001</v>
      </c>
      <c r="AJ28" s="34">
        <f t="shared" si="17"/>
        <v>329.25952899099997</v>
      </c>
      <c r="AK28"/>
      <c r="AL28" s="35">
        <f t="shared" si="39"/>
        <v>36362.4045</v>
      </c>
      <c r="AM28" s="35">
        <f t="shared" si="18"/>
        <v>6415.952174999999</v>
      </c>
      <c r="AN28" s="5">
        <f t="shared" si="19"/>
        <v>42778.356674999995</v>
      </c>
      <c r="AO28" s="34">
        <f t="shared" si="20"/>
        <v>1704.7922505269999</v>
      </c>
      <c r="AP28"/>
      <c r="AQ28" s="35">
        <f t="shared" si="40"/>
        <v>143.4505</v>
      </c>
      <c r="AR28" s="35">
        <f t="shared" si="21"/>
        <v>25.311075</v>
      </c>
      <c r="AS28" s="5">
        <f t="shared" si="22"/>
        <v>168.761575</v>
      </c>
      <c r="AT28" s="34">
        <f t="shared" si="23"/>
        <v>6.725443602999999</v>
      </c>
      <c r="AU28"/>
      <c r="AV28" s="35">
        <f t="shared" si="41"/>
        <v>96528.91350000001</v>
      </c>
      <c r="AW28" s="35">
        <f t="shared" si="24"/>
        <v>17032.011525</v>
      </c>
      <c r="AX28" s="5">
        <f t="shared" si="25"/>
        <v>113560.925025</v>
      </c>
      <c r="AY28" s="34">
        <f t="shared" si="26"/>
        <v>4525.601261780999</v>
      </c>
      <c r="AZ28"/>
      <c r="BA28" s="35">
        <f t="shared" si="42"/>
        <v>2923.123</v>
      </c>
      <c r="BB28" s="35">
        <f t="shared" si="27"/>
        <v>515.76945</v>
      </c>
      <c r="BC28" s="5">
        <f t="shared" si="28"/>
        <v>3438.8924500000003</v>
      </c>
      <c r="BD28" s="34">
        <f t="shared" si="29"/>
        <v>137.045872138</v>
      </c>
      <c r="BF28" s="35">
        <f t="shared" si="43"/>
        <v>191819.354</v>
      </c>
      <c r="BG28" s="35">
        <f t="shared" si="30"/>
        <v>33845.5011</v>
      </c>
      <c r="BH28" s="5">
        <f t="shared" si="31"/>
        <v>225664.8551</v>
      </c>
      <c r="BI28" s="34">
        <f t="shared" si="32"/>
        <v>8993.138729323999</v>
      </c>
    </row>
    <row r="29" spans="1:61" ht="12.75">
      <c r="A29" s="36">
        <v>11597</v>
      </c>
      <c r="D29" s="3">
        <v>773125</v>
      </c>
      <c r="E29" s="34">
        <f t="shared" si="0"/>
        <v>773125</v>
      </c>
      <c r="F29" s="34">
        <v>239339.62999999998</v>
      </c>
      <c r="H29" s="43"/>
      <c r="I29" s="35">
        <f t="shared" si="1"/>
        <v>56226.443375</v>
      </c>
      <c r="J29" s="35">
        <f t="shared" si="2"/>
        <v>56226.443375</v>
      </c>
      <c r="K29" s="35">
        <f t="shared" si="1"/>
        <v>17406.261799305998</v>
      </c>
      <c r="L29"/>
      <c r="M29" s="35"/>
      <c r="N29" s="35">
        <f t="shared" si="3"/>
        <v>43.2176875</v>
      </c>
      <c r="O29" s="5">
        <f t="shared" si="4"/>
        <v>43.2176875</v>
      </c>
      <c r="P29" s="34">
        <f t="shared" si="5"/>
        <v>13.379085316999998</v>
      </c>
      <c r="Q29"/>
      <c r="R29" s="35"/>
      <c r="S29" s="35">
        <f t="shared" si="6"/>
        <v>1478.369625</v>
      </c>
      <c r="T29" s="5">
        <f t="shared" si="7"/>
        <v>1478.369625</v>
      </c>
      <c r="U29" s="34">
        <f t="shared" si="8"/>
        <v>457.66524048599996</v>
      </c>
      <c r="V29"/>
      <c r="W29" s="35"/>
      <c r="X29" s="35">
        <f t="shared" si="9"/>
        <v>1471.6434375000001</v>
      </c>
      <c r="Y29" s="5">
        <f t="shared" si="10"/>
        <v>1471.6434375000001</v>
      </c>
      <c r="Z29" s="34">
        <f t="shared" si="11"/>
        <v>455.58298570499994</v>
      </c>
      <c r="AA29"/>
      <c r="AB29" s="35"/>
      <c r="AC29" s="35">
        <f t="shared" si="12"/>
        <v>2529.510375</v>
      </c>
      <c r="AD29" s="5">
        <f t="shared" si="13"/>
        <v>2529.510375</v>
      </c>
      <c r="AE29" s="34">
        <f t="shared" si="14"/>
        <v>783.0714014339999</v>
      </c>
      <c r="AF29"/>
      <c r="AG29" s="35"/>
      <c r="AH29" s="35">
        <f t="shared" si="15"/>
        <v>1063.5880625</v>
      </c>
      <c r="AI29" s="5">
        <f t="shared" si="16"/>
        <v>1063.5880625</v>
      </c>
      <c r="AJ29" s="34">
        <f t="shared" si="17"/>
        <v>329.25952899099997</v>
      </c>
      <c r="AK29"/>
      <c r="AL29" s="35"/>
      <c r="AM29" s="35">
        <f t="shared" si="18"/>
        <v>5506.8920625</v>
      </c>
      <c r="AN29" s="5">
        <f t="shared" si="19"/>
        <v>5506.8920625</v>
      </c>
      <c r="AO29" s="34">
        <f t="shared" si="20"/>
        <v>1704.7922505269999</v>
      </c>
      <c r="AP29"/>
      <c r="AQ29" s="35"/>
      <c r="AR29" s="35">
        <f t="shared" si="21"/>
        <v>21.7248125</v>
      </c>
      <c r="AS29" s="5">
        <f t="shared" si="22"/>
        <v>21.7248125</v>
      </c>
      <c r="AT29" s="34">
        <f t="shared" si="23"/>
        <v>6.725443602999999</v>
      </c>
      <c r="AU29"/>
      <c r="AV29" s="35"/>
      <c r="AW29" s="35">
        <f t="shared" si="24"/>
        <v>14618.7886875</v>
      </c>
      <c r="AX29" s="5">
        <f t="shared" si="25"/>
        <v>14618.7886875</v>
      </c>
      <c r="AY29" s="34">
        <f t="shared" si="26"/>
        <v>4525.601261780999</v>
      </c>
      <c r="AZ29"/>
      <c r="BA29" s="35"/>
      <c r="BB29" s="35">
        <f t="shared" si="27"/>
        <v>442.69137500000005</v>
      </c>
      <c r="BC29" s="5">
        <f t="shared" si="28"/>
        <v>442.69137500000005</v>
      </c>
      <c r="BD29" s="34">
        <f t="shared" si="29"/>
        <v>137.045872138</v>
      </c>
      <c r="BF29" s="35"/>
      <c r="BG29" s="35">
        <f t="shared" si="30"/>
        <v>29050.017249999997</v>
      </c>
      <c r="BH29" s="5">
        <f t="shared" si="31"/>
        <v>29050.017249999997</v>
      </c>
      <c r="BI29" s="34">
        <f t="shared" si="32"/>
        <v>8993.138729323999</v>
      </c>
    </row>
    <row r="30" spans="1:61" ht="12.75">
      <c r="A30" s="36">
        <v>11780</v>
      </c>
      <c r="C30" s="3">
        <v>5360000</v>
      </c>
      <c r="D30" s="3">
        <v>773125</v>
      </c>
      <c r="E30" s="34">
        <f t="shared" si="0"/>
        <v>6133125</v>
      </c>
      <c r="F30" s="34">
        <v>239339.62999999998</v>
      </c>
      <c r="H30" s="43">
        <f t="shared" si="33"/>
        <v>389812.432</v>
      </c>
      <c r="I30" s="35">
        <f t="shared" si="1"/>
        <v>56226.443375</v>
      </c>
      <c r="J30" s="35">
        <f t="shared" si="2"/>
        <v>446038.87537499995</v>
      </c>
      <c r="K30" s="35">
        <f t="shared" si="1"/>
        <v>17406.261799305998</v>
      </c>
      <c r="L30"/>
      <c r="M30" s="35">
        <f t="shared" si="34"/>
        <v>299.62399999999997</v>
      </c>
      <c r="N30" s="35">
        <f t="shared" si="3"/>
        <v>43.2176875</v>
      </c>
      <c r="O30" s="5">
        <f t="shared" si="4"/>
        <v>342.8416875</v>
      </c>
      <c r="P30" s="34">
        <f t="shared" si="5"/>
        <v>13.379085316999998</v>
      </c>
      <c r="Q30"/>
      <c r="R30" s="35">
        <f t="shared" si="35"/>
        <v>10249.392</v>
      </c>
      <c r="S30" s="35">
        <f t="shared" si="6"/>
        <v>1478.369625</v>
      </c>
      <c r="T30" s="5">
        <f t="shared" si="7"/>
        <v>11727.761625</v>
      </c>
      <c r="U30" s="34">
        <f t="shared" si="8"/>
        <v>457.66524048599996</v>
      </c>
      <c r="V30"/>
      <c r="W30" s="35">
        <f t="shared" si="36"/>
        <v>10202.76</v>
      </c>
      <c r="X30" s="35">
        <f t="shared" si="9"/>
        <v>1471.6434375000001</v>
      </c>
      <c r="Y30" s="5">
        <f t="shared" si="10"/>
        <v>11674.403437500001</v>
      </c>
      <c r="Z30" s="34">
        <f t="shared" si="11"/>
        <v>455.58298570499994</v>
      </c>
      <c r="AA30"/>
      <c r="AB30" s="35">
        <f t="shared" si="37"/>
        <v>17536.848</v>
      </c>
      <c r="AC30" s="35">
        <f t="shared" si="12"/>
        <v>2529.510375</v>
      </c>
      <c r="AD30" s="5">
        <f t="shared" si="13"/>
        <v>20066.358375000003</v>
      </c>
      <c r="AE30" s="34">
        <f t="shared" si="14"/>
        <v>783.0714014339999</v>
      </c>
      <c r="AF30"/>
      <c r="AG30" s="35">
        <f t="shared" si="38"/>
        <v>7373.752</v>
      </c>
      <c r="AH30" s="35">
        <f t="shared" si="15"/>
        <v>1063.5880625</v>
      </c>
      <c r="AI30" s="5">
        <f t="shared" si="16"/>
        <v>8437.3400625</v>
      </c>
      <c r="AJ30" s="34">
        <f t="shared" si="17"/>
        <v>329.25952899099997</v>
      </c>
      <c r="AK30"/>
      <c r="AL30" s="35">
        <f t="shared" si="39"/>
        <v>38178.744</v>
      </c>
      <c r="AM30" s="35">
        <f t="shared" si="18"/>
        <v>5506.8920625</v>
      </c>
      <c r="AN30" s="5">
        <f t="shared" si="19"/>
        <v>43685.6360625</v>
      </c>
      <c r="AO30" s="34">
        <f t="shared" si="20"/>
        <v>1704.7922505269999</v>
      </c>
      <c r="AP30"/>
      <c r="AQ30" s="35">
        <f t="shared" si="40"/>
        <v>150.61599999999999</v>
      </c>
      <c r="AR30" s="35">
        <f t="shared" si="21"/>
        <v>21.7248125</v>
      </c>
      <c r="AS30" s="5">
        <f t="shared" si="22"/>
        <v>172.34081249999997</v>
      </c>
      <c r="AT30" s="34">
        <f t="shared" si="23"/>
        <v>6.725443602999999</v>
      </c>
      <c r="AU30"/>
      <c r="AV30" s="35">
        <f t="shared" si="41"/>
        <v>101350.632</v>
      </c>
      <c r="AW30" s="35">
        <f t="shared" si="24"/>
        <v>14618.7886875</v>
      </c>
      <c r="AX30" s="5">
        <f t="shared" si="25"/>
        <v>115969.4206875</v>
      </c>
      <c r="AY30" s="34">
        <f t="shared" si="26"/>
        <v>4525.601261780999</v>
      </c>
      <c r="AZ30"/>
      <c r="BA30" s="35">
        <f t="shared" si="42"/>
        <v>3069.1360000000004</v>
      </c>
      <c r="BB30" s="35">
        <f t="shared" si="27"/>
        <v>442.69137500000005</v>
      </c>
      <c r="BC30" s="5">
        <f t="shared" si="28"/>
        <v>3511.8273750000003</v>
      </c>
      <c r="BD30" s="34">
        <f t="shared" si="29"/>
        <v>137.045872138</v>
      </c>
      <c r="BF30" s="35">
        <f t="shared" si="43"/>
        <v>201400.92799999999</v>
      </c>
      <c r="BG30" s="35">
        <f t="shared" si="30"/>
        <v>29050.017249999997</v>
      </c>
      <c r="BH30" s="5">
        <f t="shared" si="31"/>
        <v>230450.94525</v>
      </c>
      <c r="BI30" s="34">
        <f t="shared" si="32"/>
        <v>8993.138729323999</v>
      </c>
    </row>
    <row r="31" spans="1:61" ht="12.75">
      <c r="A31" s="36">
        <v>11963</v>
      </c>
      <c r="D31" s="3">
        <v>692725</v>
      </c>
      <c r="E31" s="34">
        <f t="shared" si="0"/>
        <v>692725</v>
      </c>
      <c r="F31" s="34">
        <v>239339.62999999998</v>
      </c>
      <c r="H31" s="43"/>
      <c r="I31" s="35">
        <f t="shared" si="1"/>
        <v>50379.256895</v>
      </c>
      <c r="J31" s="35">
        <f t="shared" si="2"/>
        <v>50379.256895</v>
      </c>
      <c r="K31" s="35">
        <f t="shared" si="1"/>
        <v>17406.261799305998</v>
      </c>
      <c r="L31"/>
      <c r="M31" s="35"/>
      <c r="N31" s="35">
        <f t="shared" si="3"/>
        <v>38.723327499999996</v>
      </c>
      <c r="O31" s="5">
        <f t="shared" si="4"/>
        <v>38.723327499999996</v>
      </c>
      <c r="P31" s="34">
        <f t="shared" si="5"/>
        <v>13.379085316999998</v>
      </c>
      <c r="Q31"/>
      <c r="R31" s="35"/>
      <c r="S31" s="35">
        <f t="shared" si="6"/>
        <v>1324.628745</v>
      </c>
      <c r="T31" s="5">
        <f t="shared" si="7"/>
        <v>1324.628745</v>
      </c>
      <c r="U31" s="34">
        <f t="shared" si="8"/>
        <v>457.66524048599996</v>
      </c>
      <c r="V31"/>
      <c r="W31" s="35"/>
      <c r="X31" s="35">
        <f t="shared" si="9"/>
        <v>1318.6020375</v>
      </c>
      <c r="Y31" s="5">
        <f t="shared" si="10"/>
        <v>1318.6020375</v>
      </c>
      <c r="Z31" s="34">
        <f t="shared" si="11"/>
        <v>455.58298570499994</v>
      </c>
      <c r="AA31"/>
      <c r="AB31" s="35"/>
      <c r="AC31" s="35">
        <f t="shared" si="12"/>
        <v>2266.457655</v>
      </c>
      <c r="AD31" s="5">
        <f t="shared" si="13"/>
        <v>2266.457655</v>
      </c>
      <c r="AE31" s="34">
        <f t="shared" si="14"/>
        <v>783.0714014339999</v>
      </c>
      <c r="AF31"/>
      <c r="AG31" s="35"/>
      <c r="AH31" s="35">
        <f t="shared" si="15"/>
        <v>952.9817825000001</v>
      </c>
      <c r="AI31" s="5">
        <f t="shared" si="16"/>
        <v>952.9817825000001</v>
      </c>
      <c r="AJ31" s="34">
        <f t="shared" si="17"/>
        <v>329.25952899099997</v>
      </c>
      <c r="AK31"/>
      <c r="AL31" s="35"/>
      <c r="AM31" s="35">
        <f t="shared" si="18"/>
        <v>4934.2109025</v>
      </c>
      <c r="AN31" s="5">
        <f t="shared" si="19"/>
        <v>4934.2109025</v>
      </c>
      <c r="AO31" s="34">
        <f t="shared" si="20"/>
        <v>1704.7922505269999</v>
      </c>
      <c r="AP31"/>
      <c r="AQ31" s="35"/>
      <c r="AR31" s="35">
        <f t="shared" si="21"/>
        <v>19.4655725</v>
      </c>
      <c r="AS31" s="5">
        <f t="shared" si="22"/>
        <v>19.4655725</v>
      </c>
      <c r="AT31" s="34">
        <f t="shared" si="23"/>
        <v>6.725443602999999</v>
      </c>
      <c r="AU31"/>
      <c r="AV31" s="35"/>
      <c r="AW31" s="35">
        <f t="shared" si="24"/>
        <v>13098.5292075</v>
      </c>
      <c r="AX31" s="5">
        <f t="shared" si="25"/>
        <v>13098.5292075</v>
      </c>
      <c r="AY31" s="34">
        <f t="shared" si="26"/>
        <v>4525.601261780999</v>
      </c>
      <c r="AZ31"/>
      <c r="BA31" s="35"/>
      <c r="BB31" s="35">
        <f t="shared" si="27"/>
        <v>396.654335</v>
      </c>
      <c r="BC31" s="5">
        <f t="shared" si="28"/>
        <v>396.654335</v>
      </c>
      <c r="BD31" s="34">
        <f t="shared" si="29"/>
        <v>137.045872138</v>
      </c>
      <c r="BF31" s="35"/>
      <c r="BG31" s="35">
        <f t="shared" si="30"/>
        <v>26029.00333</v>
      </c>
      <c r="BH31" s="5">
        <f t="shared" si="31"/>
        <v>26029.00333</v>
      </c>
      <c r="BI31" s="34">
        <f t="shared" si="32"/>
        <v>8993.138729323999</v>
      </c>
    </row>
    <row r="32" spans="1:61" ht="12.75">
      <c r="A32" s="36">
        <v>12145</v>
      </c>
      <c r="C32" s="3">
        <v>5520000</v>
      </c>
      <c r="D32" s="3">
        <v>692725</v>
      </c>
      <c r="E32" s="34">
        <f t="shared" si="0"/>
        <v>6212725</v>
      </c>
      <c r="F32" s="34">
        <v>239339.62999999998</v>
      </c>
      <c r="H32" s="43">
        <f t="shared" si="33"/>
        <v>401448.62399999995</v>
      </c>
      <c r="I32" s="35">
        <f t="shared" si="1"/>
        <v>50379.256895</v>
      </c>
      <c r="J32" s="35">
        <f t="shared" si="2"/>
        <v>451827.88089499995</v>
      </c>
      <c r="K32" s="35">
        <f t="shared" si="1"/>
        <v>17406.261799305998</v>
      </c>
      <c r="L32"/>
      <c r="M32" s="35">
        <f t="shared" si="34"/>
        <v>308.568</v>
      </c>
      <c r="N32" s="35">
        <f t="shared" si="3"/>
        <v>38.723327499999996</v>
      </c>
      <c r="O32" s="5">
        <f t="shared" si="4"/>
        <v>347.29132749999997</v>
      </c>
      <c r="P32" s="34">
        <f t="shared" si="5"/>
        <v>13.379085316999998</v>
      </c>
      <c r="Q32"/>
      <c r="R32" s="35">
        <f t="shared" si="35"/>
        <v>10555.344</v>
      </c>
      <c r="S32" s="35">
        <f t="shared" si="6"/>
        <v>1324.628745</v>
      </c>
      <c r="T32" s="5">
        <f t="shared" si="7"/>
        <v>11879.972745</v>
      </c>
      <c r="U32" s="34">
        <f t="shared" si="8"/>
        <v>457.66524048599996</v>
      </c>
      <c r="V32"/>
      <c r="W32" s="35">
        <f t="shared" si="36"/>
        <v>10507.32</v>
      </c>
      <c r="X32" s="35">
        <f t="shared" si="9"/>
        <v>1318.6020375</v>
      </c>
      <c r="Y32" s="5">
        <f t="shared" si="10"/>
        <v>11825.9220375</v>
      </c>
      <c r="Z32" s="34">
        <f t="shared" si="11"/>
        <v>455.58298570499994</v>
      </c>
      <c r="AA32"/>
      <c r="AB32" s="35">
        <f t="shared" si="37"/>
        <v>18060.336</v>
      </c>
      <c r="AC32" s="35">
        <f t="shared" si="12"/>
        <v>2266.457655</v>
      </c>
      <c r="AD32" s="5">
        <f t="shared" si="13"/>
        <v>20326.793655</v>
      </c>
      <c r="AE32" s="34">
        <f t="shared" si="14"/>
        <v>783.0714014339999</v>
      </c>
      <c r="AF32"/>
      <c r="AG32" s="35">
        <f t="shared" si="38"/>
        <v>7593.8640000000005</v>
      </c>
      <c r="AH32" s="35">
        <f t="shared" si="15"/>
        <v>952.9817825000001</v>
      </c>
      <c r="AI32" s="5">
        <f t="shared" si="16"/>
        <v>8546.8457825</v>
      </c>
      <c r="AJ32" s="34">
        <f t="shared" si="17"/>
        <v>329.25952899099997</v>
      </c>
      <c r="AK32"/>
      <c r="AL32" s="35">
        <f t="shared" si="39"/>
        <v>39318.407999999996</v>
      </c>
      <c r="AM32" s="35">
        <f t="shared" si="18"/>
        <v>4934.2109025</v>
      </c>
      <c r="AN32" s="5">
        <f t="shared" si="19"/>
        <v>44252.6189025</v>
      </c>
      <c r="AO32" s="34">
        <f t="shared" si="20"/>
        <v>1704.7922505269999</v>
      </c>
      <c r="AP32"/>
      <c r="AQ32" s="35">
        <f t="shared" si="40"/>
        <v>155.112</v>
      </c>
      <c r="AR32" s="35">
        <f t="shared" si="21"/>
        <v>19.4655725</v>
      </c>
      <c r="AS32" s="5">
        <f t="shared" si="22"/>
        <v>174.5775725</v>
      </c>
      <c r="AT32" s="34">
        <f t="shared" si="23"/>
        <v>6.725443602999999</v>
      </c>
      <c r="AU32"/>
      <c r="AV32" s="35">
        <f t="shared" si="41"/>
        <v>104376.024</v>
      </c>
      <c r="AW32" s="35">
        <f t="shared" si="24"/>
        <v>13098.5292075</v>
      </c>
      <c r="AX32" s="5">
        <f t="shared" si="25"/>
        <v>117474.55320750001</v>
      </c>
      <c r="AY32" s="34">
        <f t="shared" si="26"/>
        <v>4525.601261780999</v>
      </c>
      <c r="AZ32"/>
      <c r="BA32" s="35">
        <f t="shared" si="42"/>
        <v>3160.7520000000004</v>
      </c>
      <c r="BB32" s="35">
        <f t="shared" si="27"/>
        <v>396.654335</v>
      </c>
      <c r="BC32" s="5">
        <f t="shared" si="28"/>
        <v>3557.4063350000006</v>
      </c>
      <c r="BD32" s="34">
        <f t="shared" si="29"/>
        <v>137.045872138</v>
      </c>
      <c r="BF32" s="35">
        <f t="shared" si="43"/>
        <v>207412.89599999998</v>
      </c>
      <c r="BG32" s="35">
        <f t="shared" si="30"/>
        <v>26029.00333</v>
      </c>
      <c r="BH32" s="5">
        <f t="shared" si="31"/>
        <v>233441.89933</v>
      </c>
      <c r="BI32" s="34">
        <f t="shared" si="32"/>
        <v>8993.138729323999</v>
      </c>
    </row>
    <row r="33" spans="1:61" ht="12.75">
      <c r="A33" s="36">
        <v>12328</v>
      </c>
      <c r="D33" s="3">
        <v>606475</v>
      </c>
      <c r="E33" s="34">
        <f t="shared" si="0"/>
        <v>606475</v>
      </c>
      <c r="F33" s="34">
        <v>239339.62999999998</v>
      </c>
      <c r="H33" s="43"/>
      <c r="I33" s="35">
        <f t="shared" si="1"/>
        <v>44106.622145</v>
      </c>
      <c r="J33" s="35">
        <f t="shared" si="2"/>
        <v>44106.622145</v>
      </c>
      <c r="K33" s="35">
        <f t="shared" si="1"/>
        <v>17406.261799305998</v>
      </c>
      <c r="L33"/>
      <c r="M33" s="35"/>
      <c r="N33" s="35">
        <f t="shared" si="3"/>
        <v>33.9019525</v>
      </c>
      <c r="O33" s="5">
        <f t="shared" si="4"/>
        <v>33.9019525</v>
      </c>
      <c r="P33" s="34">
        <f t="shared" si="5"/>
        <v>13.379085316999998</v>
      </c>
      <c r="Q33"/>
      <c r="R33" s="35"/>
      <c r="S33" s="35">
        <f t="shared" si="6"/>
        <v>1159.701495</v>
      </c>
      <c r="T33" s="5">
        <f t="shared" si="7"/>
        <v>1159.701495</v>
      </c>
      <c r="U33" s="34">
        <f t="shared" si="8"/>
        <v>457.66524048599996</v>
      </c>
      <c r="V33"/>
      <c r="W33" s="35"/>
      <c r="X33" s="35">
        <f t="shared" si="9"/>
        <v>1154.4251625</v>
      </c>
      <c r="Y33" s="5">
        <f t="shared" si="10"/>
        <v>1154.4251625</v>
      </c>
      <c r="Z33" s="34">
        <f t="shared" si="11"/>
        <v>455.58298570499994</v>
      </c>
      <c r="AA33"/>
      <c r="AB33" s="35"/>
      <c r="AC33" s="35">
        <f t="shared" si="12"/>
        <v>1984.264905</v>
      </c>
      <c r="AD33" s="5">
        <f t="shared" si="13"/>
        <v>1984.264905</v>
      </c>
      <c r="AE33" s="34">
        <f t="shared" si="14"/>
        <v>783.0714014339999</v>
      </c>
      <c r="AF33"/>
      <c r="AG33" s="35"/>
      <c r="AH33" s="35">
        <f t="shared" si="15"/>
        <v>834.3276575000001</v>
      </c>
      <c r="AI33" s="5">
        <f t="shared" si="16"/>
        <v>834.3276575000001</v>
      </c>
      <c r="AJ33" s="34">
        <f t="shared" si="17"/>
        <v>329.25952899099997</v>
      </c>
      <c r="AK33"/>
      <c r="AL33" s="35"/>
      <c r="AM33" s="35">
        <f t="shared" si="18"/>
        <v>4319.8607775</v>
      </c>
      <c r="AN33" s="5">
        <f t="shared" si="19"/>
        <v>4319.8607775</v>
      </c>
      <c r="AO33" s="34">
        <f t="shared" si="20"/>
        <v>1704.7922505269999</v>
      </c>
      <c r="AP33"/>
      <c r="AQ33" s="35"/>
      <c r="AR33" s="35">
        <f t="shared" si="21"/>
        <v>17.0419475</v>
      </c>
      <c r="AS33" s="5">
        <f t="shared" si="22"/>
        <v>17.0419475</v>
      </c>
      <c r="AT33" s="34">
        <f t="shared" si="23"/>
        <v>6.725443602999999</v>
      </c>
      <c r="AU33"/>
      <c r="AV33" s="35"/>
      <c r="AW33" s="35">
        <f t="shared" si="24"/>
        <v>11467.6538325</v>
      </c>
      <c r="AX33" s="5">
        <f t="shared" si="25"/>
        <v>11467.6538325</v>
      </c>
      <c r="AY33" s="34">
        <f t="shared" si="26"/>
        <v>4525.601261780999</v>
      </c>
      <c r="AZ33"/>
      <c r="BA33" s="35"/>
      <c r="BB33" s="35">
        <f t="shared" si="27"/>
        <v>347.267585</v>
      </c>
      <c r="BC33" s="5">
        <f t="shared" si="28"/>
        <v>347.267585</v>
      </c>
      <c r="BD33" s="34">
        <f t="shared" si="29"/>
        <v>137.045872138</v>
      </c>
      <c r="BF33" s="35"/>
      <c r="BG33" s="35">
        <f t="shared" si="30"/>
        <v>22788.17683</v>
      </c>
      <c r="BH33" s="5">
        <f t="shared" si="31"/>
        <v>22788.17683</v>
      </c>
      <c r="BI33" s="34">
        <f t="shared" si="32"/>
        <v>8993.138729323999</v>
      </c>
    </row>
    <row r="34" spans="1:61" ht="12.75">
      <c r="A34" s="36">
        <v>12510</v>
      </c>
      <c r="C34" s="3">
        <v>5695000</v>
      </c>
      <c r="D34" s="3">
        <v>606475</v>
      </c>
      <c r="E34" s="34">
        <f t="shared" si="0"/>
        <v>6301475</v>
      </c>
      <c r="F34" s="34">
        <v>239339.62999999998</v>
      </c>
      <c r="H34" s="43">
        <f t="shared" si="33"/>
        <v>414175.70900000003</v>
      </c>
      <c r="I34" s="35">
        <f t="shared" si="1"/>
        <v>44106.622145</v>
      </c>
      <c r="J34" s="35">
        <f t="shared" si="2"/>
        <v>458282.33114500006</v>
      </c>
      <c r="K34" s="35">
        <f t="shared" si="1"/>
        <v>17406.261799305998</v>
      </c>
      <c r="L34"/>
      <c r="M34" s="35">
        <f t="shared" si="34"/>
        <v>318.35049999999995</v>
      </c>
      <c r="N34" s="35">
        <f t="shared" si="3"/>
        <v>33.9019525</v>
      </c>
      <c r="O34" s="5">
        <f t="shared" si="4"/>
        <v>352.25245249999995</v>
      </c>
      <c r="P34" s="34">
        <f t="shared" si="5"/>
        <v>13.379085316999998</v>
      </c>
      <c r="Q34"/>
      <c r="R34" s="35">
        <f t="shared" si="35"/>
        <v>10889.979</v>
      </c>
      <c r="S34" s="35">
        <f t="shared" si="6"/>
        <v>1159.701495</v>
      </c>
      <c r="T34" s="5">
        <f t="shared" si="7"/>
        <v>12049.680494999999</v>
      </c>
      <c r="U34" s="34">
        <f t="shared" si="8"/>
        <v>457.66524048599996</v>
      </c>
      <c r="V34"/>
      <c r="W34" s="35">
        <f t="shared" si="36"/>
        <v>10840.4325</v>
      </c>
      <c r="X34" s="35">
        <f t="shared" si="9"/>
        <v>1154.4251625</v>
      </c>
      <c r="Y34" s="5">
        <f t="shared" si="10"/>
        <v>11994.8576625</v>
      </c>
      <c r="Z34" s="34">
        <f t="shared" si="11"/>
        <v>455.58298570499994</v>
      </c>
      <c r="AA34"/>
      <c r="AB34" s="35">
        <f t="shared" si="37"/>
        <v>18632.901</v>
      </c>
      <c r="AC34" s="35">
        <f t="shared" si="12"/>
        <v>1984.264905</v>
      </c>
      <c r="AD34" s="5">
        <f t="shared" si="13"/>
        <v>20617.165905</v>
      </c>
      <c r="AE34" s="34">
        <f t="shared" si="14"/>
        <v>783.0714014339999</v>
      </c>
      <c r="AF34"/>
      <c r="AG34" s="35">
        <f t="shared" si="38"/>
        <v>7834.611500000001</v>
      </c>
      <c r="AH34" s="35">
        <f t="shared" si="15"/>
        <v>834.3276575000001</v>
      </c>
      <c r="AI34" s="5">
        <f t="shared" si="16"/>
        <v>8668.9391575</v>
      </c>
      <c r="AJ34" s="34">
        <f t="shared" si="17"/>
        <v>329.25952899099997</v>
      </c>
      <c r="AK34"/>
      <c r="AL34" s="35">
        <f t="shared" si="39"/>
        <v>40564.915499999996</v>
      </c>
      <c r="AM34" s="35">
        <f t="shared" si="18"/>
        <v>4319.8607775</v>
      </c>
      <c r="AN34" s="5">
        <f t="shared" si="19"/>
        <v>44884.776277499994</v>
      </c>
      <c r="AO34" s="34">
        <f t="shared" si="20"/>
        <v>1704.7922505269999</v>
      </c>
      <c r="AP34"/>
      <c r="AQ34" s="35">
        <f t="shared" si="40"/>
        <v>160.02949999999998</v>
      </c>
      <c r="AR34" s="35">
        <f t="shared" si="21"/>
        <v>17.0419475</v>
      </c>
      <c r="AS34" s="5">
        <f t="shared" si="22"/>
        <v>177.07144749999998</v>
      </c>
      <c r="AT34" s="34">
        <f t="shared" si="23"/>
        <v>6.725443602999999</v>
      </c>
      <c r="AU34"/>
      <c r="AV34" s="35">
        <f t="shared" si="41"/>
        <v>107685.0465</v>
      </c>
      <c r="AW34" s="35">
        <f t="shared" si="24"/>
        <v>11467.6538325</v>
      </c>
      <c r="AX34" s="5">
        <f t="shared" si="25"/>
        <v>119152.7003325</v>
      </c>
      <c r="AY34" s="34">
        <f t="shared" si="26"/>
        <v>4525.601261780999</v>
      </c>
      <c r="AZ34"/>
      <c r="BA34" s="35">
        <f t="shared" si="42"/>
        <v>3260.9570000000003</v>
      </c>
      <c r="BB34" s="35">
        <f t="shared" si="27"/>
        <v>347.267585</v>
      </c>
      <c r="BC34" s="5">
        <f t="shared" si="28"/>
        <v>3608.2245850000004</v>
      </c>
      <c r="BD34" s="34">
        <f t="shared" si="29"/>
        <v>137.045872138</v>
      </c>
      <c r="BF34" s="35">
        <f t="shared" si="43"/>
        <v>213988.486</v>
      </c>
      <c r="BG34" s="35">
        <f t="shared" si="30"/>
        <v>22788.17683</v>
      </c>
      <c r="BH34" s="5">
        <f t="shared" si="31"/>
        <v>236776.66283000002</v>
      </c>
      <c r="BI34" s="34">
        <f t="shared" si="32"/>
        <v>8993.138729323999</v>
      </c>
    </row>
    <row r="35" spans="1:61" ht="12.75">
      <c r="A35" s="36">
        <v>12693</v>
      </c>
      <c r="D35" s="3">
        <v>517491</v>
      </c>
      <c r="E35" s="34">
        <f t="shared" si="0"/>
        <v>517491</v>
      </c>
      <c r="F35" s="34">
        <v>239339.62999999998</v>
      </c>
      <c r="H35" s="43"/>
      <c r="I35" s="35">
        <f t="shared" si="1"/>
        <v>37635.1539642</v>
      </c>
      <c r="J35" s="35">
        <f t="shared" si="2"/>
        <v>37635.1539642</v>
      </c>
      <c r="K35" s="35">
        <f t="shared" si="1"/>
        <v>17406.261799305998</v>
      </c>
      <c r="L35"/>
      <c r="M35" s="35"/>
      <c r="N35" s="35">
        <f t="shared" si="3"/>
        <v>28.9277469</v>
      </c>
      <c r="O35" s="5">
        <f t="shared" si="4"/>
        <v>28.9277469</v>
      </c>
      <c r="P35" s="34">
        <f t="shared" si="5"/>
        <v>13.379085316999998</v>
      </c>
      <c r="Q35"/>
      <c r="R35" s="35"/>
      <c r="S35" s="35">
        <f t="shared" si="6"/>
        <v>989.5462901999999</v>
      </c>
      <c r="T35" s="5">
        <f t="shared" si="7"/>
        <v>989.5462901999999</v>
      </c>
      <c r="U35" s="34">
        <f t="shared" si="8"/>
        <v>457.66524048599996</v>
      </c>
      <c r="V35"/>
      <c r="W35" s="35"/>
      <c r="X35" s="35">
        <f t="shared" si="9"/>
        <v>985.0441185</v>
      </c>
      <c r="Y35" s="5">
        <f t="shared" si="10"/>
        <v>985.0441185</v>
      </c>
      <c r="Z35" s="34">
        <f t="shared" si="11"/>
        <v>455.58298570499994</v>
      </c>
      <c r="AA35"/>
      <c r="AB35" s="35"/>
      <c r="AC35" s="35">
        <f t="shared" si="12"/>
        <v>1693.1270538</v>
      </c>
      <c r="AD35" s="5">
        <f t="shared" si="13"/>
        <v>1693.1270538</v>
      </c>
      <c r="AE35" s="34">
        <f t="shared" si="14"/>
        <v>783.0714014339999</v>
      </c>
      <c r="AF35"/>
      <c r="AG35" s="35"/>
      <c r="AH35" s="35">
        <f t="shared" si="15"/>
        <v>711.9123687</v>
      </c>
      <c r="AI35" s="5">
        <f t="shared" si="16"/>
        <v>711.9123687</v>
      </c>
      <c r="AJ35" s="34">
        <f t="shared" si="17"/>
        <v>329.25952899099997</v>
      </c>
      <c r="AK35"/>
      <c r="AL35" s="35"/>
      <c r="AM35" s="35">
        <f t="shared" si="18"/>
        <v>3686.0366439</v>
      </c>
      <c r="AN35" s="5">
        <f t="shared" si="19"/>
        <v>3686.0366439</v>
      </c>
      <c r="AO35" s="34">
        <f t="shared" si="20"/>
        <v>1704.7922505269999</v>
      </c>
      <c r="AP35"/>
      <c r="AQ35" s="35"/>
      <c r="AR35" s="35">
        <f t="shared" si="21"/>
        <v>14.541497099999999</v>
      </c>
      <c r="AS35" s="5">
        <f t="shared" si="22"/>
        <v>14.541497099999999</v>
      </c>
      <c r="AT35" s="34">
        <f t="shared" si="23"/>
        <v>6.725443602999999</v>
      </c>
      <c r="AU35"/>
      <c r="AV35" s="35"/>
      <c r="AW35" s="35">
        <f t="shared" si="24"/>
        <v>9785.0820717</v>
      </c>
      <c r="AX35" s="5">
        <f t="shared" si="25"/>
        <v>9785.0820717</v>
      </c>
      <c r="AY35" s="34">
        <f t="shared" si="26"/>
        <v>4525.601261780999</v>
      </c>
      <c r="AZ35"/>
      <c r="BA35" s="35"/>
      <c r="BB35" s="35">
        <f t="shared" si="27"/>
        <v>296.3153466</v>
      </c>
      <c r="BC35" s="5">
        <f t="shared" si="28"/>
        <v>296.3153466</v>
      </c>
      <c r="BD35" s="34">
        <f t="shared" si="29"/>
        <v>137.045872138</v>
      </c>
      <c r="BF35" s="35"/>
      <c r="BG35" s="35">
        <f t="shared" si="30"/>
        <v>19444.6208268</v>
      </c>
      <c r="BH35" s="5">
        <f t="shared" si="31"/>
        <v>19444.6208268</v>
      </c>
      <c r="BI35" s="34">
        <f t="shared" si="32"/>
        <v>8993.138729323999</v>
      </c>
    </row>
    <row r="36" spans="1:61" ht="12.75">
      <c r="A36" s="36">
        <v>12875</v>
      </c>
      <c r="C36" s="3">
        <v>5870000</v>
      </c>
      <c r="D36" s="3">
        <v>517491</v>
      </c>
      <c r="E36" s="34">
        <f t="shared" si="0"/>
        <v>6387491</v>
      </c>
      <c r="F36" s="34">
        <v>239339.62999999998</v>
      </c>
      <c r="H36" s="43">
        <f t="shared" si="33"/>
        <v>426902.794</v>
      </c>
      <c r="I36" s="35">
        <f t="shared" si="1"/>
        <v>37635.1539642</v>
      </c>
      <c r="J36" s="35">
        <f t="shared" si="2"/>
        <v>464537.9479642</v>
      </c>
      <c r="K36" s="35">
        <f t="shared" si="1"/>
        <v>17406.261799305998</v>
      </c>
      <c r="L36"/>
      <c r="M36" s="35">
        <f t="shared" si="34"/>
        <v>328.133</v>
      </c>
      <c r="N36" s="35">
        <f t="shared" si="3"/>
        <v>28.9277469</v>
      </c>
      <c r="O36" s="5">
        <f t="shared" si="4"/>
        <v>357.06074689999997</v>
      </c>
      <c r="P36" s="34">
        <f t="shared" si="5"/>
        <v>13.379085316999998</v>
      </c>
      <c r="Q36"/>
      <c r="R36" s="35">
        <f t="shared" si="35"/>
        <v>11224.614</v>
      </c>
      <c r="S36" s="35">
        <f t="shared" si="6"/>
        <v>989.5462901999999</v>
      </c>
      <c r="T36" s="5">
        <f t="shared" si="7"/>
        <v>12214.1602902</v>
      </c>
      <c r="U36" s="34">
        <f t="shared" si="8"/>
        <v>457.66524048599996</v>
      </c>
      <c r="V36"/>
      <c r="W36" s="35">
        <f t="shared" si="36"/>
        <v>11173.545</v>
      </c>
      <c r="X36" s="35">
        <f t="shared" si="9"/>
        <v>985.0441185</v>
      </c>
      <c r="Y36" s="5">
        <f t="shared" si="10"/>
        <v>12158.5891185</v>
      </c>
      <c r="Z36" s="34">
        <f t="shared" si="11"/>
        <v>455.58298570499994</v>
      </c>
      <c r="AA36"/>
      <c r="AB36" s="35">
        <f t="shared" si="37"/>
        <v>19205.466</v>
      </c>
      <c r="AC36" s="35">
        <f t="shared" si="12"/>
        <v>1693.1270538</v>
      </c>
      <c r="AD36" s="5">
        <f t="shared" si="13"/>
        <v>20898.5930538</v>
      </c>
      <c r="AE36" s="34">
        <f t="shared" si="14"/>
        <v>783.0714014339999</v>
      </c>
      <c r="AF36"/>
      <c r="AG36" s="35">
        <f t="shared" si="38"/>
        <v>8075.359</v>
      </c>
      <c r="AH36" s="35">
        <f t="shared" si="15"/>
        <v>711.9123687</v>
      </c>
      <c r="AI36" s="5">
        <f t="shared" si="16"/>
        <v>8787.2713687</v>
      </c>
      <c r="AJ36" s="34">
        <f t="shared" si="17"/>
        <v>329.25952899099997</v>
      </c>
      <c r="AK36"/>
      <c r="AL36" s="35">
        <f t="shared" si="39"/>
        <v>41811.422999999995</v>
      </c>
      <c r="AM36" s="35">
        <f t="shared" si="18"/>
        <v>3686.0366439</v>
      </c>
      <c r="AN36" s="5">
        <f t="shared" si="19"/>
        <v>45497.459643899994</v>
      </c>
      <c r="AO36" s="34">
        <f t="shared" si="20"/>
        <v>1704.7922505269999</v>
      </c>
      <c r="AP36"/>
      <c r="AQ36" s="35">
        <f t="shared" si="40"/>
        <v>164.947</v>
      </c>
      <c r="AR36" s="35">
        <f t="shared" si="21"/>
        <v>14.541497099999999</v>
      </c>
      <c r="AS36" s="5">
        <f t="shared" si="22"/>
        <v>179.4884971</v>
      </c>
      <c r="AT36" s="34">
        <f t="shared" si="23"/>
        <v>6.725443602999999</v>
      </c>
      <c r="AU36"/>
      <c r="AV36" s="35">
        <f t="shared" si="41"/>
        <v>110994.069</v>
      </c>
      <c r="AW36" s="35">
        <f t="shared" si="24"/>
        <v>9785.0820717</v>
      </c>
      <c r="AX36" s="5">
        <f t="shared" si="25"/>
        <v>120779.1510717</v>
      </c>
      <c r="AY36" s="34">
        <f t="shared" si="26"/>
        <v>4525.601261780999</v>
      </c>
      <c r="AZ36"/>
      <c r="BA36" s="35">
        <f t="shared" si="42"/>
        <v>3361.1620000000003</v>
      </c>
      <c r="BB36" s="35">
        <f t="shared" si="27"/>
        <v>296.3153466</v>
      </c>
      <c r="BC36" s="5">
        <f t="shared" si="28"/>
        <v>3657.4773466</v>
      </c>
      <c r="BD36" s="34">
        <f t="shared" si="29"/>
        <v>137.045872138</v>
      </c>
      <c r="BF36" s="35">
        <f t="shared" si="43"/>
        <v>220564.076</v>
      </c>
      <c r="BG36" s="35">
        <f t="shared" si="30"/>
        <v>19444.6208268</v>
      </c>
      <c r="BH36" s="5">
        <f t="shared" si="31"/>
        <v>240008.6968268</v>
      </c>
      <c r="BI36" s="34">
        <f t="shared" si="32"/>
        <v>8993.138729323999</v>
      </c>
    </row>
    <row r="37" spans="1:61" ht="12.75">
      <c r="A37" s="36">
        <v>13058</v>
      </c>
      <c r="D37" s="3">
        <v>422103</v>
      </c>
      <c r="E37" s="34">
        <f t="shared" si="0"/>
        <v>422103</v>
      </c>
      <c r="F37" s="34">
        <v>239339.62999999998</v>
      </c>
      <c r="H37" s="43"/>
      <c r="I37" s="35">
        <f t="shared" si="1"/>
        <v>30697.9471986</v>
      </c>
      <c r="J37" s="35">
        <f t="shared" si="2"/>
        <v>30697.9471986</v>
      </c>
      <c r="K37" s="35">
        <f t="shared" si="1"/>
        <v>17406.261799305998</v>
      </c>
      <c r="L37"/>
      <c r="M37" s="35"/>
      <c r="N37" s="35">
        <f t="shared" si="3"/>
        <v>23.595557699999997</v>
      </c>
      <c r="O37" s="5">
        <f t="shared" si="4"/>
        <v>23.595557699999997</v>
      </c>
      <c r="P37" s="34">
        <f t="shared" si="5"/>
        <v>13.379085316999998</v>
      </c>
      <c r="Q37"/>
      <c r="R37" s="35"/>
      <c r="S37" s="35">
        <f t="shared" si="6"/>
        <v>807.1453566</v>
      </c>
      <c r="T37" s="5">
        <f t="shared" si="7"/>
        <v>807.1453566</v>
      </c>
      <c r="U37" s="34">
        <f t="shared" si="8"/>
        <v>457.66524048599996</v>
      </c>
      <c r="V37"/>
      <c r="W37" s="35"/>
      <c r="X37" s="35">
        <f t="shared" si="9"/>
        <v>803.4730605</v>
      </c>
      <c r="Y37" s="5">
        <f t="shared" si="10"/>
        <v>803.4730605</v>
      </c>
      <c r="Z37" s="34">
        <f t="shared" si="11"/>
        <v>455.58298570499994</v>
      </c>
      <c r="AA37"/>
      <c r="AB37" s="35"/>
      <c r="AC37" s="35">
        <f t="shared" si="12"/>
        <v>1381.0365954000001</v>
      </c>
      <c r="AD37" s="5">
        <f t="shared" si="13"/>
        <v>1381.0365954000001</v>
      </c>
      <c r="AE37" s="34">
        <f t="shared" si="14"/>
        <v>783.0714014339999</v>
      </c>
      <c r="AF37"/>
      <c r="AG37" s="35"/>
      <c r="AH37" s="35">
        <f t="shared" si="15"/>
        <v>580.6870971000001</v>
      </c>
      <c r="AI37" s="5">
        <f t="shared" si="16"/>
        <v>580.6870971000001</v>
      </c>
      <c r="AJ37" s="34">
        <f t="shared" si="17"/>
        <v>329.25952899099997</v>
      </c>
      <c r="AK37"/>
      <c r="AL37" s="35"/>
      <c r="AM37" s="35">
        <f t="shared" si="18"/>
        <v>3006.5974587</v>
      </c>
      <c r="AN37" s="5">
        <f t="shared" si="19"/>
        <v>3006.5974587</v>
      </c>
      <c r="AO37" s="34">
        <f t="shared" si="20"/>
        <v>1704.7922505269999</v>
      </c>
      <c r="AP37"/>
      <c r="AQ37" s="35"/>
      <c r="AR37" s="35">
        <f t="shared" si="21"/>
        <v>11.8610943</v>
      </c>
      <c r="AS37" s="5">
        <f t="shared" si="22"/>
        <v>11.8610943</v>
      </c>
      <c r="AT37" s="34">
        <f t="shared" si="23"/>
        <v>6.725443602999999</v>
      </c>
      <c r="AU37"/>
      <c r="AV37" s="35"/>
      <c r="AW37" s="35">
        <f t="shared" si="24"/>
        <v>7981.4189961</v>
      </c>
      <c r="AX37" s="5">
        <f t="shared" si="25"/>
        <v>7981.4189961</v>
      </c>
      <c r="AY37" s="34">
        <f t="shared" si="26"/>
        <v>4525.601261780999</v>
      </c>
      <c r="AZ37"/>
      <c r="BA37" s="35"/>
      <c r="BB37" s="35">
        <f t="shared" si="27"/>
        <v>241.69617780000002</v>
      </c>
      <c r="BC37" s="5">
        <f t="shared" si="28"/>
        <v>241.69617780000002</v>
      </c>
      <c r="BD37" s="34">
        <f t="shared" si="29"/>
        <v>137.045872138</v>
      </c>
      <c r="BF37" s="35"/>
      <c r="BG37" s="35">
        <f t="shared" si="30"/>
        <v>15860.4358044</v>
      </c>
      <c r="BH37" s="5">
        <f t="shared" si="31"/>
        <v>15860.4358044</v>
      </c>
      <c r="BI37" s="34">
        <f t="shared" si="32"/>
        <v>8993.138729323999</v>
      </c>
    </row>
    <row r="38" spans="1:61" ht="12.75">
      <c r="A38" s="36">
        <v>13241</v>
      </c>
      <c r="C38" s="3">
        <v>6065000</v>
      </c>
      <c r="D38" s="3">
        <v>422103</v>
      </c>
      <c r="E38" s="34">
        <f t="shared" si="0"/>
        <v>6487103</v>
      </c>
      <c r="F38" s="34">
        <v>239339.62999999998</v>
      </c>
      <c r="H38" s="43">
        <f t="shared" si="33"/>
        <v>441084.403</v>
      </c>
      <c r="I38" s="35">
        <f t="shared" si="1"/>
        <v>30697.9471986</v>
      </c>
      <c r="J38" s="35">
        <f t="shared" si="2"/>
        <v>471782.3501986</v>
      </c>
      <c r="K38" s="35">
        <f t="shared" si="1"/>
        <v>17406.261799305998</v>
      </c>
      <c r="L38"/>
      <c r="M38" s="35">
        <f t="shared" si="34"/>
        <v>339.0335</v>
      </c>
      <c r="N38" s="35">
        <f t="shared" si="3"/>
        <v>23.595557699999997</v>
      </c>
      <c r="O38" s="5">
        <f t="shared" si="4"/>
        <v>362.6290577</v>
      </c>
      <c r="P38" s="34">
        <f t="shared" si="5"/>
        <v>13.379085316999998</v>
      </c>
      <c r="Q38"/>
      <c r="R38" s="35">
        <f t="shared" si="35"/>
        <v>11597.493</v>
      </c>
      <c r="S38" s="35">
        <f t="shared" si="6"/>
        <v>807.1453566</v>
      </c>
      <c r="T38" s="5">
        <f t="shared" si="7"/>
        <v>12404.6383566</v>
      </c>
      <c r="U38" s="34">
        <f t="shared" si="8"/>
        <v>457.66524048599996</v>
      </c>
      <c r="V38"/>
      <c r="W38" s="35">
        <f t="shared" si="36"/>
        <v>11544.7275</v>
      </c>
      <c r="X38" s="35">
        <f t="shared" si="9"/>
        <v>803.4730605</v>
      </c>
      <c r="Y38" s="5">
        <f t="shared" si="10"/>
        <v>12348.200560500001</v>
      </c>
      <c r="Z38" s="34">
        <f t="shared" si="11"/>
        <v>455.58298570499994</v>
      </c>
      <c r="AA38"/>
      <c r="AB38" s="35">
        <f t="shared" si="37"/>
        <v>19843.467</v>
      </c>
      <c r="AC38" s="35">
        <f t="shared" si="12"/>
        <v>1381.0365954000001</v>
      </c>
      <c r="AD38" s="5">
        <f t="shared" si="13"/>
        <v>21224.5035954</v>
      </c>
      <c r="AE38" s="34">
        <f t="shared" si="14"/>
        <v>783.0714014339999</v>
      </c>
      <c r="AF38"/>
      <c r="AG38" s="35">
        <f t="shared" si="38"/>
        <v>8343.6205</v>
      </c>
      <c r="AH38" s="35">
        <f t="shared" si="15"/>
        <v>580.6870971000001</v>
      </c>
      <c r="AI38" s="5">
        <f t="shared" si="16"/>
        <v>8924.307597100002</v>
      </c>
      <c r="AJ38" s="34">
        <f t="shared" si="17"/>
        <v>329.25952899099997</v>
      </c>
      <c r="AK38"/>
      <c r="AL38" s="35">
        <f t="shared" si="39"/>
        <v>43200.3885</v>
      </c>
      <c r="AM38" s="35">
        <f t="shared" si="18"/>
        <v>3006.5974587</v>
      </c>
      <c r="AN38" s="5">
        <f t="shared" si="19"/>
        <v>46206.9859587</v>
      </c>
      <c r="AO38" s="34">
        <f t="shared" si="20"/>
        <v>1704.7922505269999</v>
      </c>
      <c r="AP38"/>
      <c r="AQ38" s="35">
        <f t="shared" si="40"/>
        <v>170.4265</v>
      </c>
      <c r="AR38" s="35">
        <f t="shared" si="21"/>
        <v>11.8610943</v>
      </c>
      <c r="AS38" s="5">
        <f t="shared" si="22"/>
        <v>182.2875943</v>
      </c>
      <c r="AT38" s="34">
        <f t="shared" si="23"/>
        <v>6.725443602999999</v>
      </c>
      <c r="AU38"/>
      <c r="AV38" s="35">
        <f t="shared" si="41"/>
        <v>114681.26550000001</v>
      </c>
      <c r="AW38" s="35">
        <f t="shared" si="24"/>
        <v>7981.4189961</v>
      </c>
      <c r="AX38" s="5">
        <f t="shared" si="25"/>
        <v>122662.6844961</v>
      </c>
      <c r="AY38" s="34">
        <f t="shared" si="26"/>
        <v>4525.601261780999</v>
      </c>
      <c r="AZ38"/>
      <c r="BA38" s="35">
        <f t="shared" si="42"/>
        <v>3472.8190000000004</v>
      </c>
      <c r="BB38" s="35">
        <f t="shared" si="27"/>
        <v>241.69617780000002</v>
      </c>
      <c r="BC38" s="5">
        <f t="shared" si="28"/>
        <v>3714.5151778000004</v>
      </c>
      <c r="BD38" s="34">
        <f t="shared" si="29"/>
        <v>137.045872138</v>
      </c>
      <c r="BF38" s="35">
        <f t="shared" si="43"/>
        <v>227891.16199999998</v>
      </c>
      <c r="BG38" s="35">
        <f t="shared" si="30"/>
        <v>15860.4358044</v>
      </c>
      <c r="BH38" s="5">
        <f t="shared" si="31"/>
        <v>243751.5978044</v>
      </c>
      <c r="BI38" s="34">
        <f t="shared" si="32"/>
        <v>8993.138729323999</v>
      </c>
    </row>
    <row r="39" spans="1:61" ht="12.75">
      <c r="A39" s="36">
        <v>13424</v>
      </c>
      <c r="D39" s="3">
        <v>323547</v>
      </c>
      <c r="E39" s="34">
        <f t="shared" si="0"/>
        <v>323547</v>
      </c>
      <c r="F39" s="34">
        <v>239339.62999999998</v>
      </c>
      <c r="H39" s="43"/>
      <c r="I39" s="35">
        <f t="shared" si="1"/>
        <v>23530.3438314</v>
      </c>
      <c r="J39" s="35">
        <f t="shared" si="2"/>
        <v>23530.3438314</v>
      </c>
      <c r="K39" s="35">
        <f t="shared" si="1"/>
        <v>17406.261799305998</v>
      </c>
      <c r="L39"/>
      <c r="M39" s="35"/>
      <c r="N39" s="35">
        <f t="shared" si="3"/>
        <v>18.0862773</v>
      </c>
      <c r="O39" s="5">
        <f t="shared" si="4"/>
        <v>18.0862773</v>
      </c>
      <c r="P39" s="34">
        <f t="shared" si="5"/>
        <v>13.379085316999998</v>
      </c>
      <c r="Q39"/>
      <c r="R39" s="35"/>
      <c r="S39" s="35">
        <f t="shared" si="6"/>
        <v>618.6865734</v>
      </c>
      <c r="T39" s="5">
        <f t="shared" si="7"/>
        <v>618.6865734</v>
      </c>
      <c r="U39" s="34">
        <f t="shared" si="8"/>
        <v>457.66524048599996</v>
      </c>
      <c r="V39"/>
      <c r="W39" s="35"/>
      <c r="X39" s="35">
        <f t="shared" si="9"/>
        <v>615.8717145</v>
      </c>
      <c r="Y39" s="5">
        <f t="shared" si="10"/>
        <v>615.8717145</v>
      </c>
      <c r="Z39" s="34">
        <f t="shared" si="11"/>
        <v>455.58298570499994</v>
      </c>
      <c r="AA39"/>
      <c r="AB39" s="35"/>
      <c r="AC39" s="35">
        <f t="shared" si="12"/>
        <v>1058.5810746</v>
      </c>
      <c r="AD39" s="5">
        <f t="shared" si="13"/>
        <v>1058.5810746</v>
      </c>
      <c r="AE39" s="34">
        <f t="shared" si="14"/>
        <v>783.0714014339999</v>
      </c>
      <c r="AF39"/>
      <c r="AG39" s="35"/>
      <c r="AH39" s="35">
        <f t="shared" si="15"/>
        <v>445.10360790000004</v>
      </c>
      <c r="AI39" s="5">
        <f t="shared" si="16"/>
        <v>445.10360790000004</v>
      </c>
      <c r="AJ39" s="34">
        <f t="shared" si="17"/>
        <v>329.25952899099997</v>
      </c>
      <c r="AK39"/>
      <c r="AL39" s="35"/>
      <c r="AM39" s="35">
        <f t="shared" si="18"/>
        <v>2304.5929263</v>
      </c>
      <c r="AN39" s="5">
        <f t="shared" si="19"/>
        <v>2304.5929263</v>
      </c>
      <c r="AO39" s="34">
        <f t="shared" si="20"/>
        <v>1704.7922505269999</v>
      </c>
      <c r="AP39"/>
      <c r="AQ39" s="35"/>
      <c r="AR39" s="35">
        <f t="shared" si="21"/>
        <v>9.0916707</v>
      </c>
      <c r="AS39" s="5">
        <f t="shared" si="22"/>
        <v>9.0916707</v>
      </c>
      <c r="AT39" s="34">
        <f t="shared" si="23"/>
        <v>6.725443602999999</v>
      </c>
      <c r="AU39"/>
      <c r="AV39" s="35"/>
      <c r="AW39" s="35">
        <f t="shared" si="24"/>
        <v>6117.8531589</v>
      </c>
      <c r="AX39" s="5">
        <f t="shared" si="25"/>
        <v>6117.8531589</v>
      </c>
      <c r="AY39" s="34">
        <f t="shared" si="26"/>
        <v>4525.601261780999</v>
      </c>
      <c r="AZ39"/>
      <c r="BA39" s="35"/>
      <c r="BB39" s="35">
        <f t="shared" si="27"/>
        <v>185.26301220000002</v>
      </c>
      <c r="BC39" s="5">
        <f t="shared" si="28"/>
        <v>185.26301220000002</v>
      </c>
      <c r="BD39" s="34">
        <f t="shared" si="29"/>
        <v>137.045872138</v>
      </c>
      <c r="BF39" s="35"/>
      <c r="BG39" s="35">
        <f t="shared" si="30"/>
        <v>12157.2138156</v>
      </c>
      <c r="BH39" s="5">
        <f t="shared" si="31"/>
        <v>12157.2138156</v>
      </c>
      <c r="BI39" s="34">
        <f t="shared" si="32"/>
        <v>8993.138729323999</v>
      </c>
    </row>
    <row r="40" spans="1:61" ht="12.75">
      <c r="A40" s="36">
        <v>13606</v>
      </c>
      <c r="C40" s="3">
        <v>6260000</v>
      </c>
      <c r="D40" s="3">
        <v>323547</v>
      </c>
      <c r="E40" s="34">
        <f t="shared" si="0"/>
        <v>6583547</v>
      </c>
      <c r="F40" s="34">
        <v>239339.62999999998</v>
      </c>
      <c r="H40" s="43">
        <f t="shared" si="33"/>
        <v>455266.012</v>
      </c>
      <c r="I40" s="35">
        <f t="shared" si="1"/>
        <v>23530.3438314</v>
      </c>
      <c r="J40" s="35">
        <f t="shared" si="2"/>
        <v>478796.35583139997</v>
      </c>
      <c r="K40" s="35">
        <f t="shared" si="1"/>
        <v>17406.261799305998</v>
      </c>
      <c r="L40"/>
      <c r="M40" s="35">
        <f t="shared" si="34"/>
        <v>349.93399999999997</v>
      </c>
      <c r="N40" s="35">
        <f t="shared" si="3"/>
        <v>18.0862773</v>
      </c>
      <c r="O40" s="5">
        <f t="shared" si="4"/>
        <v>368.0202773</v>
      </c>
      <c r="P40" s="34">
        <f t="shared" si="5"/>
        <v>13.379085316999998</v>
      </c>
      <c r="Q40"/>
      <c r="R40" s="35">
        <f t="shared" si="35"/>
        <v>11970.372</v>
      </c>
      <c r="S40" s="35">
        <f t="shared" si="6"/>
        <v>618.6865734</v>
      </c>
      <c r="T40" s="5">
        <f t="shared" si="7"/>
        <v>12589.0585734</v>
      </c>
      <c r="U40" s="34">
        <f t="shared" si="8"/>
        <v>457.66524048599996</v>
      </c>
      <c r="V40"/>
      <c r="W40" s="35">
        <f t="shared" si="36"/>
        <v>11915.91</v>
      </c>
      <c r="X40" s="35">
        <f t="shared" si="9"/>
        <v>615.8717145</v>
      </c>
      <c r="Y40" s="5">
        <f t="shared" si="10"/>
        <v>12531.7817145</v>
      </c>
      <c r="Z40" s="34">
        <f t="shared" si="11"/>
        <v>455.58298570499994</v>
      </c>
      <c r="AA40"/>
      <c r="AB40" s="35">
        <f t="shared" si="37"/>
        <v>20481.468</v>
      </c>
      <c r="AC40" s="35">
        <f t="shared" si="12"/>
        <v>1058.5810746</v>
      </c>
      <c r="AD40" s="5">
        <f t="shared" si="13"/>
        <v>21540.0490746</v>
      </c>
      <c r="AE40" s="34">
        <f t="shared" si="14"/>
        <v>783.0714014339999</v>
      </c>
      <c r="AF40"/>
      <c r="AG40" s="35">
        <f t="shared" si="38"/>
        <v>8611.882000000001</v>
      </c>
      <c r="AH40" s="35">
        <f t="shared" si="15"/>
        <v>445.10360790000004</v>
      </c>
      <c r="AI40" s="5">
        <f t="shared" si="16"/>
        <v>9056.985607900002</v>
      </c>
      <c r="AJ40" s="34">
        <f t="shared" si="17"/>
        <v>329.25952899099997</v>
      </c>
      <c r="AK40"/>
      <c r="AL40" s="35">
        <f t="shared" si="39"/>
        <v>44589.354</v>
      </c>
      <c r="AM40" s="35">
        <f t="shared" si="18"/>
        <v>2304.5929263</v>
      </c>
      <c r="AN40" s="5">
        <f t="shared" si="19"/>
        <v>46893.9469263</v>
      </c>
      <c r="AO40" s="34">
        <f t="shared" si="20"/>
        <v>1704.7922505269999</v>
      </c>
      <c r="AP40"/>
      <c r="AQ40" s="35">
        <f t="shared" si="40"/>
        <v>175.90599999999998</v>
      </c>
      <c r="AR40" s="35">
        <f t="shared" si="21"/>
        <v>9.0916707</v>
      </c>
      <c r="AS40" s="5">
        <f t="shared" si="22"/>
        <v>184.9976707</v>
      </c>
      <c r="AT40" s="34">
        <f t="shared" si="23"/>
        <v>6.725443602999999</v>
      </c>
      <c r="AU40"/>
      <c r="AV40" s="35">
        <f t="shared" si="41"/>
        <v>118368.462</v>
      </c>
      <c r="AW40" s="35">
        <f t="shared" si="24"/>
        <v>6117.8531589</v>
      </c>
      <c r="AX40" s="5">
        <f t="shared" si="25"/>
        <v>124486.3151589</v>
      </c>
      <c r="AY40" s="34">
        <f t="shared" si="26"/>
        <v>4525.601261780999</v>
      </c>
      <c r="AZ40"/>
      <c r="BA40" s="35">
        <f t="shared" si="42"/>
        <v>3584.476</v>
      </c>
      <c r="BB40" s="35">
        <f t="shared" si="27"/>
        <v>185.26301220000002</v>
      </c>
      <c r="BC40" s="5">
        <f t="shared" si="28"/>
        <v>3769.7390122</v>
      </c>
      <c r="BD40" s="34">
        <f t="shared" si="29"/>
        <v>137.045872138</v>
      </c>
      <c r="BF40" s="35">
        <f t="shared" si="43"/>
        <v>235218.248</v>
      </c>
      <c r="BG40" s="35">
        <f t="shared" si="30"/>
        <v>12157.2138156</v>
      </c>
      <c r="BH40" s="5">
        <f t="shared" si="31"/>
        <v>247375.4618156</v>
      </c>
      <c r="BI40" s="34">
        <f t="shared" si="32"/>
        <v>8993.138729323999</v>
      </c>
    </row>
    <row r="41" spans="1:61" ht="12.75">
      <c r="A41" s="36">
        <v>13789</v>
      </c>
      <c r="D41" s="3">
        <v>221822</v>
      </c>
      <c r="E41" s="34">
        <f t="shared" si="0"/>
        <v>221822</v>
      </c>
      <c r="F41" s="34">
        <v>239339.62999999998</v>
      </c>
      <c r="H41" s="43"/>
      <c r="I41" s="35">
        <f t="shared" si="1"/>
        <v>16132.2711364</v>
      </c>
      <c r="J41" s="35">
        <f t="shared" si="2"/>
        <v>16132.2711364</v>
      </c>
      <c r="K41" s="35">
        <f t="shared" si="1"/>
        <v>17406.261799305998</v>
      </c>
      <c r="L41"/>
      <c r="M41" s="35"/>
      <c r="N41" s="35">
        <f t="shared" si="3"/>
        <v>12.3998498</v>
      </c>
      <c r="O41" s="5">
        <f t="shared" si="4"/>
        <v>12.3998498</v>
      </c>
      <c r="P41" s="34">
        <f t="shared" si="5"/>
        <v>13.379085316999998</v>
      </c>
      <c r="Q41"/>
      <c r="R41" s="35"/>
      <c r="S41" s="35">
        <f t="shared" si="6"/>
        <v>424.16802839999997</v>
      </c>
      <c r="T41" s="5">
        <f t="shared" si="7"/>
        <v>424.16802839999997</v>
      </c>
      <c r="U41" s="34">
        <f t="shared" si="8"/>
        <v>457.66524048599996</v>
      </c>
      <c r="V41"/>
      <c r="W41" s="35"/>
      <c r="X41" s="35">
        <f t="shared" si="9"/>
        <v>422.238177</v>
      </c>
      <c r="Y41" s="5">
        <f t="shared" si="10"/>
        <v>422.238177</v>
      </c>
      <c r="Z41" s="34">
        <f t="shared" si="11"/>
        <v>455.58298570499994</v>
      </c>
      <c r="AA41"/>
      <c r="AB41" s="35"/>
      <c r="AC41" s="35">
        <f t="shared" si="12"/>
        <v>725.7572196</v>
      </c>
      <c r="AD41" s="5">
        <f t="shared" si="13"/>
        <v>725.7572196</v>
      </c>
      <c r="AE41" s="34">
        <f t="shared" si="14"/>
        <v>783.0714014339999</v>
      </c>
      <c r="AF41"/>
      <c r="AG41" s="35"/>
      <c r="AH41" s="35">
        <f t="shared" si="15"/>
        <v>305.16052540000004</v>
      </c>
      <c r="AI41" s="5">
        <f t="shared" si="16"/>
        <v>305.16052540000004</v>
      </c>
      <c r="AJ41" s="34">
        <f t="shared" si="17"/>
        <v>329.25952899099997</v>
      </c>
      <c r="AK41"/>
      <c r="AL41" s="35"/>
      <c r="AM41" s="35">
        <f t="shared" si="18"/>
        <v>1580.0159237999999</v>
      </c>
      <c r="AN41" s="5">
        <f t="shared" si="19"/>
        <v>1580.0159237999999</v>
      </c>
      <c r="AO41" s="34">
        <f t="shared" si="20"/>
        <v>1704.7922505269999</v>
      </c>
      <c r="AP41"/>
      <c r="AQ41" s="35"/>
      <c r="AR41" s="35">
        <f t="shared" si="21"/>
        <v>6.2331981999999995</v>
      </c>
      <c r="AS41" s="5">
        <f t="shared" si="22"/>
        <v>6.2331981999999995</v>
      </c>
      <c r="AT41" s="34">
        <f t="shared" si="23"/>
        <v>6.725443602999999</v>
      </c>
      <c r="AU41"/>
      <c r="AV41" s="35"/>
      <c r="AW41" s="35">
        <f t="shared" si="24"/>
        <v>4194.3656514</v>
      </c>
      <c r="AX41" s="5">
        <f t="shared" si="25"/>
        <v>4194.3656514</v>
      </c>
      <c r="AY41" s="34">
        <f t="shared" si="26"/>
        <v>4525.601261780999</v>
      </c>
      <c r="AZ41"/>
      <c r="BA41" s="35"/>
      <c r="BB41" s="35">
        <f t="shared" si="27"/>
        <v>127.01527720000001</v>
      </c>
      <c r="BC41" s="5">
        <f t="shared" si="28"/>
        <v>127.01527720000001</v>
      </c>
      <c r="BD41" s="34">
        <f t="shared" si="29"/>
        <v>137.045872138</v>
      </c>
      <c r="BF41" s="35"/>
      <c r="BG41" s="35">
        <f t="shared" si="30"/>
        <v>8334.9172856</v>
      </c>
      <c r="BH41" s="5">
        <f t="shared" si="31"/>
        <v>8334.9172856</v>
      </c>
      <c r="BI41" s="34">
        <f t="shared" si="32"/>
        <v>8993.138729323999</v>
      </c>
    </row>
    <row r="42" spans="1:61" ht="12.75">
      <c r="A42" s="36">
        <v>13971</v>
      </c>
      <c r="C42" s="3">
        <v>6465000</v>
      </c>
      <c r="D42" s="3">
        <v>221822</v>
      </c>
      <c r="E42" s="34">
        <f t="shared" si="0"/>
        <v>6686822</v>
      </c>
      <c r="F42" s="34">
        <v>239339.62999999998</v>
      </c>
      <c r="H42" s="43">
        <f t="shared" si="33"/>
        <v>470174.88300000003</v>
      </c>
      <c r="I42" s="35">
        <f t="shared" si="1"/>
        <v>16132.2711364</v>
      </c>
      <c r="J42" s="35">
        <f t="shared" si="2"/>
        <v>486307.15413640003</v>
      </c>
      <c r="K42" s="35">
        <f t="shared" si="1"/>
        <v>17406.261799305998</v>
      </c>
      <c r="L42"/>
      <c r="M42" s="35">
        <f t="shared" si="34"/>
        <v>361.39349999999996</v>
      </c>
      <c r="N42" s="35">
        <f t="shared" si="3"/>
        <v>12.3998498</v>
      </c>
      <c r="O42" s="5">
        <f t="shared" si="4"/>
        <v>373.7933498</v>
      </c>
      <c r="P42" s="34">
        <f t="shared" si="5"/>
        <v>13.379085316999998</v>
      </c>
      <c r="Q42"/>
      <c r="R42" s="35">
        <f t="shared" si="35"/>
        <v>12362.373</v>
      </c>
      <c r="S42" s="35">
        <f t="shared" si="6"/>
        <v>424.16802839999997</v>
      </c>
      <c r="T42" s="5">
        <f t="shared" si="7"/>
        <v>12786.541028399999</v>
      </c>
      <c r="U42" s="34">
        <f t="shared" si="8"/>
        <v>457.66524048599996</v>
      </c>
      <c r="V42"/>
      <c r="W42" s="35">
        <f t="shared" si="36"/>
        <v>12306.1275</v>
      </c>
      <c r="X42" s="35">
        <f t="shared" si="9"/>
        <v>422.238177</v>
      </c>
      <c r="Y42" s="5">
        <f t="shared" si="10"/>
        <v>12728.365677</v>
      </c>
      <c r="Z42" s="34">
        <f t="shared" si="11"/>
        <v>455.58298570499994</v>
      </c>
      <c r="AA42"/>
      <c r="AB42" s="35">
        <f t="shared" si="37"/>
        <v>21152.187</v>
      </c>
      <c r="AC42" s="35">
        <f t="shared" si="12"/>
        <v>725.7572196</v>
      </c>
      <c r="AD42" s="5">
        <f t="shared" si="13"/>
        <v>21877.9442196</v>
      </c>
      <c r="AE42" s="34">
        <f t="shared" si="14"/>
        <v>783.0714014339999</v>
      </c>
      <c r="AF42"/>
      <c r="AG42" s="35">
        <f t="shared" si="38"/>
        <v>8893.9005</v>
      </c>
      <c r="AH42" s="35">
        <f t="shared" si="15"/>
        <v>305.16052540000004</v>
      </c>
      <c r="AI42" s="5">
        <f t="shared" si="16"/>
        <v>9199.0610254</v>
      </c>
      <c r="AJ42" s="34">
        <f t="shared" si="17"/>
        <v>329.25952899099997</v>
      </c>
      <c r="AK42"/>
      <c r="AL42" s="35">
        <f t="shared" si="39"/>
        <v>46049.5485</v>
      </c>
      <c r="AM42" s="35">
        <f t="shared" si="18"/>
        <v>1580.0159237999999</v>
      </c>
      <c r="AN42" s="5">
        <f t="shared" si="19"/>
        <v>47629.564423799995</v>
      </c>
      <c r="AO42" s="34">
        <f t="shared" si="20"/>
        <v>1704.7922505269999</v>
      </c>
      <c r="AP42"/>
      <c r="AQ42" s="35">
        <f t="shared" si="40"/>
        <v>181.66649999999998</v>
      </c>
      <c r="AR42" s="35">
        <f t="shared" si="21"/>
        <v>6.2331981999999995</v>
      </c>
      <c r="AS42" s="5">
        <f t="shared" si="22"/>
        <v>187.8996982</v>
      </c>
      <c r="AT42" s="34">
        <f t="shared" si="23"/>
        <v>6.725443602999999</v>
      </c>
      <c r="AU42"/>
      <c r="AV42" s="35">
        <f t="shared" si="41"/>
        <v>122244.7455</v>
      </c>
      <c r="AW42" s="35">
        <f t="shared" si="24"/>
        <v>4194.3656514</v>
      </c>
      <c r="AX42" s="5">
        <f t="shared" si="25"/>
        <v>126439.11115140001</v>
      </c>
      <c r="AY42" s="34">
        <f t="shared" si="26"/>
        <v>4525.601261780999</v>
      </c>
      <c r="AZ42"/>
      <c r="BA42" s="35">
        <f t="shared" si="42"/>
        <v>3701.8590000000004</v>
      </c>
      <c r="BB42" s="35">
        <f t="shared" si="27"/>
        <v>127.01527720000001</v>
      </c>
      <c r="BC42" s="5">
        <f t="shared" si="28"/>
        <v>3828.8742772000005</v>
      </c>
      <c r="BD42" s="34">
        <f t="shared" si="29"/>
        <v>137.045872138</v>
      </c>
      <c r="BF42" s="35">
        <f t="shared" si="43"/>
        <v>242921.082</v>
      </c>
      <c r="BG42" s="35">
        <f t="shared" si="30"/>
        <v>8334.9172856</v>
      </c>
      <c r="BH42" s="5">
        <f t="shared" si="31"/>
        <v>251255.9992856</v>
      </c>
      <c r="BI42" s="34">
        <f t="shared" si="32"/>
        <v>8993.138729323999</v>
      </c>
    </row>
    <row r="43" spans="1:61" ht="12.75">
      <c r="A43" s="36">
        <v>14154</v>
      </c>
      <c r="D43" s="3">
        <v>112725</v>
      </c>
      <c r="E43" s="34">
        <f t="shared" si="0"/>
        <v>112725</v>
      </c>
      <c r="F43" s="34">
        <v>239339.62999999998</v>
      </c>
      <c r="H43" s="43"/>
      <c r="I43" s="35">
        <f t="shared" si="1"/>
        <v>8198.060894999999</v>
      </c>
      <c r="J43" s="35">
        <f t="shared" si="2"/>
        <v>8198.060894999999</v>
      </c>
      <c r="K43" s="35">
        <f t="shared" si="1"/>
        <v>17406.261799305998</v>
      </c>
      <c r="L43"/>
      <c r="M43" s="35"/>
      <c r="N43" s="35">
        <f t="shared" si="3"/>
        <v>6.301327499999999</v>
      </c>
      <c r="O43" s="5">
        <f t="shared" si="4"/>
        <v>6.301327499999999</v>
      </c>
      <c r="P43" s="34">
        <f t="shared" si="5"/>
        <v>13.379085316999998</v>
      </c>
      <c r="Q43"/>
      <c r="R43" s="35"/>
      <c r="S43" s="35">
        <f t="shared" si="6"/>
        <v>215.552745</v>
      </c>
      <c r="T43" s="5">
        <f t="shared" si="7"/>
        <v>215.552745</v>
      </c>
      <c r="U43" s="34">
        <f t="shared" si="8"/>
        <v>457.66524048599996</v>
      </c>
      <c r="V43"/>
      <c r="W43" s="35"/>
      <c r="X43" s="35">
        <f t="shared" si="9"/>
        <v>214.5720375</v>
      </c>
      <c r="Y43" s="5">
        <f t="shared" si="10"/>
        <v>214.5720375</v>
      </c>
      <c r="Z43" s="34">
        <f t="shared" si="11"/>
        <v>455.58298570499994</v>
      </c>
      <c r="AA43"/>
      <c r="AB43" s="35"/>
      <c r="AC43" s="35">
        <f t="shared" si="12"/>
        <v>368.813655</v>
      </c>
      <c r="AD43" s="5">
        <f t="shared" si="13"/>
        <v>368.813655</v>
      </c>
      <c r="AE43" s="34">
        <f t="shared" si="14"/>
        <v>783.0714014339999</v>
      </c>
      <c r="AF43"/>
      <c r="AG43" s="35"/>
      <c r="AH43" s="35">
        <f t="shared" si="15"/>
        <v>155.0757825</v>
      </c>
      <c r="AI43" s="5">
        <f t="shared" si="16"/>
        <v>155.0757825</v>
      </c>
      <c r="AJ43" s="34">
        <f t="shared" si="17"/>
        <v>329.25952899099997</v>
      </c>
      <c r="AK43"/>
      <c r="AL43" s="35"/>
      <c r="AM43" s="35">
        <f t="shared" si="18"/>
        <v>802.9289024999999</v>
      </c>
      <c r="AN43" s="5">
        <f t="shared" si="19"/>
        <v>802.9289024999999</v>
      </c>
      <c r="AO43" s="34">
        <f t="shared" si="20"/>
        <v>1704.7922505269999</v>
      </c>
      <c r="AP43"/>
      <c r="AQ43" s="35"/>
      <c r="AR43" s="35">
        <f t="shared" si="21"/>
        <v>3.1675725</v>
      </c>
      <c r="AS43" s="5">
        <f t="shared" si="22"/>
        <v>3.1675725</v>
      </c>
      <c r="AT43" s="34">
        <f t="shared" si="23"/>
        <v>6.725443602999999</v>
      </c>
      <c r="AU43"/>
      <c r="AV43" s="35"/>
      <c r="AW43" s="35">
        <f t="shared" si="24"/>
        <v>2131.4832075</v>
      </c>
      <c r="AX43" s="5">
        <f t="shared" si="25"/>
        <v>2131.4832075</v>
      </c>
      <c r="AY43" s="34">
        <f t="shared" si="26"/>
        <v>4525.601261780999</v>
      </c>
      <c r="AZ43"/>
      <c r="BA43" s="35"/>
      <c r="BB43" s="35">
        <f t="shared" si="27"/>
        <v>64.546335</v>
      </c>
      <c r="BC43" s="5">
        <f t="shared" si="28"/>
        <v>64.546335</v>
      </c>
      <c r="BD43" s="34">
        <f t="shared" si="29"/>
        <v>137.045872138</v>
      </c>
      <c r="BF43" s="35"/>
      <c r="BG43" s="35">
        <f t="shared" si="30"/>
        <v>4235.6193299999995</v>
      </c>
      <c r="BH43" s="5">
        <f t="shared" si="31"/>
        <v>4235.6193299999995</v>
      </c>
      <c r="BI43" s="34">
        <f t="shared" si="32"/>
        <v>8993.138729323999</v>
      </c>
    </row>
    <row r="44" spans="1:61" ht="12.75">
      <c r="A44" s="36">
        <v>14336</v>
      </c>
      <c r="C44" s="3">
        <v>6680000</v>
      </c>
      <c r="D44" s="3">
        <v>112725</v>
      </c>
      <c r="E44" s="34">
        <f t="shared" si="0"/>
        <v>6792725</v>
      </c>
      <c r="F44" s="34">
        <v>239339.62999999998</v>
      </c>
      <c r="H44" s="43">
        <f t="shared" si="33"/>
        <v>485811.016</v>
      </c>
      <c r="I44" s="35">
        <f t="shared" si="1"/>
        <v>8198.060894999999</v>
      </c>
      <c r="J44" s="35">
        <f t="shared" si="2"/>
        <v>494009.076895</v>
      </c>
      <c r="K44" s="35">
        <f t="shared" si="1"/>
        <v>17406.261799305998</v>
      </c>
      <c r="L44"/>
      <c r="M44" s="35">
        <f t="shared" si="34"/>
        <v>373.412</v>
      </c>
      <c r="N44" s="35">
        <f t="shared" si="3"/>
        <v>6.301327499999999</v>
      </c>
      <c r="O44" s="5">
        <f t="shared" si="4"/>
        <v>379.7133275</v>
      </c>
      <c r="P44" s="34">
        <f t="shared" si="5"/>
        <v>13.379085316999998</v>
      </c>
      <c r="Q44"/>
      <c r="R44" s="35">
        <f t="shared" si="35"/>
        <v>12773.496</v>
      </c>
      <c r="S44" s="35">
        <f t="shared" si="6"/>
        <v>215.552745</v>
      </c>
      <c r="T44" s="5">
        <f t="shared" si="7"/>
        <v>12989.048745</v>
      </c>
      <c r="U44" s="34">
        <f t="shared" si="8"/>
        <v>457.66524048599996</v>
      </c>
      <c r="V44"/>
      <c r="W44" s="35">
        <f t="shared" si="36"/>
        <v>12715.380000000001</v>
      </c>
      <c r="X44" s="35">
        <f t="shared" si="9"/>
        <v>214.5720375</v>
      </c>
      <c r="Y44" s="5">
        <f t="shared" si="10"/>
        <v>12929.952037500001</v>
      </c>
      <c r="Z44" s="34">
        <f t="shared" si="11"/>
        <v>455.58298570499994</v>
      </c>
      <c r="AA44"/>
      <c r="AB44" s="35">
        <f t="shared" si="37"/>
        <v>21855.624</v>
      </c>
      <c r="AC44" s="35">
        <f t="shared" si="12"/>
        <v>368.813655</v>
      </c>
      <c r="AD44" s="5">
        <f t="shared" si="13"/>
        <v>22224.437655</v>
      </c>
      <c r="AE44" s="34">
        <f t="shared" si="14"/>
        <v>783.0714014339999</v>
      </c>
      <c r="AF44"/>
      <c r="AG44" s="35">
        <f t="shared" si="38"/>
        <v>9189.676000000001</v>
      </c>
      <c r="AH44" s="35">
        <f t="shared" si="15"/>
        <v>155.0757825</v>
      </c>
      <c r="AI44" s="5">
        <f t="shared" si="16"/>
        <v>9344.751782500001</v>
      </c>
      <c r="AJ44" s="34">
        <f t="shared" si="17"/>
        <v>329.25952899099997</v>
      </c>
      <c r="AK44"/>
      <c r="AL44" s="35">
        <f t="shared" si="39"/>
        <v>47580.972</v>
      </c>
      <c r="AM44" s="35">
        <f t="shared" si="18"/>
        <v>802.9289024999999</v>
      </c>
      <c r="AN44" s="5">
        <f t="shared" si="19"/>
        <v>48383.900902500005</v>
      </c>
      <c r="AO44" s="34">
        <f t="shared" si="20"/>
        <v>1704.7922505269999</v>
      </c>
      <c r="AP44"/>
      <c r="AQ44" s="35">
        <f t="shared" si="40"/>
        <v>187.708</v>
      </c>
      <c r="AR44" s="35">
        <f t="shared" si="21"/>
        <v>3.1675725</v>
      </c>
      <c r="AS44" s="5">
        <f t="shared" si="22"/>
        <v>190.8755725</v>
      </c>
      <c r="AT44" s="34">
        <f t="shared" si="23"/>
        <v>6.725443602999999</v>
      </c>
      <c r="AU44"/>
      <c r="AV44" s="35">
        <f t="shared" si="41"/>
        <v>126310.11600000001</v>
      </c>
      <c r="AW44" s="35">
        <f t="shared" si="24"/>
        <v>2131.4832075</v>
      </c>
      <c r="AX44" s="5">
        <f t="shared" si="25"/>
        <v>128441.59920750001</v>
      </c>
      <c r="AY44" s="34">
        <f t="shared" si="26"/>
        <v>4525.601261780999</v>
      </c>
      <c r="AZ44"/>
      <c r="BA44" s="35">
        <f t="shared" si="42"/>
        <v>3824.9680000000003</v>
      </c>
      <c r="BB44" s="35">
        <f t="shared" si="27"/>
        <v>64.546335</v>
      </c>
      <c r="BC44" s="5">
        <f t="shared" si="28"/>
        <v>3889.5143350000003</v>
      </c>
      <c r="BD44" s="34">
        <f t="shared" si="29"/>
        <v>137.045872138</v>
      </c>
      <c r="BF44" s="35">
        <f t="shared" si="43"/>
        <v>250999.664</v>
      </c>
      <c r="BG44" s="35">
        <f t="shared" si="30"/>
        <v>4235.6193299999995</v>
      </c>
      <c r="BH44" s="5">
        <f t="shared" si="31"/>
        <v>255235.28332999998</v>
      </c>
      <c r="BI44" s="34">
        <f t="shared" si="32"/>
        <v>8993.138729323999</v>
      </c>
    </row>
    <row r="45" spans="2:61" ht="12.75">
      <c r="B45" s="33"/>
      <c r="C45" s="34"/>
      <c r="D45" s="34"/>
      <c r="E45" s="34"/>
      <c r="F45" s="34"/>
      <c r="H45"/>
      <c r="I45"/>
      <c r="J45"/>
      <c r="K45"/>
      <c r="L45"/>
      <c r="M45"/>
      <c r="N45"/>
      <c r="O45"/>
      <c r="P45" s="34"/>
      <c r="Q45"/>
      <c r="R45"/>
      <c r="S45"/>
      <c r="T45"/>
      <c r="U45" s="34"/>
      <c r="V45"/>
      <c r="W45"/>
      <c r="X45"/>
      <c r="Y45"/>
      <c r="Z45" s="34"/>
      <c r="AA45"/>
      <c r="AB45"/>
      <c r="AC45"/>
      <c r="AD45"/>
      <c r="AE45" s="34"/>
      <c r="AF45"/>
      <c r="AG45"/>
      <c r="AH45"/>
      <c r="AJ45" s="34"/>
      <c r="AK45"/>
      <c r="AL45"/>
      <c r="AM45"/>
      <c r="AO45" s="34"/>
      <c r="AP45"/>
      <c r="AQ45"/>
      <c r="AR45"/>
      <c r="AT45" s="34"/>
      <c r="AU45"/>
      <c r="AV45"/>
      <c r="AW45"/>
      <c r="AY45" s="34"/>
      <c r="AZ45"/>
      <c r="BA45"/>
      <c r="BB45"/>
      <c r="BD45" s="34"/>
      <c r="BF45"/>
      <c r="BG45"/>
      <c r="BI45" s="34"/>
    </row>
    <row r="46" spans="1:61" ht="13.5" thickBot="1">
      <c r="A46" s="38" t="s">
        <v>4</v>
      </c>
      <c r="C46" s="39">
        <f>SUM(C9:C45)</f>
        <v>89305000</v>
      </c>
      <c r="D46" s="39">
        <f>SUM(D9:D45)</f>
        <v>35014026</v>
      </c>
      <c r="E46" s="39">
        <f>SUM(E9:E45)</f>
        <v>124319026</v>
      </c>
      <c r="F46" s="39">
        <f>SUM(F9:F45)</f>
        <v>8616226.679999998</v>
      </c>
      <c r="H46" s="39">
        <f>SUM(H9:H45)</f>
        <v>6494813.291</v>
      </c>
      <c r="I46" s="39">
        <f>SUM(I9:I45)</f>
        <v>2546437.0576812</v>
      </c>
      <c r="J46" s="39">
        <f>SUM(J9:J45)</f>
        <v>9041250.348681198</v>
      </c>
      <c r="K46" s="39">
        <f>SUM(K9:K45)</f>
        <v>626625.4247750165</v>
      </c>
      <c r="M46" s="39">
        <f>SUM(M9:M45)</f>
        <v>4992.1495</v>
      </c>
      <c r="N46" s="39">
        <f>SUM(N9:N45)</f>
        <v>1957.2840534000004</v>
      </c>
      <c r="O46" s="39">
        <f>SUM(O9:O45)</f>
        <v>6949.4335534</v>
      </c>
      <c r="P46" s="39">
        <f>SUM(P9:P45)</f>
        <v>481.64707141199966</v>
      </c>
      <c r="R46" s="39">
        <f>SUM(R9:R45)</f>
        <v>170769.021</v>
      </c>
      <c r="S46" s="39">
        <f>SUM(S9:S45)</f>
        <v>66953.82051719999</v>
      </c>
      <c r="T46" s="39">
        <f>SUM(T9:T45)</f>
        <v>237722.84151719994</v>
      </c>
      <c r="U46" s="39">
        <f>SUM(U9:U45)</f>
        <v>16475.948657495992</v>
      </c>
      <c r="W46" s="39">
        <f>SUM(W9:W45)</f>
        <v>169992.06749999998</v>
      </c>
      <c r="X46" s="39">
        <f>SUM(X9:X45)</f>
        <v>66649.19849100002</v>
      </c>
      <c r="Y46" s="39">
        <f>SUM(Y9:Y45)</f>
        <v>236641.265991</v>
      </c>
      <c r="Z46" s="39">
        <f>SUM(Z9:Z45)</f>
        <v>16400.987485379992</v>
      </c>
      <c r="AB46" s="39">
        <f>SUM(AB9:AB45)</f>
        <v>292188.099</v>
      </c>
      <c r="AC46" s="39">
        <f>SUM(AC9:AC45)</f>
        <v>114558.89026680002</v>
      </c>
      <c r="AD46" s="39">
        <f>SUM(AD9:AD45)</f>
        <v>406746.98926680005</v>
      </c>
      <c r="AE46" s="39">
        <f>SUM(AE9:AE45)</f>
        <v>28190.570451624008</v>
      </c>
      <c r="AG46" s="39">
        <f>SUM(AG9:AG45)</f>
        <v>122856.88850000002</v>
      </c>
      <c r="AH46" s="39">
        <f>SUM(AH9:AH45)</f>
        <v>48168.795568199996</v>
      </c>
      <c r="AI46" s="39">
        <f>SUM(AI9:AI45)</f>
        <v>171025.6840682</v>
      </c>
      <c r="AJ46" s="39">
        <f>SUM(AJ9:AJ45)</f>
        <v>11853.343043676</v>
      </c>
      <c r="AL46" s="39">
        <f>SUM(AL9:AL45)</f>
        <v>636110.5845</v>
      </c>
      <c r="AM46" s="39">
        <f>SUM(AM9:AM45)</f>
        <v>249401.40579540003</v>
      </c>
      <c r="AN46" s="39">
        <f>SUM(AN9:AN45)</f>
        <v>885511.9902953997</v>
      </c>
      <c r="AO46" s="39">
        <f>SUM(AO9:AO45)</f>
        <v>61372.52101897194</v>
      </c>
      <c r="AQ46" s="39">
        <f>SUM(AQ9:AQ45)</f>
        <v>2509.4705</v>
      </c>
      <c r="AR46" s="39">
        <f>SUM(AR9:AR45)</f>
        <v>983.8941305999999</v>
      </c>
      <c r="AS46" s="39">
        <f>SUM(AS9:AS45)</f>
        <v>3493.364630599999</v>
      </c>
      <c r="AT46" s="39">
        <f>SUM(AT9:AT45)</f>
        <v>242.11596970800005</v>
      </c>
      <c r="AV46" s="39">
        <f>SUM(AV9:AV45)</f>
        <v>1688641.4534999998</v>
      </c>
      <c r="AW46" s="39">
        <f>SUM(AW9:AW45)</f>
        <v>662069.7134262001</v>
      </c>
      <c r="AX46" s="39">
        <f>SUM(AX9:AX45)</f>
        <v>2350711.1669262</v>
      </c>
      <c r="AY46" s="39">
        <f>SUM(AY9:AY45)</f>
        <v>162921.64542411605</v>
      </c>
      <c r="BA46" s="39">
        <f>SUM(BA9:BA45)</f>
        <v>51136.04300000001</v>
      </c>
      <c r="BB46" s="39">
        <f>SUM(BB9:BB45)</f>
        <v>20049.031287600006</v>
      </c>
      <c r="BC46" s="39">
        <f>SUM(BC9:BC45)</f>
        <v>71185.0742876</v>
      </c>
      <c r="BD46" s="39">
        <f>SUM(BD9:BD45)</f>
        <v>4933.651396968001</v>
      </c>
      <c r="BF46" s="39">
        <f>SUM(BF9:BF45)</f>
        <v>3355617.5139999995</v>
      </c>
      <c r="BG46" s="39">
        <f>SUM(BG9:BG45)</f>
        <v>1315645.024144799</v>
      </c>
      <c r="BH46" s="39">
        <f>SUM(BH9:BH45)</f>
        <v>4671262.5381448</v>
      </c>
      <c r="BI46" s="39">
        <f>SUM(BI9:BI45)</f>
        <v>323752.994255664</v>
      </c>
    </row>
    <row r="47" spans="8:61" ht="13.5" thickTop="1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F47"/>
      <c r="BG47"/>
      <c r="BH47"/>
      <c r="BI47"/>
    </row>
    <row r="48" spans="8:61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F48"/>
      <c r="BG48"/>
      <c r="BH48"/>
      <c r="BI48"/>
    </row>
    <row r="49" spans="8:61" ht="12.75"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F49"/>
      <c r="BG49"/>
      <c r="BH49"/>
      <c r="BI49"/>
    </row>
    <row r="50" spans="8:61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F50"/>
      <c r="BG50"/>
      <c r="BH50"/>
      <c r="BI50"/>
    </row>
    <row r="51" spans="8:61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F51"/>
      <c r="BG51"/>
      <c r="BH51"/>
      <c r="BI51"/>
    </row>
    <row r="52" spans="8:61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F52"/>
      <c r="BG52"/>
      <c r="BH52"/>
      <c r="BI52"/>
    </row>
    <row r="53" spans="8:61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F53"/>
      <c r="BG53"/>
      <c r="BH53"/>
      <c r="BI53"/>
    </row>
    <row r="54" spans="1:61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F54"/>
      <c r="BG54"/>
      <c r="BH54"/>
      <c r="BI54"/>
    </row>
    <row r="55" spans="1:61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F55"/>
      <c r="BG55"/>
      <c r="BH55"/>
      <c r="BI55"/>
    </row>
    <row r="56" spans="1:61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F56"/>
      <c r="BG56"/>
      <c r="BH56"/>
      <c r="BI56"/>
    </row>
    <row r="57" spans="1:61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F57"/>
      <c r="BG57"/>
      <c r="BH57"/>
      <c r="BI57"/>
    </row>
    <row r="58" spans="1:61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F58"/>
      <c r="BG58"/>
      <c r="BH58"/>
      <c r="BI58"/>
    </row>
    <row r="59" spans="1:61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F59"/>
      <c r="BG59"/>
      <c r="BH59"/>
      <c r="BI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</sheetData>
  <sheetProtection/>
  <printOptions/>
  <pageMargins left="0.75" right="0" top="0" bottom="0" header="0.5" footer="0"/>
  <pageSetup horizontalDpi="600" verticalDpi="600" orientation="landscape" scale="90" r:id="rId1"/>
  <headerFooter alignWithMargins="0">
    <oddFooter>&amp;CPage &amp;P of &amp;N&amp;R&amp;D</oddFooter>
  </headerFooter>
  <colBreaks count="4" manualBreakCount="4">
    <brk id="22" max="65535" man="1"/>
    <brk id="32" max="65535" man="1"/>
    <brk id="42" max="65535" man="1"/>
    <brk id="5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CO32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26" sqref="O26"/>
    </sheetView>
  </sheetViews>
  <sheetFormatPr defaultColWidth="9.14062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4.14062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</cols>
  <sheetData>
    <row r="1" spans="1:93" ht="12.75">
      <c r="A1" s="1"/>
      <c r="B1" s="2"/>
      <c r="D1" s="4"/>
      <c r="H1" s="4" t="s">
        <v>27</v>
      </c>
      <c r="W1" s="4" t="s">
        <v>27</v>
      </c>
      <c r="AL1" s="4" t="s">
        <v>27</v>
      </c>
      <c r="BA1" s="4" t="s">
        <v>27</v>
      </c>
      <c r="BP1" s="4" t="s">
        <v>27</v>
      </c>
      <c r="BU1" s="4"/>
      <c r="CE1" s="4" t="s">
        <v>27</v>
      </c>
      <c r="CJ1" s="4"/>
      <c r="CO1" s="4"/>
    </row>
    <row r="2" spans="1:93" ht="12.75">
      <c r="A2" s="1"/>
      <c r="B2" s="2"/>
      <c r="D2" s="4"/>
      <c r="H2" s="4" t="s">
        <v>26</v>
      </c>
      <c r="W2" s="4" t="s">
        <v>26</v>
      </c>
      <c r="AL2" s="4" t="s">
        <v>26</v>
      </c>
      <c r="BA2" s="4" t="s">
        <v>26</v>
      </c>
      <c r="BP2" s="4" t="s">
        <v>26</v>
      </c>
      <c r="BU2" s="4"/>
      <c r="CE2" s="4" t="s">
        <v>26</v>
      </c>
      <c r="CJ2" s="4"/>
      <c r="CO2" s="4"/>
    </row>
    <row r="3" spans="1:93" ht="12.75">
      <c r="A3" s="1"/>
      <c r="B3" s="2"/>
      <c r="D3" s="7"/>
      <c r="H3" s="80" t="s">
        <v>83</v>
      </c>
      <c r="W3" s="80" t="s">
        <v>83</v>
      </c>
      <c r="AL3" s="80" t="s">
        <v>83</v>
      </c>
      <c r="BA3" s="80" t="s">
        <v>83</v>
      </c>
      <c r="BP3" s="80" t="s">
        <v>83</v>
      </c>
      <c r="BU3" s="80"/>
      <c r="CE3" s="80" t="s">
        <v>83</v>
      </c>
      <c r="CJ3" s="80"/>
      <c r="CO3" s="80"/>
    </row>
    <row r="4" spans="1:4" ht="12.75">
      <c r="A4" s="1"/>
      <c r="B4" s="2"/>
      <c r="C4" s="7"/>
      <c r="D4" s="4"/>
    </row>
    <row r="5" spans="1:91" ht="12.75">
      <c r="A5" s="9" t="s">
        <v>0</v>
      </c>
      <c r="C5" s="81" t="s">
        <v>81</v>
      </c>
      <c r="D5" s="10"/>
      <c r="E5" s="11"/>
      <c r="F5" s="111"/>
      <c r="H5" s="76" t="s">
        <v>112</v>
      </c>
      <c r="I5" s="13"/>
      <c r="J5" s="14"/>
      <c r="K5" s="34"/>
      <c r="M5" s="74" t="s">
        <v>33</v>
      </c>
      <c r="N5" s="13"/>
      <c r="O5" s="14"/>
      <c r="P5" s="34"/>
      <c r="Q5" s="34"/>
      <c r="R5" s="74" t="s">
        <v>33</v>
      </c>
      <c r="S5" s="13"/>
      <c r="T5" s="14"/>
      <c r="U5" s="34"/>
      <c r="W5" s="41" t="s">
        <v>5</v>
      </c>
      <c r="X5" s="72"/>
      <c r="Y5" s="73"/>
      <c r="Z5" s="112"/>
      <c r="AB5" s="41" t="s">
        <v>140</v>
      </c>
      <c r="AC5" s="72"/>
      <c r="AD5" s="73"/>
      <c r="AE5" s="112"/>
      <c r="AG5" s="109" t="s">
        <v>169</v>
      </c>
      <c r="AH5" s="72"/>
      <c r="AI5" s="73"/>
      <c r="AJ5" s="112"/>
      <c r="AL5" s="12" t="s">
        <v>6</v>
      </c>
      <c r="AM5" s="13"/>
      <c r="AN5" s="14"/>
      <c r="AO5" s="34"/>
      <c r="AQ5" s="12" t="s">
        <v>148</v>
      </c>
      <c r="AR5" s="13"/>
      <c r="AS5" s="14"/>
      <c r="AT5" s="34"/>
      <c r="AV5" s="12" t="s">
        <v>149</v>
      </c>
      <c r="AW5" s="13"/>
      <c r="AX5" s="14"/>
      <c r="AY5" s="34"/>
      <c r="BA5" s="41" t="s">
        <v>104</v>
      </c>
      <c r="BB5" s="13"/>
      <c r="BC5" s="14"/>
      <c r="BD5" s="34"/>
      <c r="BF5" s="12" t="s">
        <v>105</v>
      </c>
      <c r="BG5" s="13"/>
      <c r="BH5" s="14"/>
      <c r="BI5" s="34"/>
      <c r="BK5" s="12" t="s">
        <v>141</v>
      </c>
      <c r="BL5" s="13"/>
      <c r="BM5" s="14"/>
      <c r="BN5" s="34"/>
      <c r="BP5" s="12" t="s">
        <v>106</v>
      </c>
      <c r="BQ5" s="13"/>
      <c r="BR5" s="14"/>
      <c r="BS5" s="34"/>
      <c r="BU5" s="12" t="s">
        <v>107</v>
      </c>
      <c r="BV5" s="13"/>
      <c r="BW5" s="14"/>
      <c r="BX5" s="34"/>
      <c r="BZ5" s="12" t="s">
        <v>108</v>
      </c>
      <c r="CA5" s="13"/>
      <c r="CB5" s="14"/>
      <c r="CC5" s="34"/>
      <c r="CE5" s="12" t="s">
        <v>109</v>
      </c>
      <c r="CF5" s="13"/>
      <c r="CG5" s="14"/>
      <c r="CH5" s="34"/>
      <c r="CJ5" s="19" t="s">
        <v>74</v>
      </c>
      <c r="CK5" s="17"/>
      <c r="CL5" s="18"/>
      <c r="CM5" s="20"/>
    </row>
    <row r="6" spans="1:91" ht="12.75">
      <c r="A6" s="21" t="s">
        <v>1</v>
      </c>
      <c r="B6" s="8"/>
      <c r="C6" s="84" t="s">
        <v>111</v>
      </c>
      <c r="D6" s="85"/>
      <c r="E6" s="86"/>
      <c r="F6" s="30" t="s">
        <v>174</v>
      </c>
      <c r="H6" s="22"/>
      <c r="I6" s="28">
        <f>N6+S6+X6+AC6+AH6+AM6+AR6+AW6+BB6+BG6+BL6+BQ6+BV6+CA6+CF6</f>
        <v>1</v>
      </c>
      <c r="J6" s="110"/>
      <c r="K6" s="30" t="s">
        <v>174</v>
      </c>
      <c r="M6" s="42">
        <v>0.3552547</v>
      </c>
      <c r="N6" s="8">
        <v>0.3914061</v>
      </c>
      <c r="O6" s="24"/>
      <c r="P6" s="30" t="s">
        <v>174</v>
      </c>
      <c r="Q6" s="67"/>
      <c r="R6" s="42">
        <v>0</v>
      </c>
      <c r="S6" s="8">
        <v>0.0008907</v>
      </c>
      <c r="T6" s="24"/>
      <c r="U6" s="30" t="s">
        <v>174</v>
      </c>
      <c r="W6" s="42">
        <v>0.0502378</v>
      </c>
      <c r="X6" s="8">
        <v>0.2579949</v>
      </c>
      <c r="Y6" s="24"/>
      <c r="Z6" s="30" t="s">
        <v>174</v>
      </c>
      <c r="AB6" s="42">
        <v>0.0010507</v>
      </c>
      <c r="AC6" s="8">
        <v>0.0310923</v>
      </c>
      <c r="AD6" s="24"/>
      <c r="AE6" s="30" t="s">
        <v>174</v>
      </c>
      <c r="AG6" s="42">
        <v>0</v>
      </c>
      <c r="AH6" s="8">
        <v>0.0175987</v>
      </c>
      <c r="AI6" s="24"/>
      <c r="AJ6" s="30" t="s">
        <v>174</v>
      </c>
      <c r="AL6" s="42">
        <v>0.0163735</v>
      </c>
      <c r="AM6" s="8">
        <v>0.013896</v>
      </c>
      <c r="AN6" s="24"/>
      <c r="AO6" s="30" t="s">
        <v>174</v>
      </c>
      <c r="AQ6" s="42">
        <v>0.0632531</v>
      </c>
      <c r="AR6" s="23">
        <v>0.0632531</v>
      </c>
      <c r="AS6" s="24"/>
      <c r="AT6" s="30" t="s">
        <v>174</v>
      </c>
      <c r="AV6" s="42">
        <v>0.0019664</v>
      </c>
      <c r="AW6" s="23">
        <v>0.0032787</v>
      </c>
      <c r="AX6" s="24"/>
      <c r="AY6" s="30" t="s">
        <v>174</v>
      </c>
      <c r="BA6" s="42">
        <v>0.0122632</v>
      </c>
      <c r="BB6" s="23">
        <v>0.0612595</v>
      </c>
      <c r="BC6" s="24"/>
      <c r="BD6" s="30" t="s">
        <v>174</v>
      </c>
      <c r="BF6" s="42">
        <v>0.0105386</v>
      </c>
      <c r="BG6" s="8">
        <v>0.0269884</v>
      </c>
      <c r="BH6" s="24"/>
      <c r="BI6" s="30" t="s">
        <v>174</v>
      </c>
      <c r="BK6" s="42">
        <v>0.0027643</v>
      </c>
      <c r="BL6" s="8">
        <v>0.0027643</v>
      </c>
      <c r="BM6" s="24"/>
      <c r="BN6" s="30" t="s">
        <v>174</v>
      </c>
      <c r="BP6" s="42">
        <v>0.0264537</v>
      </c>
      <c r="BQ6" s="8">
        <v>0.0518373</v>
      </c>
      <c r="BR6" s="24"/>
      <c r="BS6" s="30" t="s">
        <v>174</v>
      </c>
      <c r="BU6" s="42">
        <v>0.0016845</v>
      </c>
      <c r="BV6" s="8">
        <v>0.0036562</v>
      </c>
      <c r="BW6" s="24"/>
      <c r="BX6" s="30" t="s">
        <v>174</v>
      </c>
      <c r="BZ6" s="42">
        <v>0.0112749</v>
      </c>
      <c r="CA6" s="8">
        <v>0.0489635</v>
      </c>
      <c r="CB6" s="24"/>
      <c r="CC6" s="30" t="s">
        <v>174</v>
      </c>
      <c r="CE6" s="42">
        <v>0.0167893</v>
      </c>
      <c r="CF6" s="8">
        <v>0.0251203</v>
      </c>
      <c r="CG6" s="24"/>
      <c r="CH6" s="30" t="s">
        <v>174</v>
      </c>
      <c r="CJ6" s="26">
        <v>0.4300952</v>
      </c>
      <c r="CK6" s="27"/>
      <c r="CL6" s="24"/>
      <c r="CM6" s="30" t="s">
        <v>174</v>
      </c>
    </row>
    <row r="7" spans="1:91" ht="12.75">
      <c r="A7" s="21"/>
      <c r="B7" s="8"/>
      <c r="C7" s="41"/>
      <c r="D7" s="13"/>
      <c r="E7" s="40"/>
      <c r="F7" s="30" t="s">
        <v>175</v>
      </c>
      <c r="H7" s="22"/>
      <c r="I7" s="23"/>
      <c r="J7" s="110"/>
      <c r="K7" s="30" t="s">
        <v>175</v>
      </c>
      <c r="M7" s="42"/>
      <c r="N7" s="23"/>
      <c r="O7" s="24"/>
      <c r="P7" s="30" t="s">
        <v>175</v>
      </c>
      <c r="Q7" s="67"/>
      <c r="R7" s="42"/>
      <c r="S7" s="23"/>
      <c r="T7" s="24"/>
      <c r="U7" s="30" t="s">
        <v>175</v>
      </c>
      <c r="W7" s="42"/>
      <c r="X7" s="23"/>
      <c r="Y7" s="24"/>
      <c r="Z7" s="30" t="s">
        <v>175</v>
      </c>
      <c r="AB7" s="42"/>
      <c r="AC7" s="23"/>
      <c r="AD7" s="24"/>
      <c r="AE7" s="30" t="s">
        <v>175</v>
      </c>
      <c r="AG7" s="42"/>
      <c r="AH7" s="23"/>
      <c r="AI7" s="24"/>
      <c r="AJ7" s="30" t="s">
        <v>175</v>
      </c>
      <c r="AL7" s="42"/>
      <c r="AM7" s="23"/>
      <c r="AN7" s="24"/>
      <c r="AO7" s="30" t="s">
        <v>175</v>
      </c>
      <c r="AQ7" s="42"/>
      <c r="AR7" s="8"/>
      <c r="AS7" s="24"/>
      <c r="AT7" s="30" t="s">
        <v>175</v>
      </c>
      <c r="AV7" s="42"/>
      <c r="AW7" s="8"/>
      <c r="AX7" s="24"/>
      <c r="AY7" s="30" t="s">
        <v>175</v>
      </c>
      <c r="BA7" s="42"/>
      <c r="BB7" s="8"/>
      <c r="BC7" s="24"/>
      <c r="BD7" s="30" t="s">
        <v>175</v>
      </c>
      <c r="BF7" s="42"/>
      <c r="BG7" s="23"/>
      <c r="BH7" s="24"/>
      <c r="BI7" s="30" t="s">
        <v>175</v>
      </c>
      <c r="BK7" s="42"/>
      <c r="BL7" s="23"/>
      <c r="BM7" s="24"/>
      <c r="BN7" s="30" t="s">
        <v>175</v>
      </c>
      <c r="BP7" s="42"/>
      <c r="BQ7" s="23"/>
      <c r="BR7" s="24"/>
      <c r="BS7" s="30" t="s">
        <v>175</v>
      </c>
      <c r="BU7" s="42"/>
      <c r="BV7" s="23"/>
      <c r="BW7" s="24"/>
      <c r="BX7" s="30" t="s">
        <v>175</v>
      </c>
      <c r="BZ7" s="42"/>
      <c r="CA7" s="23"/>
      <c r="CB7" s="24"/>
      <c r="CC7" s="30" t="s">
        <v>175</v>
      </c>
      <c r="CE7" s="42"/>
      <c r="CF7" s="23"/>
      <c r="CG7" s="24"/>
      <c r="CH7" s="30" t="s">
        <v>175</v>
      </c>
      <c r="CJ7" s="26"/>
      <c r="CK7" s="27"/>
      <c r="CL7" s="24"/>
      <c r="CM7" s="30" t="s">
        <v>175</v>
      </c>
    </row>
    <row r="8" spans="1:91" ht="12.75">
      <c r="A8" s="29"/>
      <c r="C8" s="30" t="s">
        <v>2</v>
      </c>
      <c r="D8" s="30" t="s">
        <v>3</v>
      </c>
      <c r="E8" s="30" t="s">
        <v>4</v>
      </c>
      <c r="F8" s="30" t="s">
        <v>4</v>
      </c>
      <c r="H8" s="30" t="s">
        <v>2</v>
      </c>
      <c r="I8" s="30" t="s">
        <v>3</v>
      </c>
      <c r="J8" s="30" t="s">
        <v>4</v>
      </c>
      <c r="K8" s="30" t="s">
        <v>4</v>
      </c>
      <c r="M8" s="30" t="s">
        <v>2</v>
      </c>
      <c r="N8" s="30" t="s">
        <v>3</v>
      </c>
      <c r="O8" s="30" t="s">
        <v>4</v>
      </c>
      <c r="P8" s="30" t="s">
        <v>4</v>
      </c>
      <c r="Q8" s="79"/>
      <c r="R8" s="30" t="s">
        <v>2</v>
      </c>
      <c r="S8" s="30" t="s">
        <v>3</v>
      </c>
      <c r="T8" s="30" t="s">
        <v>4</v>
      </c>
      <c r="U8" s="30" t="s">
        <v>4</v>
      </c>
      <c r="W8" s="30" t="s">
        <v>2</v>
      </c>
      <c r="X8" s="30" t="s">
        <v>3</v>
      </c>
      <c r="Y8" s="30" t="s">
        <v>4</v>
      </c>
      <c r="Z8" s="30" t="s">
        <v>4</v>
      </c>
      <c r="AB8" s="30" t="s">
        <v>2</v>
      </c>
      <c r="AC8" s="30" t="s">
        <v>3</v>
      </c>
      <c r="AD8" s="30" t="s">
        <v>4</v>
      </c>
      <c r="AE8" s="30" t="s">
        <v>4</v>
      </c>
      <c r="AG8" s="30" t="s">
        <v>2</v>
      </c>
      <c r="AH8" s="30" t="s">
        <v>3</v>
      </c>
      <c r="AI8" s="30" t="s">
        <v>4</v>
      </c>
      <c r="AJ8" s="30" t="s">
        <v>4</v>
      </c>
      <c r="AL8" s="30" t="s">
        <v>2</v>
      </c>
      <c r="AM8" s="30" t="s">
        <v>3</v>
      </c>
      <c r="AN8" s="30" t="s">
        <v>4</v>
      </c>
      <c r="AO8" s="30" t="s">
        <v>4</v>
      </c>
      <c r="AQ8" s="30" t="s">
        <v>2</v>
      </c>
      <c r="AR8" s="30" t="s">
        <v>3</v>
      </c>
      <c r="AS8" s="30" t="s">
        <v>4</v>
      </c>
      <c r="AT8" s="30" t="s">
        <v>4</v>
      </c>
      <c r="AV8" s="30" t="s">
        <v>2</v>
      </c>
      <c r="AW8" s="30" t="s">
        <v>3</v>
      </c>
      <c r="AX8" s="30" t="s">
        <v>4</v>
      </c>
      <c r="AY8" s="30" t="s">
        <v>4</v>
      </c>
      <c r="BA8" s="30" t="s">
        <v>2</v>
      </c>
      <c r="BB8" s="30" t="s">
        <v>3</v>
      </c>
      <c r="BC8" s="30" t="s">
        <v>4</v>
      </c>
      <c r="BD8" s="30" t="s">
        <v>4</v>
      </c>
      <c r="BF8" s="30" t="s">
        <v>2</v>
      </c>
      <c r="BG8" s="30" t="s">
        <v>3</v>
      </c>
      <c r="BH8" s="30" t="s">
        <v>4</v>
      </c>
      <c r="BI8" s="30" t="s">
        <v>4</v>
      </c>
      <c r="BK8" s="30" t="s">
        <v>2</v>
      </c>
      <c r="BL8" s="30" t="s">
        <v>3</v>
      </c>
      <c r="BM8" s="30" t="s">
        <v>4</v>
      </c>
      <c r="BN8" s="30" t="s">
        <v>4</v>
      </c>
      <c r="BP8" s="30" t="s">
        <v>2</v>
      </c>
      <c r="BQ8" s="30" t="s">
        <v>3</v>
      </c>
      <c r="BR8" s="30" t="s">
        <v>4</v>
      </c>
      <c r="BS8" s="30" t="s">
        <v>4</v>
      </c>
      <c r="BU8" s="30" t="s">
        <v>2</v>
      </c>
      <c r="BV8" s="30" t="s">
        <v>3</v>
      </c>
      <c r="BW8" s="30" t="s">
        <v>4</v>
      </c>
      <c r="BX8" s="30" t="s">
        <v>4</v>
      </c>
      <c r="BZ8" s="30" t="s">
        <v>2</v>
      </c>
      <c r="CA8" s="30" t="s">
        <v>3</v>
      </c>
      <c r="CB8" s="30" t="s">
        <v>4</v>
      </c>
      <c r="CC8" s="30" t="s">
        <v>4</v>
      </c>
      <c r="CE8" s="30" t="s">
        <v>2</v>
      </c>
      <c r="CF8" s="30" t="s">
        <v>3</v>
      </c>
      <c r="CG8" s="30" t="s">
        <v>4</v>
      </c>
      <c r="CH8" s="30" t="s">
        <v>4</v>
      </c>
      <c r="CJ8" s="31" t="s">
        <v>2</v>
      </c>
      <c r="CK8" s="31" t="s">
        <v>3</v>
      </c>
      <c r="CL8" s="31" t="s">
        <v>4</v>
      </c>
      <c r="CM8" s="30" t="s">
        <v>4</v>
      </c>
    </row>
    <row r="9" spans="1:91" ht="12.75">
      <c r="A9" s="36">
        <v>44470</v>
      </c>
      <c r="D9" s="3">
        <v>420750</v>
      </c>
      <c r="E9" s="34">
        <f aca="true" t="shared" si="0" ref="E9:E24">C9+D9</f>
        <v>420750</v>
      </c>
      <c r="F9" s="3">
        <v>103496</v>
      </c>
      <c r="H9" s="43"/>
      <c r="I9" s="35">
        <f aca="true" t="shared" si="1" ref="I9:K24">N9+S9+X9+AC9+AH9+AM9+AR9+AW9+BB9+BG9+BL9+BQ9+BV9+CA9+CF9</f>
        <v>420750</v>
      </c>
      <c r="J9" s="35">
        <f aca="true" t="shared" si="2" ref="J9:J24">H9+I9</f>
        <v>420750</v>
      </c>
      <c r="K9" s="35">
        <f t="shared" si="1"/>
        <v>103496.00000000001</v>
      </c>
      <c r="M9" s="35"/>
      <c r="N9" s="35">
        <f aca="true" t="shared" si="3" ref="N9:N24">D9*$N$6</f>
        <v>164684.116575</v>
      </c>
      <c r="O9" s="35">
        <f aca="true" t="shared" si="4" ref="O9:O24">M9+N9</f>
        <v>164684.116575</v>
      </c>
      <c r="P9" s="34">
        <f aca="true" t="shared" si="5" ref="P9:P24">$F9*N$6</f>
        <v>40508.9657256</v>
      </c>
      <c r="Q9" s="35"/>
      <c r="R9" s="35"/>
      <c r="S9" s="35">
        <f aca="true" t="shared" si="6" ref="S9:S24">D9*$S$6</f>
        <v>374.762025</v>
      </c>
      <c r="T9" s="35">
        <f aca="true" t="shared" si="7" ref="T9:T24">R9+S9</f>
        <v>374.762025</v>
      </c>
      <c r="U9" s="34">
        <f aca="true" t="shared" si="8" ref="U9:U24">$F9*S$6</f>
        <v>92.1838872</v>
      </c>
      <c r="W9" s="35"/>
      <c r="X9" s="35">
        <f aca="true" t="shared" si="9" ref="X9:X24">D9*$X$6</f>
        <v>108551.35417500001</v>
      </c>
      <c r="Y9" s="5">
        <f aca="true" t="shared" si="10" ref="Y9:Y24">W9+X9</f>
        <v>108551.35417500001</v>
      </c>
      <c r="Z9" s="34">
        <f aca="true" t="shared" si="11" ref="Z9:Z24">$F9*X$6</f>
        <v>26701.4401704</v>
      </c>
      <c r="AB9" s="35"/>
      <c r="AC9" s="35">
        <f aca="true" t="shared" si="12" ref="AC9:AC24">D9*$AC$6</f>
        <v>13082.085225</v>
      </c>
      <c r="AD9" s="5">
        <f aca="true" t="shared" si="13" ref="AD9:AD24">AB9+AC9</f>
        <v>13082.085225</v>
      </c>
      <c r="AE9" s="34">
        <f aca="true" t="shared" si="14" ref="AE9:AE24">$F9*AC$6</f>
        <v>3217.9286808</v>
      </c>
      <c r="AG9" s="35"/>
      <c r="AH9" s="35">
        <f aca="true" t="shared" si="15" ref="AH9:AH24">D9*$AH$6</f>
        <v>7404.653025</v>
      </c>
      <c r="AI9" s="5">
        <f aca="true" t="shared" si="16" ref="AI9:AI24">AG9+AH9</f>
        <v>7404.653025</v>
      </c>
      <c r="AJ9" s="34">
        <f aca="true" t="shared" si="17" ref="AJ9:AJ24">$F9*AH$6</f>
        <v>1821.3950552</v>
      </c>
      <c r="AL9" s="35"/>
      <c r="AM9" s="35">
        <f aca="true" t="shared" si="18" ref="AM9:AM24">D9*$AM$6</f>
        <v>5846.742</v>
      </c>
      <c r="AN9" s="5">
        <f aca="true" t="shared" si="19" ref="AN9:AN24">AL9+AM9</f>
        <v>5846.742</v>
      </c>
      <c r="AO9" s="34">
        <f aca="true" t="shared" si="20" ref="AO9:AO24">$F9*AM$6</f>
        <v>1438.1804160000002</v>
      </c>
      <c r="AQ9" s="35"/>
      <c r="AR9" s="35">
        <f aca="true" t="shared" si="21" ref="AR9:AR24">D9*$AR$6</f>
        <v>26613.741825</v>
      </c>
      <c r="AS9" s="35">
        <f aca="true" t="shared" si="22" ref="AS9:AS24">AQ9+AR9</f>
        <v>26613.741825</v>
      </c>
      <c r="AT9" s="34">
        <f aca="true" t="shared" si="23" ref="AT9:AT24">$F9*AR$6</f>
        <v>6546.4428376000005</v>
      </c>
      <c r="AV9" s="35"/>
      <c r="AW9" s="35">
        <f aca="true" t="shared" si="24" ref="AW9:AW24">D9*$AW$6</f>
        <v>1379.513025</v>
      </c>
      <c r="AX9" s="5">
        <f aca="true" t="shared" si="25" ref="AX9:AX24">AV9+AW9</f>
        <v>1379.513025</v>
      </c>
      <c r="AY9" s="34">
        <f aca="true" t="shared" si="26" ref="AY9:AY24">$F9*AW$6</f>
        <v>339.3323352</v>
      </c>
      <c r="BA9" s="35"/>
      <c r="BB9" s="35">
        <f aca="true" t="shared" si="27" ref="BB9:BB24">D9*$BB$6</f>
        <v>25774.934625</v>
      </c>
      <c r="BC9" s="5">
        <f aca="true" t="shared" si="28" ref="BC9:BC24">BA9+BB9</f>
        <v>25774.934625</v>
      </c>
      <c r="BD9" s="34">
        <f aca="true" t="shared" si="29" ref="BD9:BD24">$F9*BB$6</f>
        <v>6340.113212</v>
      </c>
      <c r="BF9" s="35"/>
      <c r="BG9" s="35">
        <f aca="true" t="shared" si="30" ref="BG9:BG24">D9*$BG$6</f>
        <v>11355.3693</v>
      </c>
      <c r="BH9" s="5">
        <f aca="true" t="shared" si="31" ref="BH9:BH24">BF9+BG9</f>
        <v>11355.3693</v>
      </c>
      <c r="BI9" s="34">
        <f aca="true" t="shared" si="32" ref="BI9:BI24">$F9*BG$6</f>
        <v>2793.1914464</v>
      </c>
      <c r="BK9" s="35"/>
      <c r="BL9" s="35">
        <f aca="true" t="shared" si="33" ref="BL9:BL24">D9*$BL$6</f>
        <v>1163.079225</v>
      </c>
      <c r="BM9" s="5">
        <f aca="true" t="shared" si="34" ref="BM9:BM24">BK9+BL9</f>
        <v>1163.079225</v>
      </c>
      <c r="BN9" s="34">
        <f aca="true" t="shared" si="35" ref="BN9:BN24">$F9*BL$6</f>
        <v>286.09399279999997</v>
      </c>
      <c r="BP9" s="35"/>
      <c r="BQ9" s="35">
        <f aca="true" t="shared" si="36" ref="BQ9:BQ24">D9*$BQ$6</f>
        <v>21810.543975</v>
      </c>
      <c r="BR9" s="5">
        <f aca="true" t="shared" si="37" ref="BR9:BR24">BP9+BQ9</f>
        <v>21810.543975</v>
      </c>
      <c r="BS9" s="34">
        <f aca="true" t="shared" si="38" ref="BS9:BS24">$F9*BQ$6</f>
        <v>5364.953200800001</v>
      </c>
      <c r="BU9" s="35"/>
      <c r="BV9" s="35">
        <f aca="true" t="shared" si="39" ref="BV9:BV24">D9*$BV$6</f>
        <v>1538.34615</v>
      </c>
      <c r="BW9" s="5">
        <f aca="true" t="shared" si="40" ref="BW9:BW24">BU9+BV9</f>
        <v>1538.34615</v>
      </c>
      <c r="BX9" s="34">
        <f aca="true" t="shared" si="41" ref="BX9:BX24">$F9*BV$6</f>
        <v>378.4020752</v>
      </c>
      <c r="BZ9" s="35"/>
      <c r="CA9" s="35">
        <f aca="true" t="shared" si="42" ref="CA9:CA24">D9*$CA$6</f>
        <v>20601.392625</v>
      </c>
      <c r="CB9" s="5">
        <f aca="true" t="shared" si="43" ref="CB9:CB24">BZ9+CA9</f>
        <v>20601.392625</v>
      </c>
      <c r="CC9" s="34">
        <f aca="true" t="shared" si="44" ref="CC9:CC24">$F9*CA$6</f>
        <v>5067.526396</v>
      </c>
      <c r="CE9" s="35"/>
      <c r="CF9" s="35">
        <f aca="true" t="shared" si="45" ref="CF9:CF24">D9*$CF$6</f>
        <v>10569.366225000002</v>
      </c>
      <c r="CG9" s="5">
        <f aca="true" t="shared" si="46" ref="CG9:CG24">CE9+CF9</f>
        <v>10569.366225000002</v>
      </c>
      <c r="CH9" s="34">
        <f aca="true" t="shared" si="47" ref="CH9:CH24">$F9*CF$6</f>
        <v>2599.8505688</v>
      </c>
      <c r="CK9" s="35"/>
      <c r="CL9" s="35">
        <f aca="true" t="shared" si="48" ref="CL9:CL24">CJ9+CK9</f>
        <v>0</v>
      </c>
      <c r="CM9" s="34">
        <f aca="true" t="shared" si="49" ref="CM9:CM24">$F9*CK$6</f>
        <v>0</v>
      </c>
    </row>
    <row r="10" spans="1:91" ht="12.75">
      <c r="A10" s="36">
        <v>44652</v>
      </c>
      <c r="C10" s="3">
        <v>1765000</v>
      </c>
      <c r="D10" s="3">
        <v>420750</v>
      </c>
      <c r="E10" s="34">
        <f t="shared" si="0"/>
        <v>2185750</v>
      </c>
      <c r="F10" s="3">
        <v>103496</v>
      </c>
      <c r="H10" s="43">
        <f aca="true" t="shared" si="50" ref="H10:H24">M10+R10+W10+AB10+AG10+AL10+AQ10+AV10+BA10+BF10+BK10+BP10+BU10+BZ10+CE10</f>
        <v>1765000</v>
      </c>
      <c r="I10" s="35">
        <f t="shared" si="1"/>
        <v>420750</v>
      </c>
      <c r="J10" s="35">
        <f t="shared" si="2"/>
        <v>2185750</v>
      </c>
      <c r="K10" s="35">
        <f t="shared" si="1"/>
        <v>103496.00000000001</v>
      </c>
      <c r="M10" s="35">
        <f aca="true" t="shared" si="51" ref="M10:M24">C10*$N$6</f>
        <v>690831.7664999999</v>
      </c>
      <c r="N10" s="35">
        <f t="shared" si="3"/>
        <v>164684.116575</v>
      </c>
      <c r="O10" s="35">
        <f t="shared" si="4"/>
        <v>855515.8830749999</v>
      </c>
      <c r="P10" s="34">
        <f t="shared" si="5"/>
        <v>40508.9657256</v>
      </c>
      <c r="Q10" s="35"/>
      <c r="R10" s="35">
        <f aca="true" t="shared" si="52" ref="R10:R24">C10*$S$6</f>
        <v>1572.0855000000001</v>
      </c>
      <c r="S10" s="35">
        <f t="shared" si="6"/>
        <v>374.762025</v>
      </c>
      <c r="T10" s="35">
        <f t="shared" si="7"/>
        <v>1946.8475250000001</v>
      </c>
      <c r="U10" s="34">
        <f t="shared" si="8"/>
        <v>92.1838872</v>
      </c>
      <c r="W10" s="35">
        <f aca="true" t="shared" si="53" ref="W10:W24">C10*$X$6</f>
        <v>455360.99850000005</v>
      </c>
      <c r="X10" s="35">
        <f t="shared" si="9"/>
        <v>108551.35417500001</v>
      </c>
      <c r="Y10" s="5">
        <f t="shared" si="10"/>
        <v>563912.3526750001</v>
      </c>
      <c r="Z10" s="34">
        <f t="shared" si="11"/>
        <v>26701.4401704</v>
      </c>
      <c r="AB10" s="35">
        <f aca="true" t="shared" si="54" ref="AB10:AB24">C10*$AC$6</f>
        <v>54877.9095</v>
      </c>
      <c r="AC10" s="35">
        <f t="shared" si="12"/>
        <v>13082.085225</v>
      </c>
      <c r="AD10" s="5">
        <f t="shared" si="13"/>
        <v>67959.994725</v>
      </c>
      <c r="AE10" s="34">
        <f t="shared" si="14"/>
        <v>3217.9286808</v>
      </c>
      <c r="AG10" s="35">
        <f aca="true" t="shared" si="55" ref="AG10:AG24">C10*$AH$6</f>
        <v>31061.705499999996</v>
      </c>
      <c r="AH10" s="35">
        <f t="shared" si="15"/>
        <v>7404.653025</v>
      </c>
      <c r="AI10" s="5">
        <f t="shared" si="16"/>
        <v>38466.358524999996</v>
      </c>
      <c r="AJ10" s="34">
        <f t="shared" si="17"/>
        <v>1821.3950552</v>
      </c>
      <c r="AL10" s="35">
        <f aca="true" t="shared" si="56" ref="AL10:AL24">C10*$AM$6</f>
        <v>24526.440000000002</v>
      </c>
      <c r="AM10" s="35">
        <f t="shared" si="18"/>
        <v>5846.742</v>
      </c>
      <c r="AN10" s="5">
        <f t="shared" si="19"/>
        <v>30373.182</v>
      </c>
      <c r="AO10" s="34">
        <f t="shared" si="20"/>
        <v>1438.1804160000002</v>
      </c>
      <c r="AQ10" s="35">
        <f aca="true" t="shared" si="57" ref="AQ10:AQ24">C10*$AR$6</f>
        <v>111641.72150000001</v>
      </c>
      <c r="AR10" s="35">
        <f t="shared" si="21"/>
        <v>26613.741825</v>
      </c>
      <c r="AS10" s="35">
        <f t="shared" si="22"/>
        <v>138255.46332500002</v>
      </c>
      <c r="AT10" s="34">
        <f t="shared" si="23"/>
        <v>6546.4428376000005</v>
      </c>
      <c r="AV10" s="35">
        <f aca="true" t="shared" si="58" ref="AV10:AV24">C10*$AW$6</f>
        <v>5786.9055</v>
      </c>
      <c r="AW10" s="35">
        <f t="shared" si="24"/>
        <v>1379.513025</v>
      </c>
      <c r="AX10" s="5">
        <f t="shared" si="25"/>
        <v>7166.418525</v>
      </c>
      <c r="AY10" s="34">
        <f t="shared" si="26"/>
        <v>339.3323352</v>
      </c>
      <c r="BA10" s="35">
        <f aca="true" t="shared" si="59" ref="BA10:BA24">C10*$BB$6</f>
        <v>108123.0175</v>
      </c>
      <c r="BB10" s="35">
        <f t="shared" si="27"/>
        <v>25774.934625</v>
      </c>
      <c r="BC10" s="5">
        <f t="shared" si="28"/>
        <v>133897.952125</v>
      </c>
      <c r="BD10" s="34">
        <f t="shared" si="29"/>
        <v>6340.113212</v>
      </c>
      <c r="BF10" s="35">
        <f aca="true" t="shared" si="60" ref="BF10:BF24">C10*$BG$6</f>
        <v>47634.526</v>
      </c>
      <c r="BG10" s="35">
        <f t="shared" si="30"/>
        <v>11355.3693</v>
      </c>
      <c r="BH10" s="5">
        <f t="shared" si="31"/>
        <v>58989.8953</v>
      </c>
      <c r="BI10" s="34">
        <f t="shared" si="32"/>
        <v>2793.1914464</v>
      </c>
      <c r="BK10" s="35">
        <f aca="true" t="shared" si="61" ref="BK10:BK24">C10*$BL$6</f>
        <v>4878.9895</v>
      </c>
      <c r="BL10" s="35">
        <f t="shared" si="33"/>
        <v>1163.079225</v>
      </c>
      <c r="BM10" s="5">
        <f t="shared" si="34"/>
        <v>6042.068724999999</v>
      </c>
      <c r="BN10" s="34">
        <f t="shared" si="35"/>
        <v>286.09399279999997</v>
      </c>
      <c r="BP10" s="35">
        <f aca="true" t="shared" si="62" ref="BP10:BP24">C10*$BQ$6</f>
        <v>91492.83450000001</v>
      </c>
      <c r="BQ10" s="35">
        <f t="shared" si="36"/>
        <v>21810.543975</v>
      </c>
      <c r="BR10" s="5">
        <f t="shared" si="37"/>
        <v>113303.378475</v>
      </c>
      <c r="BS10" s="34">
        <f t="shared" si="38"/>
        <v>5364.953200800001</v>
      </c>
      <c r="BU10" s="35">
        <f aca="true" t="shared" si="63" ref="BU10:BU24">C10*$BV$6</f>
        <v>6453.193</v>
      </c>
      <c r="BV10" s="35">
        <f t="shared" si="39"/>
        <v>1538.34615</v>
      </c>
      <c r="BW10" s="5">
        <f t="shared" si="40"/>
        <v>7991.5391500000005</v>
      </c>
      <c r="BX10" s="34">
        <f t="shared" si="41"/>
        <v>378.4020752</v>
      </c>
      <c r="BZ10" s="35">
        <f aca="true" t="shared" si="64" ref="BZ10:BZ24">C10*$CA$6</f>
        <v>86420.5775</v>
      </c>
      <c r="CA10" s="35">
        <f t="shared" si="42"/>
        <v>20601.392625</v>
      </c>
      <c r="CB10" s="5">
        <f t="shared" si="43"/>
        <v>107021.97012499999</v>
      </c>
      <c r="CC10" s="34">
        <f t="shared" si="44"/>
        <v>5067.526396</v>
      </c>
      <c r="CE10" s="35">
        <f aca="true" t="shared" si="65" ref="CE10:CE24">C10*$CF$6</f>
        <v>44337.3295</v>
      </c>
      <c r="CF10" s="35">
        <f t="shared" si="45"/>
        <v>10569.366225000002</v>
      </c>
      <c r="CG10" s="5">
        <f t="shared" si="46"/>
        <v>54906.695725</v>
      </c>
      <c r="CH10" s="34">
        <f t="shared" si="47"/>
        <v>2599.8505688</v>
      </c>
      <c r="CK10" s="35"/>
      <c r="CL10" s="35">
        <f t="shared" si="48"/>
        <v>0</v>
      </c>
      <c r="CM10" s="34">
        <f t="shared" si="49"/>
        <v>0</v>
      </c>
    </row>
    <row r="11" spans="1:91" ht="12.75">
      <c r="A11" s="36">
        <v>44835</v>
      </c>
      <c r="D11" s="3">
        <v>376625</v>
      </c>
      <c r="E11" s="34">
        <f t="shared" si="0"/>
        <v>376625</v>
      </c>
      <c r="F11" s="3">
        <v>103496</v>
      </c>
      <c r="H11" s="43"/>
      <c r="I11" s="35">
        <f t="shared" si="1"/>
        <v>376624.99999999994</v>
      </c>
      <c r="J11" s="35">
        <f t="shared" si="2"/>
        <v>376624.99999999994</v>
      </c>
      <c r="K11" s="35">
        <f t="shared" si="1"/>
        <v>103496.00000000001</v>
      </c>
      <c r="M11" s="35"/>
      <c r="N11" s="35">
        <f t="shared" si="3"/>
        <v>147413.32241249998</v>
      </c>
      <c r="O11" s="35">
        <f t="shared" si="4"/>
        <v>147413.32241249998</v>
      </c>
      <c r="P11" s="34">
        <f t="shared" si="5"/>
        <v>40508.9657256</v>
      </c>
      <c r="Q11" s="35"/>
      <c r="R11" s="35"/>
      <c r="S11" s="35">
        <f t="shared" si="6"/>
        <v>335.4598875</v>
      </c>
      <c r="T11" s="35">
        <f t="shared" si="7"/>
        <v>335.4598875</v>
      </c>
      <c r="U11" s="34">
        <f t="shared" si="8"/>
        <v>92.1838872</v>
      </c>
      <c r="W11" s="35"/>
      <c r="X11" s="35">
        <f t="shared" si="9"/>
        <v>97167.32921250002</v>
      </c>
      <c r="Y11" s="5">
        <f t="shared" si="10"/>
        <v>97167.32921250002</v>
      </c>
      <c r="Z11" s="34">
        <f t="shared" si="11"/>
        <v>26701.4401704</v>
      </c>
      <c r="AB11" s="35"/>
      <c r="AC11" s="35">
        <f t="shared" si="12"/>
        <v>11710.1374875</v>
      </c>
      <c r="AD11" s="5">
        <f t="shared" si="13"/>
        <v>11710.1374875</v>
      </c>
      <c r="AE11" s="34">
        <f t="shared" si="14"/>
        <v>3217.9286808</v>
      </c>
      <c r="AG11" s="35"/>
      <c r="AH11" s="35">
        <f t="shared" si="15"/>
        <v>6628.110387499999</v>
      </c>
      <c r="AI11" s="5">
        <f t="shared" si="16"/>
        <v>6628.110387499999</v>
      </c>
      <c r="AJ11" s="34">
        <f t="shared" si="17"/>
        <v>1821.3950552</v>
      </c>
      <c r="AL11" s="35"/>
      <c r="AM11" s="35">
        <f t="shared" si="18"/>
        <v>5233.581</v>
      </c>
      <c r="AN11" s="5">
        <f t="shared" si="19"/>
        <v>5233.581</v>
      </c>
      <c r="AO11" s="34">
        <f t="shared" si="20"/>
        <v>1438.1804160000002</v>
      </c>
      <c r="AQ11" s="35"/>
      <c r="AR11" s="35">
        <f t="shared" si="21"/>
        <v>23822.6987875</v>
      </c>
      <c r="AS11" s="35">
        <f t="shared" si="22"/>
        <v>23822.6987875</v>
      </c>
      <c r="AT11" s="34">
        <f t="shared" si="23"/>
        <v>6546.4428376000005</v>
      </c>
      <c r="AV11" s="35"/>
      <c r="AW11" s="35">
        <f t="shared" si="24"/>
        <v>1234.8403875</v>
      </c>
      <c r="AX11" s="5">
        <f t="shared" si="25"/>
        <v>1234.8403875</v>
      </c>
      <c r="AY11" s="34">
        <f t="shared" si="26"/>
        <v>339.3323352</v>
      </c>
      <c r="BA11" s="35"/>
      <c r="BB11" s="35">
        <f t="shared" si="27"/>
        <v>23071.859187500002</v>
      </c>
      <c r="BC11" s="5">
        <f t="shared" si="28"/>
        <v>23071.859187500002</v>
      </c>
      <c r="BD11" s="34">
        <f t="shared" si="29"/>
        <v>6340.113212</v>
      </c>
      <c r="BF11" s="35"/>
      <c r="BG11" s="35">
        <f t="shared" si="30"/>
        <v>10164.50615</v>
      </c>
      <c r="BH11" s="5">
        <f t="shared" si="31"/>
        <v>10164.50615</v>
      </c>
      <c r="BI11" s="34">
        <f t="shared" si="32"/>
        <v>2793.1914464</v>
      </c>
      <c r="BK11" s="35"/>
      <c r="BL11" s="35">
        <f t="shared" si="33"/>
        <v>1041.1044875</v>
      </c>
      <c r="BM11" s="5">
        <f t="shared" si="34"/>
        <v>1041.1044875</v>
      </c>
      <c r="BN11" s="34">
        <f t="shared" si="35"/>
        <v>286.09399279999997</v>
      </c>
      <c r="BP11" s="35"/>
      <c r="BQ11" s="35">
        <f t="shared" si="36"/>
        <v>19523.2231125</v>
      </c>
      <c r="BR11" s="5">
        <f t="shared" si="37"/>
        <v>19523.2231125</v>
      </c>
      <c r="BS11" s="34">
        <f t="shared" si="38"/>
        <v>5364.953200800001</v>
      </c>
      <c r="BU11" s="35"/>
      <c r="BV11" s="35">
        <f t="shared" si="39"/>
        <v>1377.016325</v>
      </c>
      <c r="BW11" s="5">
        <f t="shared" si="40"/>
        <v>1377.016325</v>
      </c>
      <c r="BX11" s="34">
        <f t="shared" si="41"/>
        <v>378.4020752</v>
      </c>
      <c r="BZ11" s="35"/>
      <c r="CA11" s="35">
        <f t="shared" si="42"/>
        <v>18440.8781875</v>
      </c>
      <c r="CB11" s="5">
        <f t="shared" si="43"/>
        <v>18440.8781875</v>
      </c>
      <c r="CC11" s="34">
        <f t="shared" si="44"/>
        <v>5067.526396</v>
      </c>
      <c r="CE11" s="35"/>
      <c r="CF11" s="35">
        <f t="shared" si="45"/>
        <v>9460.9329875</v>
      </c>
      <c r="CG11" s="5">
        <f t="shared" si="46"/>
        <v>9460.9329875</v>
      </c>
      <c r="CH11" s="34">
        <f t="shared" si="47"/>
        <v>2599.8505688</v>
      </c>
      <c r="CK11" s="35"/>
      <c r="CL11" s="35">
        <f t="shared" si="48"/>
        <v>0</v>
      </c>
      <c r="CM11" s="34">
        <f t="shared" si="49"/>
        <v>0</v>
      </c>
    </row>
    <row r="12" spans="1:91" ht="12.75">
      <c r="A12" s="36">
        <v>45017</v>
      </c>
      <c r="C12" s="3">
        <v>1850000</v>
      </c>
      <c r="D12" s="3">
        <v>376625</v>
      </c>
      <c r="E12" s="34">
        <f t="shared" si="0"/>
        <v>2226625</v>
      </c>
      <c r="F12" s="3">
        <v>103496</v>
      </c>
      <c r="H12" s="43">
        <f t="shared" si="50"/>
        <v>1850000</v>
      </c>
      <c r="I12" s="35">
        <f t="shared" si="1"/>
        <v>376624.99999999994</v>
      </c>
      <c r="J12" s="35">
        <f t="shared" si="2"/>
        <v>2226625</v>
      </c>
      <c r="K12" s="35">
        <f t="shared" si="1"/>
        <v>103496.00000000001</v>
      </c>
      <c r="M12" s="35">
        <f t="shared" si="51"/>
        <v>724101.2849999999</v>
      </c>
      <c r="N12" s="35">
        <f t="shared" si="3"/>
        <v>147413.32241249998</v>
      </c>
      <c r="O12" s="35">
        <f t="shared" si="4"/>
        <v>871514.6074124998</v>
      </c>
      <c r="P12" s="34">
        <f t="shared" si="5"/>
        <v>40508.9657256</v>
      </c>
      <c r="Q12" s="35"/>
      <c r="R12" s="35">
        <f t="shared" si="52"/>
        <v>1647.795</v>
      </c>
      <c r="S12" s="35">
        <f t="shared" si="6"/>
        <v>335.4598875</v>
      </c>
      <c r="T12" s="35">
        <f t="shared" si="7"/>
        <v>1983.2548875</v>
      </c>
      <c r="U12" s="34">
        <f t="shared" si="8"/>
        <v>92.1838872</v>
      </c>
      <c r="W12" s="35">
        <f t="shared" si="53"/>
        <v>477290.56500000006</v>
      </c>
      <c r="X12" s="35">
        <f t="shared" si="9"/>
        <v>97167.32921250002</v>
      </c>
      <c r="Y12" s="5">
        <f t="shared" si="10"/>
        <v>574457.8942125001</v>
      </c>
      <c r="Z12" s="34">
        <f t="shared" si="11"/>
        <v>26701.4401704</v>
      </c>
      <c r="AB12" s="35">
        <f t="shared" si="54"/>
        <v>57520.755</v>
      </c>
      <c r="AC12" s="35">
        <f t="shared" si="12"/>
        <v>11710.1374875</v>
      </c>
      <c r="AD12" s="5">
        <f t="shared" si="13"/>
        <v>69230.8924875</v>
      </c>
      <c r="AE12" s="34">
        <f t="shared" si="14"/>
        <v>3217.9286808</v>
      </c>
      <c r="AG12" s="35">
        <f t="shared" si="55"/>
        <v>32557.594999999998</v>
      </c>
      <c r="AH12" s="35">
        <f t="shared" si="15"/>
        <v>6628.110387499999</v>
      </c>
      <c r="AI12" s="5">
        <f t="shared" si="16"/>
        <v>39185.7053875</v>
      </c>
      <c r="AJ12" s="34">
        <f t="shared" si="17"/>
        <v>1821.3950552</v>
      </c>
      <c r="AL12" s="35">
        <f t="shared" si="56"/>
        <v>25707.600000000002</v>
      </c>
      <c r="AM12" s="35">
        <f t="shared" si="18"/>
        <v>5233.581</v>
      </c>
      <c r="AN12" s="5">
        <f t="shared" si="19"/>
        <v>30941.181000000004</v>
      </c>
      <c r="AO12" s="34">
        <f t="shared" si="20"/>
        <v>1438.1804160000002</v>
      </c>
      <c r="AQ12" s="35">
        <f t="shared" si="57"/>
        <v>117018.23500000002</v>
      </c>
      <c r="AR12" s="35">
        <f t="shared" si="21"/>
        <v>23822.6987875</v>
      </c>
      <c r="AS12" s="35">
        <f t="shared" si="22"/>
        <v>140840.93378750002</v>
      </c>
      <c r="AT12" s="34">
        <f t="shared" si="23"/>
        <v>6546.4428376000005</v>
      </c>
      <c r="AV12" s="35">
        <f t="shared" si="58"/>
        <v>6065.594999999999</v>
      </c>
      <c r="AW12" s="35">
        <f t="shared" si="24"/>
        <v>1234.8403875</v>
      </c>
      <c r="AX12" s="5">
        <f t="shared" si="25"/>
        <v>7300.4353875</v>
      </c>
      <c r="AY12" s="34">
        <f t="shared" si="26"/>
        <v>339.3323352</v>
      </c>
      <c r="BA12" s="35">
        <f t="shared" si="59"/>
        <v>113330.075</v>
      </c>
      <c r="BB12" s="35">
        <f t="shared" si="27"/>
        <v>23071.859187500002</v>
      </c>
      <c r="BC12" s="5">
        <f t="shared" si="28"/>
        <v>136401.9341875</v>
      </c>
      <c r="BD12" s="34">
        <f t="shared" si="29"/>
        <v>6340.113212</v>
      </c>
      <c r="BF12" s="35">
        <f t="shared" si="60"/>
        <v>49928.54</v>
      </c>
      <c r="BG12" s="35">
        <f t="shared" si="30"/>
        <v>10164.50615</v>
      </c>
      <c r="BH12" s="5">
        <f t="shared" si="31"/>
        <v>60093.04615</v>
      </c>
      <c r="BI12" s="34">
        <f t="shared" si="32"/>
        <v>2793.1914464</v>
      </c>
      <c r="BK12" s="35">
        <f t="shared" si="61"/>
        <v>5113.955</v>
      </c>
      <c r="BL12" s="35">
        <f t="shared" si="33"/>
        <v>1041.1044875</v>
      </c>
      <c r="BM12" s="5">
        <f t="shared" si="34"/>
        <v>6155.0594875</v>
      </c>
      <c r="BN12" s="34">
        <f t="shared" si="35"/>
        <v>286.09399279999997</v>
      </c>
      <c r="BP12" s="35">
        <f t="shared" si="62"/>
        <v>95899.005</v>
      </c>
      <c r="BQ12" s="35">
        <f t="shared" si="36"/>
        <v>19523.2231125</v>
      </c>
      <c r="BR12" s="5">
        <f t="shared" si="37"/>
        <v>115422.2281125</v>
      </c>
      <c r="BS12" s="34">
        <f t="shared" si="38"/>
        <v>5364.953200800001</v>
      </c>
      <c r="BU12" s="35">
        <f t="shared" si="63"/>
        <v>6763.97</v>
      </c>
      <c r="BV12" s="35">
        <f t="shared" si="39"/>
        <v>1377.016325</v>
      </c>
      <c r="BW12" s="5">
        <f t="shared" si="40"/>
        <v>8140.986325</v>
      </c>
      <c r="BX12" s="34">
        <f t="shared" si="41"/>
        <v>378.4020752</v>
      </c>
      <c r="BZ12" s="35">
        <f t="shared" si="64"/>
        <v>90582.475</v>
      </c>
      <c r="CA12" s="35">
        <f t="shared" si="42"/>
        <v>18440.8781875</v>
      </c>
      <c r="CB12" s="5">
        <f t="shared" si="43"/>
        <v>109023.3531875</v>
      </c>
      <c r="CC12" s="34">
        <f t="shared" si="44"/>
        <v>5067.526396</v>
      </c>
      <c r="CE12" s="35">
        <f t="shared" si="65"/>
        <v>46472.555</v>
      </c>
      <c r="CF12" s="35">
        <f t="shared" si="45"/>
        <v>9460.9329875</v>
      </c>
      <c r="CG12" s="5">
        <f t="shared" si="46"/>
        <v>55933.487987500004</v>
      </c>
      <c r="CH12" s="34">
        <f t="shared" si="47"/>
        <v>2599.8505688</v>
      </c>
      <c r="CK12" s="35"/>
      <c r="CL12" s="35">
        <f t="shared" si="48"/>
        <v>0</v>
      </c>
      <c r="CM12" s="34">
        <f t="shared" si="49"/>
        <v>0</v>
      </c>
    </row>
    <row r="13" spans="1:91" ht="12.75">
      <c r="A13" s="36">
        <v>45200</v>
      </c>
      <c r="D13" s="3">
        <v>330375</v>
      </c>
      <c r="E13" s="34">
        <f t="shared" si="0"/>
        <v>330375</v>
      </c>
      <c r="F13" s="3">
        <v>103496</v>
      </c>
      <c r="H13" s="43"/>
      <c r="I13" s="35">
        <f t="shared" si="1"/>
        <v>330375</v>
      </c>
      <c r="J13" s="35">
        <f t="shared" si="2"/>
        <v>330375</v>
      </c>
      <c r="K13" s="35">
        <f t="shared" si="1"/>
        <v>103496.00000000001</v>
      </c>
      <c r="M13" s="35"/>
      <c r="N13" s="35">
        <f t="shared" si="3"/>
        <v>129310.7902875</v>
      </c>
      <c r="O13" s="35">
        <f t="shared" si="4"/>
        <v>129310.7902875</v>
      </c>
      <c r="P13" s="34">
        <f t="shared" si="5"/>
        <v>40508.9657256</v>
      </c>
      <c r="Q13" s="35"/>
      <c r="R13" s="35"/>
      <c r="S13" s="35">
        <f t="shared" si="6"/>
        <v>294.2650125</v>
      </c>
      <c r="T13" s="35">
        <f t="shared" si="7"/>
        <v>294.2650125</v>
      </c>
      <c r="U13" s="34">
        <f t="shared" si="8"/>
        <v>92.1838872</v>
      </c>
      <c r="W13" s="35"/>
      <c r="X13" s="35">
        <f t="shared" si="9"/>
        <v>85235.06508750001</v>
      </c>
      <c r="Y13" s="5">
        <f t="shared" si="10"/>
        <v>85235.06508750001</v>
      </c>
      <c r="Z13" s="34">
        <f t="shared" si="11"/>
        <v>26701.4401704</v>
      </c>
      <c r="AB13" s="35"/>
      <c r="AC13" s="35">
        <f t="shared" si="12"/>
        <v>10272.1186125</v>
      </c>
      <c r="AD13" s="5">
        <f t="shared" si="13"/>
        <v>10272.1186125</v>
      </c>
      <c r="AE13" s="34">
        <f t="shared" si="14"/>
        <v>3217.9286808</v>
      </c>
      <c r="AG13" s="35"/>
      <c r="AH13" s="35">
        <f t="shared" si="15"/>
        <v>5814.1705125</v>
      </c>
      <c r="AI13" s="5">
        <f t="shared" si="16"/>
        <v>5814.1705125</v>
      </c>
      <c r="AJ13" s="34">
        <f t="shared" si="17"/>
        <v>1821.3950552</v>
      </c>
      <c r="AL13" s="35"/>
      <c r="AM13" s="35">
        <f t="shared" si="18"/>
        <v>4590.8910000000005</v>
      </c>
      <c r="AN13" s="5">
        <f t="shared" si="19"/>
        <v>4590.8910000000005</v>
      </c>
      <c r="AO13" s="34">
        <f t="shared" si="20"/>
        <v>1438.1804160000002</v>
      </c>
      <c r="AQ13" s="35"/>
      <c r="AR13" s="35">
        <f t="shared" si="21"/>
        <v>20897.2429125</v>
      </c>
      <c r="AS13" s="35">
        <f t="shared" si="22"/>
        <v>20897.2429125</v>
      </c>
      <c r="AT13" s="34">
        <f t="shared" si="23"/>
        <v>6546.4428376000005</v>
      </c>
      <c r="AV13" s="35"/>
      <c r="AW13" s="35">
        <f t="shared" si="24"/>
        <v>1083.2005125</v>
      </c>
      <c r="AX13" s="5">
        <f t="shared" si="25"/>
        <v>1083.2005125</v>
      </c>
      <c r="AY13" s="34">
        <f t="shared" si="26"/>
        <v>339.3323352</v>
      </c>
      <c r="BA13" s="35"/>
      <c r="BB13" s="35">
        <f t="shared" si="27"/>
        <v>20238.6073125</v>
      </c>
      <c r="BC13" s="5">
        <f t="shared" si="28"/>
        <v>20238.6073125</v>
      </c>
      <c r="BD13" s="34">
        <f t="shared" si="29"/>
        <v>6340.113212</v>
      </c>
      <c r="BF13" s="35"/>
      <c r="BG13" s="35">
        <f t="shared" si="30"/>
        <v>8916.29265</v>
      </c>
      <c r="BH13" s="5">
        <f t="shared" si="31"/>
        <v>8916.29265</v>
      </c>
      <c r="BI13" s="34">
        <f t="shared" si="32"/>
        <v>2793.1914464</v>
      </c>
      <c r="BK13" s="35"/>
      <c r="BL13" s="35">
        <f t="shared" si="33"/>
        <v>913.2556125</v>
      </c>
      <c r="BM13" s="5">
        <f t="shared" si="34"/>
        <v>913.2556125</v>
      </c>
      <c r="BN13" s="34">
        <f t="shared" si="35"/>
        <v>286.09399279999997</v>
      </c>
      <c r="BP13" s="35"/>
      <c r="BQ13" s="35">
        <f t="shared" si="36"/>
        <v>17125.747987500003</v>
      </c>
      <c r="BR13" s="5">
        <f t="shared" si="37"/>
        <v>17125.747987500003</v>
      </c>
      <c r="BS13" s="34">
        <f t="shared" si="38"/>
        <v>5364.953200800001</v>
      </c>
      <c r="BU13" s="35"/>
      <c r="BV13" s="35">
        <f t="shared" si="39"/>
        <v>1207.917075</v>
      </c>
      <c r="BW13" s="5">
        <f t="shared" si="40"/>
        <v>1207.917075</v>
      </c>
      <c r="BX13" s="34">
        <f t="shared" si="41"/>
        <v>378.4020752</v>
      </c>
      <c r="BZ13" s="35"/>
      <c r="CA13" s="35">
        <f t="shared" si="42"/>
        <v>16176.3163125</v>
      </c>
      <c r="CB13" s="5">
        <f t="shared" si="43"/>
        <v>16176.3163125</v>
      </c>
      <c r="CC13" s="34">
        <f t="shared" si="44"/>
        <v>5067.526396</v>
      </c>
      <c r="CE13" s="35"/>
      <c r="CF13" s="35">
        <f t="shared" si="45"/>
        <v>8299.1191125</v>
      </c>
      <c r="CG13" s="5">
        <f t="shared" si="46"/>
        <v>8299.1191125</v>
      </c>
      <c r="CH13" s="34">
        <f t="shared" si="47"/>
        <v>2599.8505688</v>
      </c>
      <c r="CK13" s="35"/>
      <c r="CL13" s="35">
        <f t="shared" si="48"/>
        <v>0</v>
      </c>
      <c r="CM13" s="34">
        <f t="shared" si="49"/>
        <v>0</v>
      </c>
    </row>
    <row r="14" spans="1:91" ht="12.75">
      <c r="A14" s="36">
        <v>45383</v>
      </c>
      <c r="B14" s="37"/>
      <c r="C14" s="3">
        <v>1945000</v>
      </c>
      <c r="D14" s="3">
        <v>330375</v>
      </c>
      <c r="E14" s="34">
        <f t="shared" si="0"/>
        <v>2275375</v>
      </c>
      <c r="F14" s="3">
        <v>103496</v>
      </c>
      <c r="H14" s="43">
        <f t="shared" si="50"/>
        <v>1945000</v>
      </c>
      <c r="I14" s="35">
        <f t="shared" si="1"/>
        <v>330375</v>
      </c>
      <c r="J14" s="35">
        <f t="shared" si="2"/>
        <v>2275375</v>
      </c>
      <c r="K14" s="35">
        <f t="shared" si="1"/>
        <v>103496.00000000001</v>
      </c>
      <c r="M14" s="35">
        <f t="shared" si="51"/>
        <v>761284.8644999999</v>
      </c>
      <c r="N14" s="35">
        <f t="shared" si="3"/>
        <v>129310.7902875</v>
      </c>
      <c r="O14" s="35">
        <f t="shared" si="4"/>
        <v>890595.6547874999</v>
      </c>
      <c r="P14" s="34">
        <f t="shared" si="5"/>
        <v>40508.9657256</v>
      </c>
      <c r="Q14" s="35"/>
      <c r="R14" s="35">
        <f t="shared" si="52"/>
        <v>1732.4115</v>
      </c>
      <c r="S14" s="35">
        <f t="shared" si="6"/>
        <v>294.2650125</v>
      </c>
      <c r="T14" s="35">
        <f t="shared" si="7"/>
        <v>2026.6765125</v>
      </c>
      <c r="U14" s="34">
        <f t="shared" si="8"/>
        <v>92.1838872</v>
      </c>
      <c r="W14" s="35">
        <f t="shared" si="53"/>
        <v>501800.08050000004</v>
      </c>
      <c r="X14" s="35">
        <f t="shared" si="9"/>
        <v>85235.06508750001</v>
      </c>
      <c r="Y14" s="5">
        <f t="shared" si="10"/>
        <v>587035.1455875001</v>
      </c>
      <c r="Z14" s="34">
        <f t="shared" si="11"/>
        <v>26701.4401704</v>
      </c>
      <c r="AB14" s="35">
        <f t="shared" si="54"/>
        <v>60474.5235</v>
      </c>
      <c r="AC14" s="35">
        <f t="shared" si="12"/>
        <v>10272.1186125</v>
      </c>
      <c r="AD14" s="5">
        <f t="shared" si="13"/>
        <v>70746.6421125</v>
      </c>
      <c r="AE14" s="34">
        <f t="shared" si="14"/>
        <v>3217.9286808</v>
      </c>
      <c r="AG14" s="35">
        <f t="shared" si="55"/>
        <v>34229.4715</v>
      </c>
      <c r="AH14" s="35">
        <f t="shared" si="15"/>
        <v>5814.1705125</v>
      </c>
      <c r="AI14" s="5">
        <f t="shared" si="16"/>
        <v>40043.6420125</v>
      </c>
      <c r="AJ14" s="34">
        <f t="shared" si="17"/>
        <v>1821.3950552</v>
      </c>
      <c r="AL14" s="35">
        <f t="shared" si="56"/>
        <v>27027.72</v>
      </c>
      <c r="AM14" s="35">
        <f t="shared" si="18"/>
        <v>4590.8910000000005</v>
      </c>
      <c r="AN14" s="5">
        <f t="shared" si="19"/>
        <v>31618.611</v>
      </c>
      <c r="AO14" s="34">
        <f t="shared" si="20"/>
        <v>1438.1804160000002</v>
      </c>
      <c r="AQ14" s="35">
        <f t="shared" si="57"/>
        <v>123027.27950000002</v>
      </c>
      <c r="AR14" s="35">
        <f t="shared" si="21"/>
        <v>20897.2429125</v>
      </c>
      <c r="AS14" s="35">
        <f t="shared" si="22"/>
        <v>143924.52241250002</v>
      </c>
      <c r="AT14" s="34">
        <f t="shared" si="23"/>
        <v>6546.4428376000005</v>
      </c>
      <c r="AV14" s="35">
        <f t="shared" si="58"/>
        <v>6377.0715</v>
      </c>
      <c r="AW14" s="35">
        <f t="shared" si="24"/>
        <v>1083.2005125</v>
      </c>
      <c r="AX14" s="5">
        <f t="shared" si="25"/>
        <v>7460.2720125</v>
      </c>
      <c r="AY14" s="34">
        <f t="shared" si="26"/>
        <v>339.3323352</v>
      </c>
      <c r="BA14" s="35">
        <f t="shared" si="59"/>
        <v>119149.72750000001</v>
      </c>
      <c r="BB14" s="35">
        <f t="shared" si="27"/>
        <v>20238.6073125</v>
      </c>
      <c r="BC14" s="5">
        <f t="shared" si="28"/>
        <v>139388.33481250002</v>
      </c>
      <c r="BD14" s="34">
        <f t="shared" si="29"/>
        <v>6340.113212</v>
      </c>
      <c r="BF14" s="35">
        <f t="shared" si="60"/>
        <v>52492.438</v>
      </c>
      <c r="BG14" s="35">
        <f t="shared" si="30"/>
        <v>8916.29265</v>
      </c>
      <c r="BH14" s="5">
        <f t="shared" si="31"/>
        <v>61408.73065</v>
      </c>
      <c r="BI14" s="34">
        <f t="shared" si="32"/>
        <v>2793.1914464</v>
      </c>
      <c r="BK14" s="35">
        <f t="shared" si="61"/>
        <v>5376.5635</v>
      </c>
      <c r="BL14" s="35">
        <f t="shared" si="33"/>
        <v>913.2556125</v>
      </c>
      <c r="BM14" s="5">
        <f t="shared" si="34"/>
        <v>6289.8191125</v>
      </c>
      <c r="BN14" s="34">
        <f t="shared" si="35"/>
        <v>286.09399279999997</v>
      </c>
      <c r="BP14" s="35">
        <f t="shared" si="62"/>
        <v>100823.5485</v>
      </c>
      <c r="BQ14" s="35">
        <f t="shared" si="36"/>
        <v>17125.747987500003</v>
      </c>
      <c r="BR14" s="5">
        <f t="shared" si="37"/>
        <v>117949.2964875</v>
      </c>
      <c r="BS14" s="34">
        <f t="shared" si="38"/>
        <v>5364.953200800001</v>
      </c>
      <c r="BU14" s="35">
        <f t="shared" si="63"/>
        <v>7111.309</v>
      </c>
      <c r="BV14" s="35">
        <f t="shared" si="39"/>
        <v>1207.917075</v>
      </c>
      <c r="BW14" s="5">
        <f t="shared" si="40"/>
        <v>8319.226075</v>
      </c>
      <c r="BX14" s="34">
        <f t="shared" si="41"/>
        <v>378.4020752</v>
      </c>
      <c r="BZ14" s="35">
        <f t="shared" si="64"/>
        <v>95234.0075</v>
      </c>
      <c r="CA14" s="35">
        <f t="shared" si="42"/>
        <v>16176.3163125</v>
      </c>
      <c r="CB14" s="5">
        <f t="shared" si="43"/>
        <v>111410.3238125</v>
      </c>
      <c r="CC14" s="34">
        <f t="shared" si="44"/>
        <v>5067.526396</v>
      </c>
      <c r="CE14" s="35">
        <f t="shared" si="65"/>
        <v>48858.9835</v>
      </c>
      <c r="CF14" s="35">
        <f t="shared" si="45"/>
        <v>8299.1191125</v>
      </c>
      <c r="CG14" s="5">
        <f t="shared" si="46"/>
        <v>57158.102612500006</v>
      </c>
      <c r="CH14" s="34">
        <f t="shared" si="47"/>
        <v>2599.8505688</v>
      </c>
      <c r="CK14" s="35"/>
      <c r="CL14" s="35">
        <f t="shared" si="48"/>
        <v>0</v>
      </c>
      <c r="CM14" s="34">
        <f t="shared" si="49"/>
        <v>0</v>
      </c>
    </row>
    <row r="15" spans="1:91" ht="12.75">
      <c r="A15" s="36">
        <v>45566</v>
      </c>
      <c r="D15" s="3">
        <v>281750</v>
      </c>
      <c r="E15" s="34">
        <f t="shared" si="0"/>
        <v>281750</v>
      </c>
      <c r="F15" s="3">
        <v>103496</v>
      </c>
      <c r="H15" s="43"/>
      <c r="I15" s="35">
        <f t="shared" si="1"/>
        <v>281750</v>
      </c>
      <c r="J15" s="35">
        <f t="shared" si="2"/>
        <v>281750</v>
      </c>
      <c r="K15" s="35">
        <f t="shared" si="1"/>
        <v>103496.00000000001</v>
      </c>
      <c r="M15" s="35"/>
      <c r="N15" s="35">
        <f t="shared" si="3"/>
        <v>110278.668675</v>
      </c>
      <c r="O15" s="35">
        <f t="shared" si="4"/>
        <v>110278.668675</v>
      </c>
      <c r="P15" s="34">
        <f t="shared" si="5"/>
        <v>40508.9657256</v>
      </c>
      <c r="Q15" s="35"/>
      <c r="R15" s="35"/>
      <c r="S15" s="35">
        <f t="shared" si="6"/>
        <v>250.954725</v>
      </c>
      <c r="T15" s="35">
        <f t="shared" si="7"/>
        <v>250.954725</v>
      </c>
      <c r="U15" s="34">
        <f t="shared" si="8"/>
        <v>92.1838872</v>
      </c>
      <c r="W15" s="35"/>
      <c r="X15" s="35">
        <f t="shared" si="9"/>
        <v>72690.06307500001</v>
      </c>
      <c r="Y15" s="5">
        <f t="shared" si="10"/>
        <v>72690.06307500001</v>
      </c>
      <c r="Z15" s="34">
        <f t="shared" si="11"/>
        <v>26701.4401704</v>
      </c>
      <c r="AB15" s="35"/>
      <c r="AC15" s="35">
        <f t="shared" si="12"/>
        <v>8760.255525</v>
      </c>
      <c r="AD15" s="5">
        <f t="shared" si="13"/>
        <v>8760.255525</v>
      </c>
      <c r="AE15" s="34">
        <f t="shared" si="14"/>
        <v>3217.9286808</v>
      </c>
      <c r="AG15" s="35"/>
      <c r="AH15" s="35">
        <f t="shared" si="15"/>
        <v>4958.433725</v>
      </c>
      <c r="AI15" s="5">
        <f t="shared" si="16"/>
        <v>4958.433725</v>
      </c>
      <c r="AJ15" s="34">
        <f t="shared" si="17"/>
        <v>1821.3950552</v>
      </c>
      <c r="AL15" s="35"/>
      <c r="AM15" s="35">
        <f t="shared" si="18"/>
        <v>3915.1980000000003</v>
      </c>
      <c r="AN15" s="5">
        <f t="shared" si="19"/>
        <v>3915.1980000000003</v>
      </c>
      <c r="AO15" s="34">
        <f t="shared" si="20"/>
        <v>1438.1804160000002</v>
      </c>
      <c r="AQ15" s="35"/>
      <c r="AR15" s="35">
        <f t="shared" si="21"/>
        <v>17821.560925</v>
      </c>
      <c r="AS15" s="35">
        <f t="shared" si="22"/>
        <v>17821.560925</v>
      </c>
      <c r="AT15" s="34">
        <f t="shared" si="23"/>
        <v>6546.4428376000005</v>
      </c>
      <c r="AV15" s="35"/>
      <c r="AW15" s="35">
        <f t="shared" si="24"/>
        <v>923.7737249999999</v>
      </c>
      <c r="AX15" s="5">
        <f t="shared" si="25"/>
        <v>923.7737249999999</v>
      </c>
      <c r="AY15" s="34">
        <f t="shared" si="26"/>
        <v>339.3323352</v>
      </c>
      <c r="BA15" s="35"/>
      <c r="BB15" s="35">
        <f t="shared" si="27"/>
        <v>17259.864125</v>
      </c>
      <c r="BC15" s="5">
        <f t="shared" si="28"/>
        <v>17259.864125</v>
      </c>
      <c r="BD15" s="34">
        <f t="shared" si="29"/>
        <v>6340.113212</v>
      </c>
      <c r="BF15" s="35"/>
      <c r="BG15" s="35">
        <f t="shared" si="30"/>
        <v>7603.981699999999</v>
      </c>
      <c r="BH15" s="5">
        <f t="shared" si="31"/>
        <v>7603.981699999999</v>
      </c>
      <c r="BI15" s="34">
        <f t="shared" si="32"/>
        <v>2793.1914464</v>
      </c>
      <c r="BK15" s="35"/>
      <c r="BL15" s="35">
        <f t="shared" si="33"/>
        <v>778.8415249999999</v>
      </c>
      <c r="BM15" s="5">
        <f t="shared" si="34"/>
        <v>778.8415249999999</v>
      </c>
      <c r="BN15" s="34">
        <f t="shared" si="35"/>
        <v>286.09399279999997</v>
      </c>
      <c r="BP15" s="35"/>
      <c r="BQ15" s="35">
        <f t="shared" si="36"/>
        <v>14605.159275</v>
      </c>
      <c r="BR15" s="5">
        <f t="shared" si="37"/>
        <v>14605.159275</v>
      </c>
      <c r="BS15" s="34">
        <f t="shared" si="38"/>
        <v>5364.953200800001</v>
      </c>
      <c r="BU15" s="35"/>
      <c r="BV15" s="35">
        <f t="shared" si="39"/>
        <v>1030.13435</v>
      </c>
      <c r="BW15" s="5">
        <f t="shared" si="40"/>
        <v>1030.13435</v>
      </c>
      <c r="BX15" s="34">
        <f t="shared" si="41"/>
        <v>378.4020752</v>
      </c>
      <c r="BZ15" s="35"/>
      <c r="CA15" s="35">
        <f t="shared" si="42"/>
        <v>13795.466125</v>
      </c>
      <c r="CB15" s="5">
        <f t="shared" si="43"/>
        <v>13795.466125</v>
      </c>
      <c r="CC15" s="34">
        <f t="shared" si="44"/>
        <v>5067.526396</v>
      </c>
      <c r="CE15" s="35"/>
      <c r="CF15" s="35">
        <f t="shared" si="45"/>
        <v>7077.644525000001</v>
      </c>
      <c r="CG15" s="5">
        <f t="shared" si="46"/>
        <v>7077.644525000001</v>
      </c>
      <c r="CH15" s="34">
        <f t="shared" si="47"/>
        <v>2599.8505688</v>
      </c>
      <c r="CK15" s="35"/>
      <c r="CL15" s="35">
        <f t="shared" si="48"/>
        <v>0</v>
      </c>
      <c r="CM15" s="34">
        <f t="shared" si="49"/>
        <v>0</v>
      </c>
    </row>
    <row r="16" spans="1:91" ht="12.75">
      <c r="A16" s="36">
        <v>45748</v>
      </c>
      <c r="C16" s="3">
        <v>2040000</v>
      </c>
      <c r="D16" s="3">
        <v>281750</v>
      </c>
      <c r="E16" s="34">
        <f t="shared" si="0"/>
        <v>2321750</v>
      </c>
      <c r="F16" s="3">
        <v>103496</v>
      </c>
      <c r="H16" s="43">
        <f t="shared" si="50"/>
        <v>2039999.9999999998</v>
      </c>
      <c r="I16" s="35">
        <f t="shared" si="1"/>
        <v>281750</v>
      </c>
      <c r="J16" s="35">
        <f t="shared" si="2"/>
        <v>2321750</v>
      </c>
      <c r="K16" s="35">
        <f t="shared" si="1"/>
        <v>103496.00000000001</v>
      </c>
      <c r="M16" s="35">
        <f t="shared" si="51"/>
        <v>798468.4439999999</v>
      </c>
      <c r="N16" s="35">
        <f t="shared" si="3"/>
        <v>110278.668675</v>
      </c>
      <c r="O16" s="35">
        <f t="shared" si="4"/>
        <v>908747.1126749999</v>
      </c>
      <c r="P16" s="34">
        <f t="shared" si="5"/>
        <v>40508.9657256</v>
      </c>
      <c r="Q16" s="35"/>
      <c r="R16" s="35">
        <f t="shared" si="52"/>
        <v>1817.028</v>
      </c>
      <c r="S16" s="35">
        <f t="shared" si="6"/>
        <v>250.954725</v>
      </c>
      <c r="T16" s="35">
        <f t="shared" si="7"/>
        <v>2067.982725</v>
      </c>
      <c r="U16" s="34">
        <f t="shared" si="8"/>
        <v>92.1838872</v>
      </c>
      <c r="W16" s="35">
        <f t="shared" si="53"/>
        <v>526309.596</v>
      </c>
      <c r="X16" s="35">
        <f t="shared" si="9"/>
        <v>72690.06307500001</v>
      </c>
      <c r="Y16" s="5">
        <f t="shared" si="10"/>
        <v>598999.6590750001</v>
      </c>
      <c r="Z16" s="34">
        <f t="shared" si="11"/>
        <v>26701.4401704</v>
      </c>
      <c r="AB16" s="35">
        <f t="shared" si="54"/>
        <v>63428.292</v>
      </c>
      <c r="AC16" s="35">
        <f t="shared" si="12"/>
        <v>8760.255525</v>
      </c>
      <c r="AD16" s="5">
        <f t="shared" si="13"/>
        <v>72188.547525</v>
      </c>
      <c r="AE16" s="34">
        <f t="shared" si="14"/>
        <v>3217.9286808</v>
      </c>
      <c r="AG16" s="35">
        <f t="shared" si="55"/>
        <v>35901.348</v>
      </c>
      <c r="AH16" s="35">
        <f t="shared" si="15"/>
        <v>4958.433725</v>
      </c>
      <c r="AI16" s="5">
        <f t="shared" si="16"/>
        <v>40859.781725</v>
      </c>
      <c r="AJ16" s="34">
        <f t="shared" si="17"/>
        <v>1821.3950552</v>
      </c>
      <c r="AL16" s="35">
        <f t="shared" si="56"/>
        <v>28347.84</v>
      </c>
      <c r="AM16" s="35">
        <f t="shared" si="18"/>
        <v>3915.1980000000003</v>
      </c>
      <c r="AN16" s="5">
        <f t="shared" si="19"/>
        <v>32263.038</v>
      </c>
      <c r="AO16" s="34">
        <f t="shared" si="20"/>
        <v>1438.1804160000002</v>
      </c>
      <c r="AQ16" s="35">
        <f t="shared" si="57"/>
        <v>129036.32400000001</v>
      </c>
      <c r="AR16" s="35">
        <f t="shared" si="21"/>
        <v>17821.560925</v>
      </c>
      <c r="AS16" s="35">
        <f t="shared" si="22"/>
        <v>146857.88492500002</v>
      </c>
      <c r="AT16" s="34">
        <f t="shared" si="23"/>
        <v>6546.4428376000005</v>
      </c>
      <c r="AV16" s="35">
        <f t="shared" si="58"/>
        <v>6688.548</v>
      </c>
      <c r="AW16" s="35">
        <f t="shared" si="24"/>
        <v>923.7737249999999</v>
      </c>
      <c r="AX16" s="5">
        <f t="shared" si="25"/>
        <v>7612.321725</v>
      </c>
      <c r="AY16" s="34">
        <f t="shared" si="26"/>
        <v>339.3323352</v>
      </c>
      <c r="BA16" s="35">
        <f t="shared" si="59"/>
        <v>124969.38</v>
      </c>
      <c r="BB16" s="35">
        <f t="shared" si="27"/>
        <v>17259.864125</v>
      </c>
      <c r="BC16" s="5">
        <f t="shared" si="28"/>
        <v>142229.244125</v>
      </c>
      <c r="BD16" s="34">
        <f t="shared" si="29"/>
        <v>6340.113212</v>
      </c>
      <c r="BF16" s="35">
        <f t="shared" si="60"/>
        <v>55056.335999999996</v>
      </c>
      <c r="BG16" s="35">
        <f t="shared" si="30"/>
        <v>7603.981699999999</v>
      </c>
      <c r="BH16" s="5">
        <f t="shared" si="31"/>
        <v>62660.31769999999</v>
      </c>
      <c r="BI16" s="34">
        <f t="shared" si="32"/>
        <v>2793.1914464</v>
      </c>
      <c r="BK16" s="35">
        <f t="shared" si="61"/>
        <v>5639.172</v>
      </c>
      <c r="BL16" s="35">
        <f t="shared" si="33"/>
        <v>778.8415249999999</v>
      </c>
      <c r="BM16" s="5">
        <f t="shared" si="34"/>
        <v>6418.013524999999</v>
      </c>
      <c r="BN16" s="34">
        <f t="shared" si="35"/>
        <v>286.09399279999997</v>
      </c>
      <c r="BP16" s="35">
        <f t="shared" si="62"/>
        <v>105748.092</v>
      </c>
      <c r="BQ16" s="35">
        <f t="shared" si="36"/>
        <v>14605.159275</v>
      </c>
      <c r="BR16" s="5">
        <f t="shared" si="37"/>
        <v>120353.251275</v>
      </c>
      <c r="BS16" s="34">
        <f t="shared" si="38"/>
        <v>5364.953200800001</v>
      </c>
      <c r="BU16" s="35">
        <f t="shared" si="63"/>
        <v>7458.648</v>
      </c>
      <c r="BV16" s="35">
        <f t="shared" si="39"/>
        <v>1030.13435</v>
      </c>
      <c r="BW16" s="5">
        <f t="shared" si="40"/>
        <v>8488.78235</v>
      </c>
      <c r="BX16" s="34">
        <f t="shared" si="41"/>
        <v>378.4020752</v>
      </c>
      <c r="BZ16" s="35">
        <f t="shared" si="64"/>
        <v>99885.54</v>
      </c>
      <c r="CA16" s="35">
        <f t="shared" si="42"/>
        <v>13795.466125</v>
      </c>
      <c r="CB16" s="5">
        <f t="shared" si="43"/>
        <v>113681.006125</v>
      </c>
      <c r="CC16" s="34">
        <f t="shared" si="44"/>
        <v>5067.526396</v>
      </c>
      <c r="CE16" s="35">
        <f t="shared" si="65"/>
        <v>51245.412000000004</v>
      </c>
      <c r="CF16" s="35">
        <f t="shared" si="45"/>
        <v>7077.644525000001</v>
      </c>
      <c r="CG16" s="5">
        <f t="shared" si="46"/>
        <v>58323.05652500001</v>
      </c>
      <c r="CH16" s="34">
        <f t="shared" si="47"/>
        <v>2599.8505688</v>
      </c>
      <c r="CK16" s="35"/>
      <c r="CL16" s="35">
        <f t="shared" si="48"/>
        <v>0</v>
      </c>
      <c r="CM16" s="34">
        <f t="shared" si="49"/>
        <v>0</v>
      </c>
    </row>
    <row r="17" spans="1:91" ht="12.75">
      <c r="A17" s="36">
        <v>45931</v>
      </c>
      <c r="D17" s="3">
        <v>230750</v>
      </c>
      <c r="E17" s="34">
        <f t="shared" si="0"/>
        <v>230750</v>
      </c>
      <c r="F17" s="3">
        <v>103496</v>
      </c>
      <c r="H17" s="43"/>
      <c r="I17" s="35">
        <f t="shared" si="1"/>
        <v>230750.00000000003</v>
      </c>
      <c r="J17" s="35">
        <f t="shared" si="2"/>
        <v>230750.00000000003</v>
      </c>
      <c r="K17" s="35">
        <f t="shared" si="1"/>
        <v>103496.00000000001</v>
      </c>
      <c r="M17" s="35"/>
      <c r="N17" s="35">
        <f t="shared" si="3"/>
        <v>90316.957575</v>
      </c>
      <c r="O17" s="35">
        <f t="shared" si="4"/>
        <v>90316.957575</v>
      </c>
      <c r="P17" s="34">
        <f t="shared" si="5"/>
        <v>40508.9657256</v>
      </c>
      <c r="Q17" s="35"/>
      <c r="R17" s="35"/>
      <c r="S17" s="35">
        <f t="shared" si="6"/>
        <v>205.52902500000002</v>
      </c>
      <c r="T17" s="35">
        <f t="shared" si="7"/>
        <v>205.52902500000002</v>
      </c>
      <c r="U17" s="34">
        <f t="shared" si="8"/>
        <v>92.1838872</v>
      </c>
      <c r="W17" s="35"/>
      <c r="X17" s="35">
        <f t="shared" si="9"/>
        <v>59532.323175000005</v>
      </c>
      <c r="Y17" s="5">
        <f t="shared" si="10"/>
        <v>59532.323175000005</v>
      </c>
      <c r="Z17" s="34">
        <f t="shared" si="11"/>
        <v>26701.4401704</v>
      </c>
      <c r="AB17" s="35"/>
      <c r="AC17" s="35">
        <f t="shared" si="12"/>
        <v>7174.548225</v>
      </c>
      <c r="AD17" s="5">
        <f t="shared" si="13"/>
        <v>7174.548225</v>
      </c>
      <c r="AE17" s="34">
        <f t="shared" si="14"/>
        <v>3217.9286808</v>
      </c>
      <c r="AG17" s="35"/>
      <c r="AH17" s="35">
        <f t="shared" si="15"/>
        <v>4060.9000249999995</v>
      </c>
      <c r="AI17" s="5">
        <f t="shared" si="16"/>
        <v>4060.9000249999995</v>
      </c>
      <c r="AJ17" s="34">
        <f t="shared" si="17"/>
        <v>1821.3950552</v>
      </c>
      <c r="AL17" s="35"/>
      <c r="AM17" s="35">
        <f t="shared" si="18"/>
        <v>3206.502</v>
      </c>
      <c r="AN17" s="5">
        <f t="shared" si="19"/>
        <v>3206.502</v>
      </c>
      <c r="AO17" s="34">
        <f t="shared" si="20"/>
        <v>1438.1804160000002</v>
      </c>
      <c r="AQ17" s="35"/>
      <c r="AR17" s="35">
        <f t="shared" si="21"/>
        <v>14595.652825000001</v>
      </c>
      <c r="AS17" s="35">
        <f t="shared" si="22"/>
        <v>14595.652825000001</v>
      </c>
      <c r="AT17" s="34">
        <f t="shared" si="23"/>
        <v>6546.4428376000005</v>
      </c>
      <c r="AV17" s="35"/>
      <c r="AW17" s="35">
        <f t="shared" si="24"/>
        <v>756.560025</v>
      </c>
      <c r="AX17" s="5">
        <f t="shared" si="25"/>
        <v>756.560025</v>
      </c>
      <c r="AY17" s="34">
        <f t="shared" si="26"/>
        <v>339.3323352</v>
      </c>
      <c r="BA17" s="35"/>
      <c r="BB17" s="35">
        <f t="shared" si="27"/>
        <v>14135.629625</v>
      </c>
      <c r="BC17" s="5">
        <f t="shared" si="28"/>
        <v>14135.629625</v>
      </c>
      <c r="BD17" s="34">
        <f t="shared" si="29"/>
        <v>6340.113212</v>
      </c>
      <c r="BF17" s="35"/>
      <c r="BG17" s="35">
        <f t="shared" si="30"/>
        <v>6227.5733</v>
      </c>
      <c r="BH17" s="5">
        <f t="shared" si="31"/>
        <v>6227.5733</v>
      </c>
      <c r="BI17" s="34">
        <f t="shared" si="32"/>
        <v>2793.1914464</v>
      </c>
      <c r="BK17" s="35"/>
      <c r="BL17" s="35">
        <f t="shared" si="33"/>
        <v>637.862225</v>
      </c>
      <c r="BM17" s="5">
        <f t="shared" si="34"/>
        <v>637.862225</v>
      </c>
      <c r="BN17" s="34">
        <f t="shared" si="35"/>
        <v>286.09399279999997</v>
      </c>
      <c r="BP17" s="35"/>
      <c r="BQ17" s="35">
        <f t="shared" si="36"/>
        <v>11961.456975000001</v>
      </c>
      <c r="BR17" s="5">
        <f t="shared" si="37"/>
        <v>11961.456975000001</v>
      </c>
      <c r="BS17" s="34">
        <f t="shared" si="38"/>
        <v>5364.953200800001</v>
      </c>
      <c r="BU17" s="35"/>
      <c r="BV17" s="35">
        <f t="shared" si="39"/>
        <v>843.66815</v>
      </c>
      <c r="BW17" s="5">
        <f t="shared" si="40"/>
        <v>843.66815</v>
      </c>
      <c r="BX17" s="34">
        <f t="shared" si="41"/>
        <v>378.4020752</v>
      </c>
      <c r="BZ17" s="35"/>
      <c r="CA17" s="35">
        <f t="shared" si="42"/>
        <v>11298.327625</v>
      </c>
      <c r="CB17" s="5">
        <f t="shared" si="43"/>
        <v>11298.327625</v>
      </c>
      <c r="CC17" s="34">
        <f t="shared" si="44"/>
        <v>5067.526396</v>
      </c>
      <c r="CE17" s="35"/>
      <c r="CF17" s="35">
        <f t="shared" si="45"/>
        <v>5796.509225000001</v>
      </c>
      <c r="CG17" s="5">
        <f t="shared" si="46"/>
        <v>5796.509225000001</v>
      </c>
      <c r="CH17" s="34">
        <f t="shared" si="47"/>
        <v>2599.8505688</v>
      </c>
      <c r="CK17" s="35"/>
      <c r="CL17" s="35">
        <f t="shared" si="48"/>
        <v>0</v>
      </c>
      <c r="CM17" s="34">
        <f t="shared" si="49"/>
        <v>0</v>
      </c>
    </row>
    <row r="18" spans="1:91" ht="12.75">
      <c r="A18" s="36">
        <v>46113</v>
      </c>
      <c r="C18" s="3">
        <v>2140000</v>
      </c>
      <c r="D18" s="3">
        <v>230750</v>
      </c>
      <c r="E18" s="34">
        <f t="shared" si="0"/>
        <v>2370750</v>
      </c>
      <c r="F18" s="3">
        <v>103496</v>
      </c>
      <c r="H18" s="43">
        <f t="shared" si="50"/>
        <v>2139999.9999999995</v>
      </c>
      <c r="I18" s="35">
        <f t="shared" si="1"/>
        <v>230750.00000000003</v>
      </c>
      <c r="J18" s="35">
        <f t="shared" si="2"/>
        <v>2370749.9999999995</v>
      </c>
      <c r="K18" s="35">
        <f t="shared" si="1"/>
        <v>103496.00000000001</v>
      </c>
      <c r="M18" s="35">
        <f t="shared" si="51"/>
        <v>837609.054</v>
      </c>
      <c r="N18" s="35">
        <f t="shared" si="3"/>
        <v>90316.957575</v>
      </c>
      <c r="O18" s="35">
        <f t="shared" si="4"/>
        <v>927926.011575</v>
      </c>
      <c r="P18" s="34">
        <f t="shared" si="5"/>
        <v>40508.9657256</v>
      </c>
      <c r="Q18" s="35"/>
      <c r="R18" s="35">
        <f t="shared" si="52"/>
        <v>1906.098</v>
      </c>
      <c r="S18" s="35">
        <f t="shared" si="6"/>
        <v>205.52902500000002</v>
      </c>
      <c r="T18" s="35">
        <f t="shared" si="7"/>
        <v>2111.627025</v>
      </c>
      <c r="U18" s="34">
        <f t="shared" si="8"/>
        <v>92.1838872</v>
      </c>
      <c r="W18" s="35">
        <f t="shared" si="53"/>
        <v>552109.086</v>
      </c>
      <c r="X18" s="35">
        <f t="shared" si="9"/>
        <v>59532.323175000005</v>
      </c>
      <c r="Y18" s="5">
        <f t="shared" si="10"/>
        <v>611641.409175</v>
      </c>
      <c r="Z18" s="34">
        <f t="shared" si="11"/>
        <v>26701.4401704</v>
      </c>
      <c r="AB18" s="35">
        <f t="shared" si="54"/>
        <v>66537.522</v>
      </c>
      <c r="AC18" s="35">
        <f t="shared" si="12"/>
        <v>7174.548225</v>
      </c>
      <c r="AD18" s="5">
        <f t="shared" si="13"/>
        <v>73712.070225</v>
      </c>
      <c r="AE18" s="34">
        <f t="shared" si="14"/>
        <v>3217.9286808</v>
      </c>
      <c r="AG18" s="35">
        <f t="shared" si="55"/>
        <v>37661.21799999999</v>
      </c>
      <c r="AH18" s="35">
        <f t="shared" si="15"/>
        <v>4060.9000249999995</v>
      </c>
      <c r="AI18" s="5">
        <f t="shared" si="16"/>
        <v>41722.118024999996</v>
      </c>
      <c r="AJ18" s="34">
        <f t="shared" si="17"/>
        <v>1821.3950552</v>
      </c>
      <c r="AL18" s="35">
        <f t="shared" si="56"/>
        <v>29737.440000000002</v>
      </c>
      <c r="AM18" s="35">
        <f t="shared" si="18"/>
        <v>3206.502</v>
      </c>
      <c r="AN18" s="5">
        <f t="shared" si="19"/>
        <v>32943.942</v>
      </c>
      <c r="AO18" s="34">
        <f t="shared" si="20"/>
        <v>1438.1804160000002</v>
      </c>
      <c r="AQ18" s="35">
        <f t="shared" si="57"/>
        <v>135361.63400000002</v>
      </c>
      <c r="AR18" s="35">
        <f t="shared" si="21"/>
        <v>14595.652825000001</v>
      </c>
      <c r="AS18" s="35">
        <f t="shared" si="22"/>
        <v>149957.28682500002</v>
      </c>
      <c r="AT18" s="34">
        <f t="shared" si="23"/>
        <v>6546.4428376000005</v>
      </c>
      <c r="AV18" s="35">
        <f t="shared" si="58"/>
        <v>7016.418</v>
      </c>
      <c r="AW18" s="35">
        <f t="shared" si="24"/>
        <v>756.560025</v>
      </c>
      <c r="AX18" s="5">
        <f t="shared" si="25"/>
        <v>7772.978024999999</v>
      </c>
      <c r="AY18" s="34">
        <f t="shared" si="26"/>
        <v>339.3323352</v>
      </c>
      <c r="BA18" s="35">
        <f t="shared" si="59"/>
        <v>131095.33000000002</v>
      </c>
      <c r="BB18" s="35">
        <f t="shared" si="27"/>
        <v>14135.629625</v>
      </c>
      <c r="BC18" s="5">
        <f t="shared" si="28"/>
        <v>145230.95962500002</v>
      </c>
      <c r="BD18" s="34">
        <f t="shared" si="29"/>
        <v>6340.113212</v>
      </c>
      <c r="BF18" s="35">
        <f t="shared" si="60"/>
        <v>57755.176</v>
      </c>
      <c r="BG18" s="35">
        <f t="shared" si="30"/>
        <v>6227.5733</v>
      </c>
      <c r="BH18" s="5">
        <f t="shared" si="31"/>
        <v>63982.749299999996</v>
      </c>
      <c r="BI18" s="34">
        <f t="shared" si="32"/>
        <v>2793.1914464</v>
      </c>
      <c r="BK18" s="35">
        <f t="shared" si="61"/>
        <v>5915.602</v>
      </c>
      <c r="BL18" s="35">
        <f t="shared" si="33"/>
        <v>637.862225</v>
      </c>
      <c r="BM18" s="5">
        <f t="shared" si="34"/>
        <v>6553.464225</v>
      </c>
      <c r="BN18" s="34">
        <f t="shared" si="35"/>
        <v>286.09399279999997</v>
      </c>
      <c r="BP18" s="35">
        <f t="shared" si="62"/>
        <v>110931.822</v>
      </c>
      <c r="BQ18" s="35">
        <f t="shared" si="36"/>
        <v>11961.456975000001</v>
      </c>
      <c r="BR18" s="5">
        <f t="shared" si="37"/>
        <v>122893.278975</v>
      </c>
      <c r="BS18" s="34">
        <f t="shared" si="38"/>
        <v>5364.953200800001</v>
      </c>
      <c r="BU18" s="35">
        <f t="shared" si="63"/>
        <v>7824.268</v>
      </c>
      <c r="BV18" s="35">
        <f t="shared" si="39"/>
        <v>843.66815</v>
      </c>
      <c r="BW18" s="5">
        <f t="shared" si="40"/>
        <v>8667.93615</v>
      </c>
      <c r="BX18" s="34">
        <f t="shared" si="41"/>
        <v>378.4020752</v>
      </c>
      <c r="BZ18" s="35">
        <f t="shared" si="64"/>
        <v>104781.89</v>
      </c>
      <c r="CA18" s="35">
        <f t="shared" si="42"/>
        <v>11298.327625</v>
      </c>
      <c r="CB18" s="5">
        <f t="shared" si="43"/>
        <v>116080.217625</v>
      </c>
      <c r="CC18" s="34">
        <f t="shared" si="44"/>
        <v>5067.526396</v>
      </c>
      <c r="CE18" s="35">
        <f t="shared" si="65"/>
        <v>53757.442</v>
      </c>
      <c r="CF18" s="35">
        <f t="shared" si="45"/>
        <v>5796.509225000001</v>
      </c>
      <c r="CG18" s="5">
        <f t="shared" si="46"/>
        <v>59553.951225000004</v>
      </c>
      <c r="CH18" s="34">
        <f t="shared" si="47"/>
        <v>2599.8505688</v>
      </c>
      <c r="CK18" s="35"/>
      <c r="CL18" s="35">
        <f t="shared" si="48"/>
        <v>0</v>
      </c>
      <c r="CM18" s="34">
        <f t="shared" si="49"/>
        <v>0</v>
      </c>
    </row>
    <row r="19" spans="1:91" ht="12.75">
      <c r="A19" s="36">
        <v>46296</v>
      </c>
      <c r="D19" s="3">
        <v>177250</v>
      </c>
      <c r="E19" s="34">
        <f t="shared" si="0"/>
        <v>177250</v>
      </c>
      <c r="F19" s="3">
        <v>103496</v>
      </c>
      <c r="H19" s="43"/>
      <c r="I19" s="35">
        <f t="shared" si="1"/>
        <v>177250</v>
      </c>
      <c r="J19" s="35">
        <f t="shared" si="2"/>
        <v>177250</v>
      </c>
      <c r="K19" s="35">
        <f t="shared" si="1"/>
        <v>103496.00000000001</v>
      </c>
      <c r="M19" s="35"/>
      <c r="N19" s="35">
        <f t="shared" si="3"/>
        <v>69376.731225</v>
      </c>
      <c r="O19" s="35">
        <f t="shared" si="4"/>
        <v>69376.731225</v>
      </c>
      <c r="P19" s="34">
        <f t="shared" si="5"/>
        <v>40508.9657256</v>
      </c>
      <c r="Q19" s="35"/>
      <c r="R19" s="35"/>
      <c r="S19" s="35">
        <f t="shared" si="6"/>
        <v>157.876575</v>
      </c>
      <c r="T19" s="35">
        <f t="shared" si="7"/>
        <v>157.876575</v>
      </c>
      <c r="U19" s="34">
        <f t="shared" si="8"/>
        <v>92.1838872</v>
      </c>
      <c r="W19" s="35"/>
      <c r="X19" s="35">
        <f t="shared" si="9"/>
        <v>45729.596025000006</v>
      </c>
      <c r="Y19" s="5">
        <f t="shared" si="10"/>
        <v>45729.596025000006</v>
      </c>
      <c r="Z19" s="34">
        <f t="shared" si="11"/>
        <v>26701.4401704</v>
      </c>
      <c r="AB19" s="35"/>
      <c r="AC19" s="35">
        <f t="shared" si="12"/>
        <v>5511.110175</v>
      </c>
      <c r="AD19" s="5">
        <f t="shared" si="13"/>
        <v>5511.110175</v>
      </c>
      <c r="AE19" s="34">
        <f t="shared" si="14"/>
        <v>3217.9286808</v>
      </c>
      <c r="AG19" s="35"/>
      <c r="AH19" s="35">
        <f t="shared" si="15"/>
        <v>3119.3695749999997</v>
      </c>
      <c r="AI19" s="5">
        <f t="shared" si="16"/>
        <v>3119.3695749999997</v>
      </c>
      <c r="AJ19" s="34">
        <f t="shared" si="17"/>
        <v>1821.3950552</v>
      </c>
      <c r="AL19" s="35"/>
      <c r="AM19" s="35">
        <f t="shared" si="18"/>
        <v>2463.0660000000003</v>
      </c>
      <c r="AN19" s="5">
        <f t="shared" si="19"/>
        <v>2463.0660000000003</v>
      </c>
      <c r="AO19" s="34">
        <f t="shared" si="20"/>
        <v>1438.1804160000002</v>
      </c>
      <c r="AQ19" s="35"/>
      <c r="AR19" s="35">
        <f t="shared" si="21"/>
        <v>11211.611975000002</v>
      </c>
      <c r="AS19" s="35">
        <f t="shared" si="22"/>
        <v>11211.611975000002</v>
      </c>
      <c r="AT19" s="34">
        <f t="shared" si="23"/>
        <v>6546.4428376000005</v>
      </c>
      <c r="AV19" s="35"/>
      <c r="AW19" s="35">
        <f t="shared" si="24"/>
        <v>581.149575</v>
      </c>
      <c r="AX19" s="5">
        <f t="shared" si="25"/>
        <v>581.149575</v>
      </c>
      <c r="AY19" s="34">
        <f t="shared" si="26"/>
        <v>339.3323352</v>
      </c>
      <c r="BA19" s="35"/>
      <c r="BB19" s="35">
        <f t="shared" si="27"/>
        <v>10858.246375</v>
      </c>
      <c r="BC19" s="5">
        <f t="shared" si="28"/>
        <v>10858.246375</v>
      </c>
      <c r="BD19" s="34">
        <f t="shared" si="29"/>
        <v>6340.113212</v>
      </c>
      <c r="BF19" s="35"/>
      <c r="BG19" s="35">
        <f t="shared" si="30"/>
        <v>4783.6939</v>
      </c>
      <c r="BH19" s="5">
        <f t="shared" si="31"/>
        <v>4783.6939</v>
      </c>
      <c r="BI19" s="34">
        <f t="shared" si="32"/>
        <v>2793.1914464</v>
      </c>
      <c r="BK19" s="35"/>
      <c r="BL19" s="35">
        <f t="shared" si="33"/>
        <v>489.972175</v>
      </c>
      <c r="BM19" s="5">
        <f t="shared" si="34"/>
        <v>489.972175</v>
      </c>
      <c r="BN19" s="34">
        <f t="shared" si="35"/>
        <v>286.09399279999997</v>
      </c>
      <c r="BP19" s="35"/>
      <c r="BQ19" s="35">
        <f t="shared" si="36"/>
        <v>9188.161425</v>
      </c>
      <c r="BR19" s="5">
        <f t="shared" si="37"/>
        <v>9188.161425</v>
      </c>
      <c r="BS19" s="34">
        <f t="shared" si="38"/>
        <v>5364.953200800001</v>
      </c>
      <c r="BU19" s="35"/>
      <c r="BV19" s="35">
        <f t="shared" si="39"/>
        <v>648.06145</v>
      </c>
      <c r="BW19" s="5">
        <f t="shared" si="40"/>
        <v>648.06145</v>
      </c>
      <c r="BX19" s="34">
        <f t="shared" si="41"/>
        <v>378.4020752</v>
      </c>
      <c r="BZ19" s="35"/>
      <c r="CA19" s="35">
        <f t="shared" si="42"/>
        <v>8678.780375</v>
      </c>
      <c r="CB19" s="5">
        <f t="shared" si="43"/>
        <v>8678.780375</v>
      </c>
      <c r="CC19" s="34">
        <f t="shared" si="44"/>
        <v>5067.526396</v>
      </c>
      <c r="CE19" s="35"/>
      <c r="CF19" s="35">
        <f t="shared" si="45"/>
        <v>4452.573175</v>
      </c>
      <c r="CG19" s="5">
        <f t="shared" si="46"/>
        <v>4452.573175</v>
      </c>
      <c r="CH19" s="34">
        <f t="shared" si="47"/>
        <v>2599.8505688</v>
      </c>
      <c r="CK19" s="35"/>
      <c r="CL19" s="35">
        <f t="shared" si="48"/>
        <v>0</v>
      </c>
      <c r="CM19" s="34">
        <f t="shared" si="49"/>
        <v>0</v>
      </c>
    </row>
    <row r="20" spans="1:91" ht="12.75">
      <c r="A20" s="36">
        <v>46478</v>
      </c>
      <c r="C20" s="3">
        <v>2250000</v>
      </c>
      <c r="D20" s="3">
        <v>177250</v>
      </c>
      <c r="E20" s="34">
        <f t="shared" si="0"/>
        <v>2427250</v>
      </c>
      <c r="F20" s="3">
        <v>103496</v>
      </c>
      <c r="H20" s="43">
        <f t="shared" si="50"/>
        <v>2250000</v>
      </c>
      <c r="I20" s="35">
        <f t="shared" si="1"/>
        <v>177250</v>
      </c>
      <c r="J20" s="35">
        <f t="shared" si="2"/>
        <v>2427250</v>
      </c>
      <c r="K20" s="35">
        <f t="shared" si="1"/>
        <v>103496.00000000001</v>
      </c>
      <c r="M20" s="35">
        <f t="shared" si="51"/>
        <v>880663.725</v>
      </c>
      <c r="N20" s="35">
        <f t="shared" si="3"/>
        <v>69376.731225</v>
      </c>
      <c r="O20" s="35">
        <f t="shared" si="4"/>
        <v>950040.456225</v>
      </c>
      <c r="P20" s="34">
        <f t="shared" si="5"/>
        <v>40508.9657256</v>
      </c>
      <c r="Q20" s="35"/>
      <c r="R20" s="35">
        <f t="shared" si="52"/>
        <v>2004.075</v>
      </c>
      <c r="S20" s="35">
        <f t="shared" si="6"/>
        <v>157.876575</v>
      </c>
      <c r="T20" s="35">
        <f t="shared" si="7"/>
        <v>2161.951575</v>
      </c>
      <c r="U20" s="34">
        <f t="shared" si="8"/>
        <v>92.1838872</v>
      </c>
      <c r="W20" s="35">
        <f t="shared" si="53"/>
        <v>580488.525</v>
      </c>
      <c r="X20" s="35">
        <f t="shared" si="9"/>
        <v>45729.596025000006</v>
      </c>
      <c r="Y20" s="5">
        <f t="shared" si="10"/>
        <v>626218.121025</v>
      </c>
      <c r="Z20" s="34">
        <f t="shared" si="11"/>
        <v>26701.4401704</v>
      </c>
      <c r="AB20" s="35">
        <f t="shared" si="54"/>
        <v>69957.675</v>
      </c>
      <c r="AC20" s="35">
        <f t="shared" si="12"/>
        <v>5511.110175</v>
      </c>
      <c r="AD20" s="5">
        <f t="shared" si="13"/>
        <v>75468.785175</v>
      </c>
      <c r="AE20" s="34">
        <f t="shared" si="14"/>
        <v>3217.9286808</v>
      </c>
      <c r="AG20" s="35">
        <f t="shared" si="55"/>
        <v>39597.075</v>
      </c>
      <c r="AH20" s="35">
        <f t="shared" si="15"/>
        <v>3119.3695749999997</v>
      </c>
      <c r="AI20" s="5">
        <f t="shared" si="16"/>
        <v>42716.444574999994</v>
      </c>
      <c r="AJ20" s="34">
        <f t="shared" si="17"/>
        <v>1821.3950552</v>
      </c>
      <c r="AL20" s="35">
        <f t="shared" si="56"/>
        <v>31266</v>
      </c>
      <c r="AM20" s="35">
        <f t="shared" si="18"/>
        <v>2463.0660000000003</v>
      </c>
      <c r="AN20" s="5">
        <f t="shared" si="19"/>
        <v>33729.066</v>
      </c>
      <c r="AO20" s="34">
        <f t="shared" si="20"/>
        <v>1438.1804160000002</v>
      </c>
      <c r="AQ20" s="35">
        <f t="shared" si="57"/>
        <v>142319.475</v>
      </c>
      <c r="AR20" s="35">
        <f t="shared" si="21"/>
        <v>11211.611975000002</v>
      </c>
      <c r="AS20" s="35">
        <f t="shared" si="22"/>
        <v>153531.086975</v>
      </c>
      <c r="AT20" s="34">
        <f t="shared" si="23"/>
        <v>6546.4428376000005</v>
      </c>
      <c r="AV20" s="35">
        <f t="shared" si="58"/>
        <v>7377.075</v>
      </c>
      <c r="AW20" s="35">
        <f t="shared" si="24"/>
        <v>581.149575</v>
      </c>
      <c r="AX20" s="5">
        <f t="shared" si="25"/>
        <v>7958.224575</v>
      </c>
      <c r="AY20" s="34">
        <f t="shared" si="26"/>
        <v>339.3323352</v>
      </c>
      <c r="BA20" s="35">
        <f t="shared" si="59"/>
        <v>137833.875</v>
      </c>
      <c r="BB20" s="35">
        <f t="shared" si="27"/>
        <v>10858.246375</v>
      </c>
      <c r="BC20" s="5">
        <f t="shared" si="28"/>
        <v>148692.121375</v>
      </c>
      <c r="BD20" s="34">
        <f t="shared" si="29"/>
        <v>6340.113212</v>
      </c>
      <c r="BF20" s="35">
        <f t="shared" si="60"/>
        <v>60723.9</v>
      </c>
      <c r="BG20" s="35">
        <f t="shared" si="30"/>
        <v>4783.6939</v>
      </c>
      <c r="BH20" s="5">
        <f t="shared" si="31"/>
        <v>65507.5939</v>
      </c>
      <c r="BI20" s="34">
        <f t="shared" si="32"/>
        <v>2793.1914464</v>
      </c>
      <c r="BK20" s="35">
        <f t="shared" si="61"/>
        <v>6219.675</v>
      </c>
      <c r="BL20" s="35">
        <f t="shared" si="33"/>
        <v>489.972175</v>
      </c>
      <c r="BM20" s="5">
        <f t="shared" si="34"/>
        <v>6709.647175</v>
      </c>
      <c r="BN20" s="34">
        <f t="shared" si="35"/>
        <v>286.09399279999997</v>
      </c>
      <c r="BP20" s="35">
        <f t="shared" si="62"/>
        <v>116633.925</v>
      </c>
      <c r="BQ20" s="35">
        <f t="shared" si="36"/>
        <v>9188.161425</v>
      </c>
      <c r="BR20" s="5">
        <f t="shared" si="37"/>
        <v>125822.086425</v>
      </c>
      <c r="BS20" s="34">
        <f t="shared" si="38"/>
        <v>5364.953200800001</v>
      </c>
      <c r="BU20" s="35">
        <f t="shared" si="63"/>
        <v>8226.45</v>
      </c>
      <c r="BV20" s="35">
        <f t="shared" si="39"/>
        <v>648.06145</v>
      </c>
      <c r="BW20" s="5">
        <f t="shared" si="40"/>
        <v>8874.51145</v>
      </c>
      <c r="BX20" s="34">
        <f t="shared" si="41"/>
        <v>378.4020752</v>
      </c>
      <c r="BZ20" s="35">
        <f t="shared" si="64"/>
        <v>110167.875</v>
      </c>
      <c r="CA20" s="35">
        <f t="shared" si="42"/>
        <v>8678.780375</v>
      </c>
      <c r="CB20" s="5">
        <f t="shared" si="43"/>
        <v>118846.655375</v>
      </c>
      <c r="CC20" s="34">
        <f t="shared" si="44"/>
        <v>5067.526396</v>
      </c>
      <c r="CE20" s="35">
        <f t="shared" si="65"/>
        <v>56520.675</v>
      </c>
      <c r="CF20" s="35">
        <f t="shared" si="45"/>
        <v>4452.573175</v>
      </c>
      <c r="CG20" s="5">
        <f t="shared" si="46"/>
        <v>60973.248175</v>
      </c>
      <c r="CH20" s="34">
        <f t="shared" si="47"/>
        <v>2599.8505688</v>
      </c>
      <c r="CK20" s="35"/>
      <c r="CL20" s="35">
        <f t="shared" si="48"/>
        <v>0</v>
      </c>
      <c r="CM20" s="34">
        <f t="shared" si="49"/>
        <v>0</v>
      </c>
    </row>
    <row r="21" spans="1:91" ht="12.75">
      <c r="A21" s="36">
        <v>46661</v>
      </c>
      <c r="D21" s="3">
        <v>121000</v>
      </c>
      <c r="E21" s="34">
        <f t="shared" si="0"/>
        <v>121000</v>
      </c>
      <c r="F21" s="3">
        <v>103496</v>
      </c>
      <c r="H21" s="43"/>
      <c r="I21" s="35">
        <f t="shared" si="1"/>
        <v>120999.99999999999</v>
      </c>
      <c r="J21" s="35">
        <f t="shared" si="2"/>
        <v>120999.99999999999</v>
      </c>
      <c r="K21" s="35">
        <f t="shared" si="1"/>
        <v>103496.00000000001</v>
      </c>
      <c r="M21" s="35"/>
      <c r="N21" s="35">
        <f t="shared" si="3"/>
        <v>47360.1381</v>
      </c>
      <c r="O21" s="35">
        <f t="shared" si="4"/>
        <v>47360.1381</v>
      </c>
      <c r="P21" s="34">
        <f t="shared" si="5"/>
        <v>40508.9657256</v>
      </c>
      <c r="Q21" s="35"/>
      <c r="R21" s="35"/>
      <c r="S21" s="35">
        <f t="shared" si="6"/>
        <v>107.7747</v>
      </c>
      <c r="T21" s="35">
        <f t="shared" si="7"/>
        <v>107.7747</v>
      </c>
      <c r="U21" s="34">
        <f t="shared" si="8"/>
        <v>92.1838872</v>
      </c>
      <c r="W21" s="35"/>
      <c r="X21" s="35">
        <f t="shared" si="9"/>
        <v>31217.382900000004</v>
      </c>
      <c r="Y21" s="5">
        <f t="shared" si="10"/>
        <v>31217.382900000004</v>
      </c>
      <c r="Z21" s="34">
        <f t="shared" si="11"/>
        <v>26701.4401704</v>
      </c>
      <c r="AB21" s="35"/>
      <c r="AC21" s="35">
        <f t="shared" si="12"/>
        <v>3762.1683</v>
      </c>
      <c r="AD21" s="5">
        <f t="shared" si="13"/>
        <v>3762.1683</v>
      </c>
      <c r="AE21" s="34">
        <f t="shared" si="14"/>
        <v>3217.9286808</v>
      </c>
      <c r="AG21" s="35"/>
      <c r="AH21" s="35">
        <f t="shared" si="15"/>
        <v>2129.4426999999996</v>
      </c>
      <c r="AI21" s="5">
        <f t="shared" si="16"/>
        <v>2129.4426999999996</v>
      </c>
      <c r="AJ21" s="34">
        <f t="shared" si="17"/>
        <v>1821.3950552</v>
      </c>
      <c r="AL21" s="35"/>
      <c r="AM21" s="35">
        <f t="shared" si="18"/>
        <v>1681.416</v>
      </c>
      <c r="AN21" s="5">
        <f t="shared" si="19"/>
        <v>1681.416</v>
      </c>
      <c r="AO21" s="34">
        <f t="shared" si="20"/>
        <v>1438.1804160000002</v>
      </c>
      <c r="AQ21" s="35"/>
      <c r="AR21" s="35">
        <f t="shared" si="21"/>
        <v>7653.625100000001</v>
      </c>
      <c r="AS21" s="35">
        <f t="shared" si="22"/>
        <v>7653.625100000001</v>
      </c>
      <c r="AT21" s="34">
        <f t="shared" si="23"/>
        <v>6546.4428376000005</v>
      </c>
      <c r="AV21" s="35"/>
      <c r="AW21" s="35">
        <f t="shared" si="24"/>
        <v>396.7227</v>
      </c>
      <c r="AX21" s="5">
        <f t="shared" si="25"/>
        <v>396.7227</v>
      </c>
      <c r="AY21" s="34">
        <f t="shared" si="26"/>
        <v>339.3323352</v>
      </c>
      <c r="BA21" s="35"/>
      <c r="BB21" s="35">
        <f t="shared" si="27"/>
        <v>7412.3995</v>
      </c>
      <c r="BC21" s="5">
        <f t="shared" si="28"/>
        <v>7412.3995</v>
      </c>
      <c r="BD21" s="34">
        <f t="shared" si="29"/>
        <v>6340.113212</v>
      </c>
      <c r="BF21" s="35"/>
      <c r="BG21" s="35">
        <f t="shared" si="30"/>
        <v>3265.5964</v>
      </c>
      <c r="BH21" s="5">
        <f t="shared" si="31"/>
        <v>3265.5964</v>
      </c>
      <c r="BI21" s="34">
        <f t="shared" si="32"/>
        <v>2793.1914464</v>
      </c>
      <c r="BK21" s="35"/>
      <c r="BL21" s="35">
        <f t="shared" si="33"/>
        <v>334.4803</v>
      </c>
      <c r="BM21" s="5">
        <f t="shared" si="34"/>
        <v>334.4803</v>
      </c>
      <c r="BN21" s="34">
        <f t="shared" si="35"/>
        <v>286.09399279999997</v>
      </c>
      <c r="BP21" s="35"/>
      <c r="BQ21" s="35">
        <f t="shared" si="36"/>
        <v>6272.313300000001</v>
      </c>
      <c r="BR21" s="5">
        <f t="shared" si="37"/>
        <v>6272.313300000001</v>
      </c>
      <c r="BS21" s="34">
        <f t="shared" si="38"/>
        <v>5364.953200800001</v>
      </c>
      <c r="BU21" s="35"/>
      <c r="BV21" s="35">
        <f t="shared" si="39"/>
        <v>442.4002</v>
      </c>
      <c r="BW21" s="5">
        <f t="shared" si="40"/>
        <v>442.4002</v>
      </c>
      <c r="BX21" s="34">
        <f t="shared" si="41"/>
        <v>378.4020752</v>
      </c>
      <c r="BZ21" s="35"/>
      <c r="CA21" s="35">
        <f t="shared" si="42"/>
        <v>5924.5835</v>
      </c>
      <c r="CB21" s="5">
        <f t="shared" si="43"/>
        <v>5924.5835</v>
      </c>
      <c r="CC21" s="34">
        <f t="shared" si="44"/>
        <v>5067.526396</v>
      </c>
      <c r="CE21" s="35"/>
      <c r="CF21" s="35">
        <f t="shared" si="45"/>
        <v>3039.5563</v>
      </c>
      <c r="CG21" s="5">
        <f t="shared" si="46"/>
        <v>3039.5563</v>
      </c>
      <c r="CH21" s="34">
        <f t="shared" si="47"/>
        <v>2599.8505688</v>
      </c>
      <c r="CK21" s="35"/>
      <c r="CL21" s="35">
        <f t="shared" si="48"/>
        <v>0</v>
      </c>
      <c r="CM21" s="34">
        <f t="shared" si="49"/>
        <v>0</v>
      </c>
    </row>
    <row r="22" spans="1:91" ht="12.75">
      <c r="A22" s="36">
        <v>46844</v>
      </c>
      <c r="C22" s="3">
        <v>2360000</v>
      </c>
      <c r="D22" s="3">
        <v>121000</v>
      </c>
      <c r="E22" s="34">
        <f t="shared" si="0"/>
        <v>2481000</v>
      </c>
      <c r="F22" s="3">
        <v>103496</v>
      </c>
      <c r="H22" s="43">
        <f t="shared" si="50"/>
        <v>2360000</v>
      </c>
      <c r="I22" s="35">
        <f t="shared" si="1"/>
        <v>120999.99999999999</v>
      </c>
      <c r="J22" s="35">
        <f t="shared" si="2"/>
        <v>2481000</v>
      </c>
      <c r="K22" s="35">
        <f t="shared" si="1"/>
        <v>103496.00000000001</v>
      </c>
      <c r="M22" s="35">
        <f t="shared" si="51"/>
        <v>923718.396</v>
      </c>
      <c r="N22" s="35">
        <f t="shared" si="3"/>
        <v>47360.1381</v>
      </c>
      <c r="O22" s="35">
        <f t="shared" si="4"/>
        <v>971078.5340999999</v>
      </c>
      <c r="P22" s="34">
        <f t="shared" si="5"/>
        <v>40508.9657256</v>
      </c>
      <c r="Q22" s="35"/>
      <c r="R22" s="35">
        <f t="shared" si="52"/>
        <v>2102.052</v>
      </c>
      <c r="S22" s="35">
        <f t="shared" si="6"/>
        <v>107.7747</v>
      </c>
      <c r="T22" s="35">
        <f t="shared" si="7"/>
        <v>2209.8267</v>
      </c>
      <c r="U22" s="34">
        <f t="shared" si="8"/>
        <v>92.1838872</v>
      </c>
      <c r="W22" s="35">
        <f t="shared" si="53"/>
        <v>608867.964</v>
      </c>
      <c r="X22" s="35">
        <f t="shared" si="9"/>
        <v>31217.382900000004</v>
      </c>
      <c r="Y22" s="5">
        <f t="shared" si="10"/>
        <v>640085.3469</v>
      </c>
      <c r="Z22" s="34">
        <f t="shared" si="11"/>
        <v>26701.4401704</v>
      </c>
      <c r="AB22" s="35">
        <f t="shared" si="54"/>
        <v>73377.828</v>
      </c>
      <c r="AC22" s="35">
        <f t="shared" si="12"/>
        <v>3762.1683</v>
      </c>
      <c r="AD22" s="5">
        <f t="shared" si="13"/>
        <v>77139.9963</v>
      </c>
      <c r="AE22" s="34">
        <f t="shared" si="14"/>
        <v>3217.9286808</v>
      </c>
      <c r="AG22" s="35">
        <f t="shared" si="55"/>
        <v>41532.93199999999</v>
      </c>
      <c r="AH22" s="35">
        <f t="shared" si="15"/>
        <v>2129.4426999999996</v>
      </c>
      <c r="AI22" s="5">
        <f t="shared" si="16"/>
        <v>43662.37469999999</v>
      </c>
      <c r="AJ22" s="34">
        <f t="shared" si="17"/>
        <v>1821.3950552</v>
      </c>
      <c r="AL22" s="35">
        <f t="shared" si="56"/>
        <v>32794.56</v>
      </c>
      <c r="AM22" s="35">
        <f t="shared" si="18"/>
        <v>1681.416</v>
      </c>
      <c r="AN22" s="5">
        <f t="shared" si="19"/>
        <v>34475.975999999995</v>
      </c>
      <c r="AO22" s="34">
        <f t="shared" si="20"/>
        <v>1438.1804160000002</v>
      </c>
      <c r="AQ22" s="35">
        <f t="shared" si="57"/>
        <v>149277.31600000002</v>
      </c>
      <c r="AR22" s="35">
        <f t="shared" si="21"/>
        <v>7653.625100000001</v>
      </c>
      <c r="AS22" s="35">
        <f t="shared" si="22"/>
        <v>156930.94110000003</v>
      </c>
      <c r="AT22" s="34">
        <f t="shared" si="23"/>
        <v>6546.4428376000005</v>
      </c>
      <c r="AV22" s="35">
        <f t="shared" si="58"/>
        <v>7737.732</v>
      </c>
      <c r="AW22" s="35">
        <f t="shared" si="24"/>
        <v>396.7227</v>
      </c>
      <c r="AX22" s="5">
        <f t="shared" si="25"/>
        <v>8134.4547</v>
      </c>
      <c r="AY22" s="34">
        <f t="shared" si="26"/>
        <v>339.3323352</v>
      </c>
      <c r="BA22" s="35">
        <f t="shared" si="59"/>
        <v>144572.42</v>
      </c>
      <c r="BB22" s="35">
        <f t="shared" si="27"/>
        <v>7412.3995</v>
      </c>
      <c r="BC22" s="5">
        <f t="shared" si="28"/>
        <v>151984.8195</v>
      </c>
      <c r="BD22" s="34">
        <f t="shared" si="29"/>
        <v>6340.113212</v>
      </c>
      <c r="BF22" s="35">
        <f t="shared" si="60"/>
        <v>63692.623999999996</v>
      </c>
      <c r="BG22" s="35">
        <f t="shared" si="30"/>
        <v>3265.5964</v>
      </c>
      <c r="BH22" s="5">
        <f t="shared" si="31"/>
        <v>66958.22039999999</v>
      </c>
      <c r="BI22" s="34">
        <f t="shared" si="32"/>
        <v>2793.1914464</v>
      </c>
      <c r="BK22" s="35">
        <f t="shared" si="61"/>
        <v>6523.748</v>
      </c>
      <c r="BL22" s="35">
        <f t="shared" si="33"/>
        <v>334.4803</v>
      </c>
      <c r="BM22" s="5">
        <f t="shared" si="34"/>
        <v>6858.2283</v>
      </c>
      <c r="BN22" s="34">
        <f t="shared" si="35"/>
        <v>286.09399279999997</v>
      </c>
      <c r="BP22" s="35">
        <f t="shared" si="62"/>
        <v>122336.028</v>
      </c>
      <c r="BQ22" s="35">
        <f t="shared" si="36"/>
        <v>6272.313300000001</v>
      </c>
      <c r="BR22" s="5">
        <f t="shared" si="37"/>
        <v>128608.3413</v>
      </c>
      <c r="BS22" s="34">
        <f t="shared" si="38"/>
        <v>5364.953200800001</v>
      </c>
      <c r="BU22" s="35">
        <f t="shared" si="63"/>
        <v>8628.632</v>
      </c>
      <c r="BV22" s="35">
        <f t="shared" si="39"/>
        <v>442.4002</v>
      </c>
      <c r="BW22" s="5">
        <f t="shared" si="40"/>
        <v>9071.0322</v>
      </c>
      <c r="BX22" s="34">
        <f t="shared" si="41"/>
        <v>378.4020752</v>
      </c>
      <c r="BZ22" s="35">
        <f t="shared" si="64"/>
        <v>115553.86</v>
      </c>
      <c r="CA22" s="35">
        <f t="shared" si="42"/>
        <v>5924.5835</v>
      </c>
      <c r="CB22" s="5">
        <f t="shared" si="43"/>
        <v>121478.4435</v>
      </c>
      <c r="CC22" s="34">
        <f t="shared" si="44"/>
        <v>5067.526396</v>
      </c>
      <c r="CE22" s="35">
        <f t="shared" si="65"/>
        <v>59283.908</v>
      </c>
      <c r="CF22" s="35">
        <f t="shared" si="45"/>
        <v>3039.5563</v>
      </c>
      <c r="CG22" s="5">
        <f t="shared" si="46"/>
        <v>62323.46430000001</v>
      </c>
      <c r="CH22" s="34">
        <f t="shared" si="47"/>
        <v>2599.8505688</v>
      </c>
      <c r="CK22" s="35"/>
      <c r="CL22" s="35">
        <f t="shared" si="48"/>
        <v>0</v>
      </c>
      <c r="CM22" s="34">
        <f t="shared" si="49"/>
        <v>0</v>
      </c>
    </row>
    <row r="23" spans="1:91" ht="12.75">
      <c r="A23" s="36">
        <v>47027</v>
      </c>
      <c r="D23" s="3">
        <v>62000</v>
      </c>
      <c r="E23" s="34">
        <f t="shared" si="0"/>
        <v>62000</v>
      </c>
      <c r="F23" s="3">
        <v>103496</v>
      </c>
      <c r="H23" s="43"/>
      <c r="I23" s="35">
        <f t="shared" si="1"/>
        <v>62000</v>
      </c>
      <c r="J23" s="35">
        <f t="shared" si="2"/>
        <v>62000</v>
      </c>
      <c r="K23" s="35">
        <f t="shared" si="1"/>
        <v>103496.00000000001</v>
      </c>
      <c r="M23" s="35"/>
      <c r="N23" s="35">
        <f t="shared" si="3"/>
        <v>24267.1782</v>
      </c>
      <c r="O23" s="35">
        <f t="shared" si="4"/>
        <v>24267.1782</v>
      </c>
      <c r="P23" s="34">
        <f t="shared" si="5"/>
        <v>40508.9657256</v>
      </c>
      <c r="Q23" s="35"/>
      <c r="R23" s="35"/>
      <c r="S23" s="35">
        <f t="shared" si="6"/>
        <v>55.2234</v>
      </c>
      <c r="T23" s="35">
        <f t="shared" si="7"/>
        <v>55.2234</v>
      </c>
      <c r="U23" s="34">
        <f t="shared" si="8"/>
        <v>92.1838872</v>
      </c>
      <c r="W23" s="35"/>
      <c r="X23" s="35">
        <f t="shared" si="9"/>
        <v>15995.683800000003</v>
      </c>
      <c r="Y23" s="5">
        <f t="shared" si="10"/>
        <v>15995.683800000003</v>
      </c>
      <c r="Z23" s="34">
        <f t="shared" si="11"/>
        <v>26701.4401704</v>
      </c>
      <c r="AB23" s="35"/>
      <c r="AC23" s="35">
        <f t="shared" si="12"/>
        <v>1927.7226</v>
      </c>
      <c r="AD23" s="5">
        <f t="shared" si="13"/>
        <v>1927.7226</v>
      </c>
      <c r="AE23" s="34">
        <f t="shared" si="14"/>
        <v>3217.9286808</v>
      </c>
      <c r="AG23" s="35"/>
      <c r="AH23" s="35">
        <f t="shared" si="15"/>
        <v>1091.1193999999998</v>
      </c>
      <c r="AI23" s="5">
        <f t="shared" si="16"/>
        <v>1091.1193999999998</v>
      </c>
      <c r="AJ23" s="34">
        <f t="shared" si="17"/>
        <v>1821.3950552</v>
      </c>
      <c r="AL23" s="35"/>
      <c r="AM23" s="35">
        <f t="shared" si="18"/>
        <v>861.552</v>
      </c>
      <c r="AN23" s="5">
        <f t="shared" si="19"/>
        <v>861.552</v>
      </c>
      <c r="AO23" s="34">
        <f t="shared" si="20"/>
        <v>1438.1804160000002</v>
      </c>
      <c r="AQ23" s="35"/>
      <c r="AR23" s="35">
        <f t="shared" si="21"/>
        <v>3921.6922000000004</v>
      </c>
      <c r="AS23" s="35">
        <f t="shared" si="22"/>
        <v>3921.6922000000004</v>
      </c>
      <c r="AT23" s="34">
        <f t="shared" si="23"/>
        <v>6546.4428376000005</v>
      </c>
      <c r="AV23" s="35"/>
      <c r="AW23" s="35">
        <f t="shared" si="24"/>
        <v>203.27939999999998</v>
      </c>
      <c r="AX23" s="5">
        <f t="shared" si="25"/>
        <v>203.27939999999998</v>
      </c>
      <c r="AY23" s="34">
        <f t="shared" si="26"/>
        <v>339.3323352</v>
      </c>
      <c r="BA23" s="35"/>
      <c r="BB23" s="35">
        <f t="shared" si="27"/>
        <v>3798.089</v>
      </c>
      <c r="BC23" s="5">
        <f t="shared" si="28"/>
        <v>3798.089</v>
      </c>
      <c r="BD23" s="34">
        <f t="shared" si="29"/>
        <v>6340.113212</v>
      </c>
      <c r="BF23" s="35"/>
      <c r="BG23" s="35">
        <f t="shared" si="30"/>
        <v>1673.2808</v>
      </c>
      <c r="BH23" s="5">
        <f t="shared" si="31"/>
        <v>1673.2808</v>
      </c>
      <c r="BI23" s="34">
        <f t="shared" si="32"/>
        <v>2793.1914464</v>
      </c>
      <c r="BK23" s="35"/>
      <c r="BL23" s="35">
        <f t="shared" si="33"/>
        <v>171.3866</v>
      </c>
      <c r="BM23" s="5">
        <f t="shared" si="34"/>
        <v>171.3866</v>
      </c>
      <c r="BN23" s="34">
        <f t="shared" si="35"/>
        <v>286.09399279999997</v>
      </c>
      <c r="BP23" s="35"/>
      <c r="BQ23" s="35">
        <f t="shared" si="36"/>
        <v>3213.9126</v>
      </c>
      <c r="BR23" s="5">
        <f t="shared" si="37"/>
        <v>3213.9126</v>
      </c>
      <c r="BS23" s="34">
        <f t="shared" si="38"/>
        <v>5364.953200800001</v>
      </c>
      <c r="BU23" s="35"/>
      <c r="BV23" s="35">
        <f t="shared" si="39"/>
        <v>226.6844</v>
      </c>
      <c r="BW23" s="5">
        <f t="shared" si="40"/>
        <v>226.6844</v>
      </c>
      <c r="BX23" s="34">
        <f t="shared" si="41"/>
        <v>378.4020752</v>
      </c>
      <c r="BZ23" s="35"/>
      <c r="CA23" s="35">
        <f t="shared" si="42"/>
        <v>3035.737</v>
      </c>
      <c r="CB23" s="5">
        <f t="shared" si="43"/>
        <v>3035.737</v>
      </c>
      <c r="CC23" s="34">
        <f t="shared" si="44"/>
        <v>5067.526396</v>
      </c>
      <c r="CE23" s="35"/>
      <c r="CF23" s="35">
        <f t="shared" si="45"/>
        <v>1557.4586000000002</v>
      </c>
      <c r="CG23" s="5">
        <f t="shared" si="46"/>
        <v>1557.4586000000002</v>
      </c>
      <c r="CH23" s="34">
        <f t="shared" si="47"/>
        <v>2599.8505688</v>
      </c>
      <c r="CK23" s="35"/>
      <c r="CL23" s="35">
        <f t="shared" si="48"/>
        <v>0</v>
      </c>
      <c r="CM23" s="34">
        <f t="shared" si="49"/>
        <v>0</v>
      </c>
    </row>
    <row r="24" spans="1:91" ht="12.75">
      <c r="A24" s="36">
        <v>47209</v>
      </c>
      <c r="C24" s="3">
        <v>2480000</v>
      </c>
      <c r="D24" s="3">
        <v>62000</v>
      </c>
      <c r="E24" s="34">
        <f t="shared" si="0"/>
        <v>2542000</v>
      </c>
      <c r="F24" s="3">
        <v>103496</v>
      </c>
      <c r="H24" s="43">
        <f t="shared" si="50"/>
        <v>2480000.000000001</v>
      </c>
      <c r="I24" s="35">
        <f t="shared" si="1"/>
        <v>62000</v>
      </c>
      <c r="J24" s="35">
        <f t="shared" si="2"/>
        <v>2542000.000000001</v>
      </c>
      <c r="K24" s="35">
        <f t="shared" si="1"/>
        <v>103496.00000000001</v>
      </c>
      <c r="M24" s="35">
        <f t="shared" si="51"/>
        <v>970687.1279999999</v>
      </c>
      <c r="N24" s="35">
        <f t="shared" si="3"/>
        <v>24267.1782</v>
      </c>
      <c r="O24" s="35">
        <f t="shared" si="4"/>
        <v>994954.3061999999</v>
      </c>
      <c r="P24" s="34">
        <f t="shared" si="5"/>
        <v>40508.9657256</v>
      </c>
      <c r="Q24" s="35"/>
      <c r="R24" s="35">
        <f t="shared" si="52"/>
        <v>2208.936</v>
      </c>
      <c r="S24" s="35">
        <f t="shared" si="6"/>
        <v>55.2234</v>
      </c>
      <c r="T24" s="35">
        <f t="shared" si="7"/>
        <v>2264.1594</v>
      </c>
      <c r="U24" s="34">
        <f t="shared" si="8"/>
        <v>92.1838872</v>
      </c>
      <c r="W24" s="35">
        <f t="shared" si="53"/>
        <v>639827.3520000001</v>
      </c>
      <c r="X24" s="35">
        <f t="shared" si="9"/>
        <v>15995.683800000003</v>
      </c>
      <c r="Y24" s="5">
        <f t="shared" si="10"/>
        <v>655823.0358000001</v>
      </c>
      <c r="Z24" s="34">
        <f t="shared" si="11"/>
        <v>26701.4401704</v>
      </c>
      <c r="AB24" s="35">
        <f t="shared" si="54"/>
        <v>77108.904</v>
      </c>
      <c r="AC24" s="35">
        <f t="shared" si="12"/>
        <v>1927.7226</v>
      </c>
      <c r="AD24" s="5">
        <f t="shared" si="13"/>
        <v>79036.62659999999</v>
      </c>
      <c r="AE24" s="34">
        <f t="shared" si="14"/>
        <v>3217.9286808</v>
      </c>
      <c r="AG24" s="35">
        <f t="shared" si="55"/>
        <v>43644.776</v>
      </c>
      <c r="AH24" s="35">
        <f t="shared" si="15"/>
        <v>1091.1193999999998</v>
      </c>
      <c r="AI24" s="5">
        <f t="shared" si="16"/>
        <v>44735.8954</v>
      </c>
      <c r="AJ24" s="34">
        <f t="shared" si="17"/>
        <v>1821.3950552</v>
      </c>
      <c r="AL24" s="35">
        <f t="shared" si="56"/>
        <v>34462.08</v>
      </c>
      <c r="AM24" s="35">
        <f t="shared" si="18"/>
        <v>861.552</v>
      </c>
      <c r="AN24" s="5">
        <f t="shared" si="19"/>
        <v>35323.632000000005</v>
      </c>
      <c r="AO24" s="34">
        <f t="shared" si="20"/>
        <v>1438.1804160000002</v>
      </c>
      <c r="AQ24" s="35">
        <f t="shared" si="57"/>
        <v>156867.68800000002</v>
      </c>
      <c r="AR24" s="35">
        <f t="shared" si="21"/>
        <v>3921.6922000000004</v>
      </c>
      <c r="AS24" s="35">
        <f t="shared" si="22"/>
        <v>160789.3802</v>
      </c>
      <c r="AT24" s="34">
        <f t="shared" si="23"/>
        <v>6546.4428376000005</v>
      </c>
      <c r="AV24" s="35">
        <f t="shared" si="58"/>
        <v>8131.1759999999995</v>
      </c>
      <c r="AW24" s="35">
        <f t="shared" si="24"/>
        <v>203.27939999999998</v>
      </c>
      <c r="AX24" s="5">
        <f t="shared" si="25"/>
        <v>8334.455399999999</v>
      </c>
      <c r="AY24" s="34">
        <f t="shared" si="26"/>
        <v>339.3323352</v>
      </c>
      <c r="BA24" s="35">
        <f t="shared" si="59"/>
        <v>151923.56</v>
      </c>
      <c r="BB24" s="35">
        <f t="shared" si="27"/>
        <v>3798.089</v>
      </c>
      <c r="BC24" s="5">
        <f t="shared" si="28"/>
        <v>155721.649</v>
      </c>
      <c r="BD24" s="34">
        <f t="shared" si="29"/>
        <v>6340.113212</v>
      </c>
      <c r="BF24" s="35">
        <f t="shared" si="60"/>
        <v>66931.232</v>
      </c>
      <c r="BG24" s="35">
        <f t="shared" si="30"/>
        <v>1673.2808</v>
      </c>
      <c r="BH24" s="5">
        <f t="shared" si="31"/>
        <v>68604.5128</v>
      </c>
      <c r="BI24" s="34">
        <f t="shared" si="32"/>
        <v>2793.1914464</v>
      </c>
      <c r="BK24" s="35">
        <f t="shared" si="61"/>
        <v>6855.464</v>
      </c>
      <c r="BL24" s="35">
        <f t="shared" si="33"/>
        <v>171.3866</v>
      </c>
      <c r="BM24" s="5">
        <f t="shared" si="34"/>
        <v>7026.8506</v>
      </c>
      <c r="BN24" s="34">
        <f t="shared" si="35"/>
        <v>286.09399279999997</v>
      </c>
      <c r="BP24" s="35">
        <f t="shared" si="62"/>
        <v>128556.504</v>
      </c>
      <c r="BQ24" s="35">
        <f t="shared" si="36"/>
        <v>3213.9126</v>
      </c>
      <c r="BR24" s="5">
        <f t="shared" si="37"/>
        <v>131770.4166</v>
      </c>
      <c r="BS24" s="34">
        <f t="shared" si="38"/>
        <v>5364.953200800001</v>
      </c>
      <c r="BU24" s="35">
        <f t="shared" si="63"/>
        <v>9067.376</v>
      </c>
      <c r="BV24" s="35">
        <f t="shared" si="39"/>
        <v>226.6844</v>
      </c>
      <c r="BW24" s="5">
        <f t="shared" si="40"/>
        <v>9294.0604</v>
      </c>
      <c r="BX24" s="34">
        <f t="shared" si="41"/>
        <v>378.4020752</v>
      </c>
      <c r="BZ24" s="35">
        <f t="shared" si="64"/>
        <v>121429.48</v>
      </c>
      <c r="CA24" s="35">
        <f t="shared" si="42"/>
        <v>3035.737</v>
      </c>
      <c r="CB24" s="5">
        <f t="shared" si="43"/>
        <v>124465.21699999999</v>
      </c>
      <c r="CC24" s="34">
        <f t="shared" si="44"/>
        <v>5067.526396</v>
      </c>
      <c r="CE24" s="35">
        <f t="shared" si="65"/>
        <v>62298.344000000005</v>
      </c>
      <c r="CF24" s="35">
        <f t="shared" si="45"/>
        <v>1557.4586000000002</v>
      </c>
      <c r="CG24" s="5">
        <f t="shared" si="46"/>
        <v>63855.8026</v>
      </c>
      <c r="CH24" s="34">
        <f t="shared" si="47"/>
        <v>2599.8505688</v>
      </c>
      <c r="CK24" s="35"/>
      <c r="CL24" s="35">
        <f t="shared" si="48"/>
        <v>0</v>
      </c>
      <c r="CM24" s="34">
        <f t="shared" si="49"/>
        <v>0</v>
      </c>
    </row>
    <row r="25" spans="2:91" ht="12.75">
      <c r="B25" s="33"/>
      <c r="C25" s="34"/>
      <c r="D25" s="34"/>
      <c r="E25" s="34"/>
      <c r="F25" s="34"/>
      <c r="H25"/>
      <c r="I25"/>
      <c r="J25"/>
      <c r="K25"/>
      <c r="L25"/>
      <c r="M25"/>
      <c r="N25"/>
      <c r="O25"/>
      <c r="P25" s="34"/>
      <c r="Q25"/>
      <c r="R25"/>
      <c r="S25"/>
      <c r="T25"/>
      <c r="U25" s="34"/>
      <c r="V25"/>
      <c r="W25"/>
      <c r="X25"/>
      <c r="Y25"/>
      <c r="Z25" s="34"/>
      <c r="AA25"/>
      <c r="AB25"/>
      <c r="AC25"/>
      <c r="AD25"/>
      <c r="AE25" s="34"/>
      <c r="AF25"/>
      <c r="AG25"/>
      <c r="AH25"/>
      <c r="AI25"/>
      <c r="AJ25" s="34"/>
      <c r="AK25"/>
      <c r="AL25"/>
      <c r="AM25"/>
      <c r="AN25"/>
      <c r="AO25" s="34"/>
      <c r="AP25"/>
      <c r="AQ25"/>
      <c r="AR25"/>
      <c r="AT25" s="34"/>
      <c r="AU25"/>
      <c r="AV25"/>
      <c r="AW25"/>
      <c r="AY25" s="34"/>
      <c r="AZ25"/>
      <c r="BA25"/>
      <c r="BB25"/>
      <c r="BD25" s="34"/>
      <c r="BE25"/>
      <c r="BF25"/>
      <c r="BG25"/>
      <c r="BH25"/>
      <c r="BI25" s="34"/>
      <c r="BJ25"/>
      <c r="BK25"/>
      <c r="BL25"/>
      <c r="BM25"/>
      <c r="BN25" s="34"/>
      <c r="BO25"/>
      <c r="BP25"/>
      <c r="BQ25"/>
      <c r="BR25"/>
      <c r="BS25" s="34"/>
      <c r="BT25"/>
      <c r="BU25"/>
      <c r="BV25"/>
      <c r="BW25"/>
      <c r="BX25" s="34"/>
      <c r="BY25"/>
      <c r="BZ25"/>
      <c r="CA25"/>
      <c r="CB25"/>
      <c r="CC25" s="34"/>
      <c r="CD25"/>
      <c r="CE25"/>
      <c r="CF25"/>
      <c r="CG25"/>
      <c r="CH25" s="34"/>
      <c r="CI25"/>
      <c r="CK25" s="35"/>
      <c r="CL25" s="35"/>
      <c r="CM25" s="34"/>
    </row>
    <row r="26" spans="1:91" ht="13.5" thickBot="1">
      <c r="A26" s="38" t="s">
        <v>4</v>
      </c>
      <c r="C26" s="39">
        <f>SUM(C9:C25)</f>
        <v>16830000</v>
      </c>
      <c r="D26" s="39">
        <f>SUM(D9:D25)</f>
        <v>4001000</v>
      </c>
      <c r="E26" s="39">
        <f>SUM(E9:E25)</f>
        <v>20831000</v>
      </c>
      <c r="F26" s="39">
        <f>SUM(F9:F25)</f>
        <v>1655936</v>
      </c>
      <c r="H26" s="39">
        <f>SUM(H9:H25)</f>
        <v>16830000</v>
      </c>
      <c r="I26" s="39">
        <f>SUM(I9:I25)</f>
        <v>4001000</v>
      </c>
      <c r="J26" s="39">
        <f>SUM(J9:J25)</f>
        <v>20831000</v>
      </c>
      <c r="K26" s="39">
        <f>SUM(K9:K25)</f>
        <v>1655936.0000000002</v>
      </c>
      <c r="M26" s="39">
        <f>SUM(M9:M25)</f>
        <v>6587364.662999999</v>
      </c>
      <c r="N26" s="39">
        <f>SUM(N9:N25)</f>
        <v>1566015.8061</v>
      </c>
      <c r="O26" s="39">
        <f>SUM(O9:O25)</f>
        <v>8153380.4690999985</v>
      </c>
      <c r="P26" s="39">
        <f>SUM(P9:P25)</f>
        <v>648143.4516096001</v>
      </c>
      <c r="Q26" s="34"/>
      <c r="R26" s="39">
        <f>SUM(R9:R25)</f>
        <v>14990.481000000002</v>
      </c>
      <c r="S26" s="39">
        <f>SUM(S9:S25)</f>
        <v>3563.690699999999</v>
      </c>
      <c r="T26" s="39">
        <f>SUM(T9:T25)</f>
        <v>18554.1717</v>
      </c>
      <c r="U26" s="39">
        <f>SUM(U9:U25)</f>
        <v>1474.9421952</v>
      </c>
      <c r="W26" s="39">
        <f>SUM(W9:W25)</f>
        <v>4342054.167</v>
      </c>
      <c r="X26" s="39">
        <f>SUM(X9:X25)</f>
        <v>1032237.5948999999</v>
      </c>
      <c r="Y26" s="39">
        <f>SUM(Y9:Y25)</f>
        <v>5374291.7619</v>
      </c>
      <c r="Z26" s="39">
        <f>SUM(Z9:Z25)</f>
        <v>427223.0427264001</v>
      </c>
      <c r="AB26" s="39">
        <f>SUM(AB9:AB25)</f>
        <v>523283.4089999999</v>
      </c>
      <c r="AC26" s="39">
        <f>SUM(AC9:AC25)</f>
        <v>124400.2923</v>
      </c>
      <c r="AD26" s="39">
        <f>SUM(AD9:AD25)</f>
        <v>647683.7013</v>
      </c>
      <c r="AE26" s="39">
        <f>SUM(AE9:AE25)</f>
        <v>51486.85889280002</v>
      </c>
      <c r="AG26" s="39">
        <f>SUM(AG9:AG25)</f>
        <v>296186.121</v>
      </c>
      <c r="AH26" s="39">
        <f>SUM(AH9:AH25)</f>
        <v>70412.39869999999</v>
      </c>
      <c r="AI26" s="39">
        <f>SUM(AI9:AI25)</f>
        <v>366598.5197</v>
      </c>
      <c r="AJ26" s="39">
        <f>SUM(AJ9:AJ25)</f>
        <v>29142.32088319999</v>
      </c>
      <c r="AL26" s="39">
        <f>SUM(AL9:AL25)</f>
        <v>233869.68</v>
      </c>
      <c r="AM26" s="39">
        <f>SUM(AM9:AM25)</f>
        <v>55597.89600000001</v>
      </c>
      <c r="AN26" s="39">
        <f>SUM(AN9:AN25)</f>
        <v>289467.576</v>
      </c>
      <c r="AO26" s="39">
        <f>SUM(AO9:AO25)</f>
        <v>23010.886655999995</v>
      </c>
      <c r="AQ26" s="39">
        <f>SUM(AQ9:AQ25)</f>
        <v>1064549.6730000002</v>
      </c>
      <c r="AR26" s="39">
        <f>SUM(AR9:AR25)</f>
        <v>253075.6531</v>
      </c>
      <c r="AS26" s="39">
        <f>SUM(AS9:AS25)</f>
        <v>1317625.3261</v>
      </c>
      <c r="AT26" s="39">
        <f>SUM(AT9:AT25)</f>
        <v>104743.08540160001</v>
      </c>
      <c r="AV26" s="39">
        <f>SUM(AV9:AV25)</f>
        <v>55180.521</v>
      </c>
      <c r="AW26" s="39">
        <f>SUM(AW9:AW25)</f>
        <v>13118.078699999996</v>
      </c>
      <c r="AX26" s="39">
        <f>SUM(AX9:AX25)</f>
        <v>68298.59969999999</v>
      </c>
      <c r="AY26" s="39">
        <f>SUM(AY9:AY25)</f>
        <v>5429.317363199998</v>
      </c>
      <c r="BA26" s="39">
        <f>SUM(BA9:BA25)</f>
        <v>1030997.385</v>
      </c>
      <c r="BB26" s="39">
        <f>SUM(BB9:BB25)</f>
        <v>245099.2595</v>
      </c>
      <c r="BC26" s="39">
        <f>SUM(BC9:BC25)</f>
        <v>1276096.6445</v>
      </c>
      <c r="BD26" s="39">
        <f>SUM(BD9:BD25)</f>
        <v>101441.81139199997</v>
      </c>
      <c r="BF26" s="39">
        <f>SUM(BF9:BF25)</f>
        <v>454214.772</v>
      </c>
      <c r="BG26" s="39">
        <f>SUM(BG9:BG25)</f>
        <v>107980.5884</v>
      </c>
      <c r="BH26" s="39">
        <f>SUM(BH9:BH25)</f>
        <v>562195.3603999999</v>
      </c>
      <c r="BI26" s="39">
        <f>SUM(BI9:BI25)</f>
        <v>44691.0631424</v>
      </c>
      <c r="BK26" s="39">
        <f>SUM(BK9:BK25)</f>
        <v>46523.169</v>
      </c>
      <c r="BL26" s="39">
        <f>SUM(BL9:BL25)</f>
        <v>11059.9643</v>
      </c>
      <c r="BM26" s="39">
        <f>SUM(BM9:BM25)</f>
        <v>57583.133299999994</v>
      </c>
      <c r="BN26" s="39">
        <f>SUM(BN9:BN25)</f>
        <v>4577.503884799999</v>
      </c>
      <c r="BP26" s="39">
        <f>SUM(BP9:BP25)</f>
        <v>872421.7590000001</v>
      </c>
      <c r="BQ26" s="39">
        <f>SUM(BQ9:BQ25)</f>
        <v>207401.03730000005</v>
      </c>
      <c r="BR26" s="39">
        <f>SUM(BR9:BR25)</f>
        <v>1079822.7963</v>
      </c>
      <c r="BS26" s="39">
        <f>SUM(BS9:BS25)</f>
        <v>85839.25121280001</v>
      </c>
      <c r="BU26" s="39">
        <f>SUM(BU9:BU25)</f>
        <v>61533.846000000005</v>
      </c>
      <c r="BV26" s="39">
        <f>SUM(BV9:BV25)</f>
        <v>14628.456199999999</v>
      </c>
      <c r="BW26" s="39">
        <f>SUM(BW9:BW25)</f>
        <v>76162.30219999999</v>
      </c>
      <c r="BX26" s="39">
        <f>SUM(BX9:BX25)</f>
        <v>6054.433203199999</v>
      </c>
      <c r="BZ26" s="39">
        <f>SUM(BZ9:BZ25)</f>
        <v>824055.705</v>
      </c>
      <c r="CA26" s="39">
        <f>SUM(CA9:CA25)</f>
        <v>195902.9635</v>
      </c>
      <c r="CB26" s="39">
        <f>SUM(CB9:CB25)</f>
        <v>1019958.6684999997</v>
      </c>
      <c r="CC26" s="39">
        <f>SUM(CC9:CC25)</f>
        <v>81080.422336</v>
      </c>
      <c r="CE26" s="39">
        <f>SUM(CE9:CE25)</f>
        <v>422774.64900000003</v>
      </c>
      <c r="CF26" s="39">
        <f>SUM(CF9:CF25)</f>
        <v>100506.3203</v>
      </c>
      <c r="CG26" s="39">
        <f>SUM(CG9:CG25)</f>
        <v>523280.9693000001</v>
      </c>
      <c r="CH26" s="39">
        <f>SUM(CH9:CH25)</f>
        <v>41597.6091008</v>
      </c>
      <c r="CJ26" s="39">
        <f>SUM(CJ9:CJ25)</f>
        <v>0</v>
      </c>
      <c r="CK26" s="39">
        <f>SUM(CK9:CK25)</f>
        <v>0</v>
      </c>
      <c r="CL26" s="39">
        <f>SUM(CL9:CL25)</f>
        <v>0</v>
      </c>
      <c r="CM26" s="39">
        <f>SUM(CM9:CM25)</f>
        <v>0</v>
      </c>
    </row>
    <row r="27" spans="3:6" ht="13.5" thickTop="1">
      <c r="C27"/>
      <c r="D27"/>
      <c r="E27"/>
      <c r="F27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3:6" ht="12.75">
      <c r="C30"/>
      <c r="D30"/>
      <c r="E30"/>
      <c r="F30"/>
    </row>
    <row r="31" spans="3:6" ht="12.75">
      <c r="C31"/>
      <c r="D31"/>
      <c r="E31"/>
      <c r="F31"/>
    </row>
    <row r="32" spans="3:6" ht="12.75">
      <c r="C32"/>
      <c r="D32"/>
      <c r="E32"/>
      <c r="F32"/>
    </row>
  </sheetData>
  <sheetProtection/>
  <printOptions/>
  <pageMargins left="0.5" right="0" top="0.75" bottom="0.75" header="0.3" footer="0.3"/>
  <pageSetup horizontalDpi="600" verticalDpi="600" orientation="landscape" scale="90" r:id="rId1"/>
  <colBreaks count="8" manualBreakCount="8">
    <brk id="12" max="65535" man="1"/>
    <brk id="21" max="65535" man="1"/>
    <brk id="32" max="65535" man="1"/>
    <brk id="42" max="65535" man="1"/>
    <brk id="52" max="65535" man="1"/>
    <brk id="62" max="65535" man="1"/>
    <brk id="72" max="65535" man="1"/>
    <brk id="8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55"/>
  <sheetViews>
    <sheetView zoomScale="214" zoomScaleNormal="214" zoomScalePageLayoutView="0" workbookViewId="0" topLeftCell="A1">
      <pane xSplit="3" ySplit="5" topLeftCell="S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7" sqref="S7"/>
    </sheetView>
  </sheetViews>
  <sheetFormatPr defaultColWidth="9.140625" defaultRowHeight="12.75"/>
  <cols>
    <col min="1" max="1" width="9.140625" style="0" customWidth="1"/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0.7109375" style="44" customWidth="1"/>
    <col min="7" max="7" width="10.8515625" style="44" hidden="1" customWidth="1"/>
    <col min="8" max="8" width="10.8515625" style="44" customWidth="1"/>
    <col min="9" max="9" width="11.8515625" style="44" customWidth="1"/>
    <col min="10" max="10" width="12.7109375" style="44" customWidth="1"/>
    <col min="11" max="11" width="11.00390625" style="44" customWidth="1"/>
    <col min="12" max="12" width="10.00390625" style="44" customWidth="1"/>
    <col min="13" max="13" width="11.28125" style="44" customWidth="1"/>
    <col min="14" max="14" width="12.85156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4.00390625" style="44" customWidth="1"/>
    <col min="19" max="19" width="12.7109375" style="8" customWidth="1"/>
    <col min="20" max="20" width="13.00390625" style="0" customWidth="1"/>
  </cols>
  <sheetData>
    <row r="1" ht="12.75">
      <c r="A1" s="82" t="s">
        <v>85</v>
      </c>
    </row>
    <row r="3" spans="1:19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3" t="s">
        <v>89</v>
      </c>
      <c r="S3" s="47" t="s">
        <v>7</v>
      </c>
    </row>
    <row r="4" spans="1:19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28</v>
      </c>
      <c r="S4" s="50" t="s">
        <v>23</v>
      </c>
    </row>
    <row r="5" spans="1:19" s="54" customFormat="1" ht="13.5" thickBot="1">
      <c r="A5" s="51"/>
      <c r="B5" s="51"/>
      <c r="C5" s="51" t="s">
        <v>24</v>
      </c>
      <c r="D5" s="52">
        <f>SUM(E5:R5)</f>
        <v>115000000</v>
      </c>
      <c r="E5" s="52">
        <f aca="true" t="shared" si="0" ref="E5:R5">SUM(E6:E53)</f>
        <v>3767204.38</v>
      </c>
      <c r="F5" s="52">
        <f t="shared" si="0"/>
        <v>49709.96</v>
      </c>
      <c r="G5" s="52">
        <f t="shared" si="0"/>
        <v>0</v>
      </c>
      <c r="H5" s="52">
        <f t="shared" si="0"/>
        <v>57204.219999999994</v>
      </c>
      <c r="I5" s="52">
        <f t="shared" si="0"/>
        <v>629716.2</v>
      </c>
      <c r="J5" s="52">
        <f t="shared" si="0"/>
        <v>1265062.98</v>
      </c>
      <c r="K5" s="52">
        <f t="shared" si="0"/>
        <v>384485.73</v>
      </c>
      <c r="L5" s="52">
        <f t="shared" si="0"/>
        <v>5144.66</v>
      </c>
      <c r="M5" s="52">
        <f t="shared" si="0"/>
        <v>76321.32</v>
      </c>
      <c r="N5" s="52">
        <f t="shared" si="0"/>
        <v>8627258.91</v>
      </c>
      <c r="O5" s="52">
        <f t="shared" si="0"/>
        <v>7094.66</v>
      </c>
      <c r="P5" s="52">
        <f t="shared" si="0"/>
        <v>9185380.42</v>
      </c>
      <c r="Q5" s="52">
        <f t="shared" si="0"/>
        <v>224760.65</v>
      </c>
      <c r="R5" s="52">
        <f t="shared" si="0"/>
        <v>90720655.91</v>
      </c>
      <c r="S5" s="53"/>
    </row>
    <row r="6" spans="1:18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9" ht="12.75">
      <c r="A7" s="68" t="s">
        <v>11</v>
      </c>
      <c r="B7" s="68" t="s">
        <v>79</v>
      </c>
      <c r="C7" s="68" t="s">
        <v>39</v>
      </c>
      <c r="D7" s="44">
        <f>SUM(E7:R7)</f>
        <v>76383.24</v>
      </c>
      <c r="E7" s="58">
        <f>76383.24</f>
        <v>76383.24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8">
        <f>D7/$D$5</f>
        <v>0.0006642020869565218</v>
      </c>
    </row>
    <row r="8" spans="1:19" ht="12.75" hidden="1">
      <c r="A8" s="56" t="s">
        <v>11</v>
      </c>
      <c r="B8" s="68" t="s">
        <v>38</v>
      </c>
      <c r="C8" s="56" t="s">
        <v>37</v>
      </c>
      <c r="D8" s="44">
        <f aca="true" t="shared" si="1" ref="D8:D52">SUM(E8:R8)</f>
        <v>0</v>
      </c>
      <c r="E8" s="58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8">
        <f>D8/$D$5</f>
        <v>0</v>
      </c>
    </row>
    <row r="9" spans="1:19" ht="12.75">
      <c r="A9" s="68" t="s">
        <v>11</v>
      </c>
      <c r="B9" s="68" t="s">
        <v>44</v>
      </c>
      <c r="C9" s="68" t="s">
        <v>41</v>
      </c>
      <c r="D9" s="44">
        <f>SUM(E9:R9)</f>
        <v>15591.94</v>
      </c>
      <c r="E9" s="58">
        <f>15591.94</f>
        <v>15591.94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8">
        <f>D9/$D$5</f>
        <v>0.00013558208695652174</v>
      </c>
    </row>
    <row r="10" spans="1:19" ht="12.75" hidden="1">
      <c r="A10" s="68" t="s">
        <v>11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8">
        <f>D10/$D$5</f>
        <v>0</v>
      </c>
    </row>
    <row r="11" spans="1:19" ht="12.75" hidden="1">
      <c r="A11" s="68" t="s">
        <v>11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">
        <f>D11/$D$5</f>
        <v>0</v>
      </c>
    </row>
    <row r="12" spans="1:19" ht="12.75">
      <c r="A12" s="56" t="s">
        <v>12</v>
      </c>
      <c r="B12" s="56" t="s">
        <v>93</v>
      </c>
      <c r="C12" s="68" t="s">
        <v>39</v>
      </c>
      <c r="D12" s="44">
        <f t="shared" si="1"/>
        <v>38213.39</v>
      </c>
      <c r="E12" s="58"/>
      <c r="F12" s="58">
        <f>25730.75+1183.44+3672+3000+56+4000+571.2</f>
        <v>38213.39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>
        <f aca="true" t="shared" si="2" ref="S12:S52">D12/$D$5</f>
        <v>0.00033229034782608695</v>
      </c>
    </row>
    <row r="13" spans="1:19" ht="12.75" hidden="1">
      <c r="A13" s="56" t="s">
        <v>12</v>
      </c>
      <c r="B13" s="68" t="s">
        <v>49</v>
      </c>
      <c r="C13" s="56" t="s">
        <v>43</v>
      </c>
      <c r="D13" s="44">
        <f t="shared" si="1"/>
        <v>0</v>
      </c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">
        <f t="shared" si="2"/>
        <v>0</v>
      </c>
    </row>
    <row r="14" spans="1:19" ht="12.75" hidden="1">
      <c r="A14" s="56" t="s">
        <v>13</v>
      </c>
      <c r="B14" s="68" t="s">
        <v>50</v>
      </c>
      <c r="C14" s="56" t="s">
        <v>43</v>
      </c>
      <c r="D14" s="44">
        <f t="shared" si="1"/>
        <v>0</v>
      </c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8">
        <f t="shared" si="2"/>
        <v>0</v>
      </c>
    </row>
    <row r="15" spans="1:19" ht="12.75" hidden="1">
      <c r="A15" s="56" t="s">
        <v>14</v>
      </c>
      <c r="B15" s="68" t="s">
        <v>46</v>
      </c>
      <c r="C15" s="68" t="s">
        <v>39</v>
      </c>
      <c r="D15" s="44">
        <f t="shared" si="1"/>
        <v>0</v>
      </c>
      <c r="E15" s="58"/>
      <c r="F15" s="58"/>
      <c r="G15" s="57"/>
      <c r="H15" s="58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8">
        <f t="shared" si="2"/>
        <v>0</v>
      </c>
    </row>
    <row r="16" spans="1:19" ht="12.75">
      <c r="A16" s="56" t="s">
        <v>14</v>
      </c>
      <c r="B16" s="68" t="s">
        <v>76</v>
      </c>
      <c r="C16" s="68" t="s">
        <v>86</v>
      </c>
      <c r="D16" s="44">
        <f t="shared" si="1"/>
        <v>3801.88</v>
      </c>
      <c r="E16" s="58"/>
      <c r="F16" s="58"/>
      <c r="G16" s="57"/>
      <c r="H16" s="58">
        <v>3801.88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8">
        <f t="shared" si="2"/>
        <v>3.305982608695652E-05</v>
      </c>
    </row>
    <row r="17" spans="1:19" ht="12.75">
      <c r="A17" s="56" t="s">
        <v>14</v>
      </c>
      <c r="B17" s="68" t="s">
        <v>76</v>
      </c>
      <c r="C17" s="68" t="s">
        <v>77</v>
      </c>
      <c r="D17" s="44">
        <f t="shared" si="1"/>
        <v>53402.34</v>
      </c>
      <c r="E17" s="58"/>
      <c r="F17" s="58"/>
      <c r="G17" s="57"/>
      <c r="H17" s="58">
        <v>53402.34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">
        <f t="shared" si="2"/>
        <v>0.00046436817391304347</v>
      </c>
    </row>
    <row r="18" spans="1:19" ht="12.75">
      <c r="A18" s="56" t="s">
        <v>15</v>
      </c>
      <c r="B18" s="68" t="s">
        <v>75</v>
      </c>
      <c r="C18" s="68" t="s">
        <v>39</v>
      </c>
      <c r="D18" s="44">
        <f t="shared" si="1"/>
        <v>12427.35</v>
      </c>
      <c r="E18" s="58"/>
      <c r="F18" s="58"/>
      <c r="G18" s="57"/>
      <c r="H18" s="58"/>
      <c r="I18" s="58">
        <f>12427.35</f>
        <v>12427.35</v>
      </c>
      <c r="J18" s="57"/>
      <c r="K18" s="57"/>
      <c r="L18" s="57"/>
      <c r="M18" s="57"/>
      <c r="N18" s="57"/>
      <c r="O18" s="57"/>
      <c r="P18" s="57"/>
      <c r="Q18" s="57"/>
      <c r="R18" s="57"/>
      <c r="S18" s="8">
        <f t="shared" si="2"/>
        <v>0.00010806391304347826</v>
      </c>
    </row>
    <row r="19" spans="1:19" ht="12.75">
      <c r="A19" s="68" t="s">
        <v>15</v>
      </c>
      <c r="B19" s="68" t="s">
        <v>75</v>
      </c>
      <c r="C19" s="68" t="s">
        <v>88</v>
      </c>
      <c r="D19" s="44">
        <f t="shared" si="1"/>
        <v>609912.1</v>
      </c>
      <c r="E19" s="58"/>
      <c r="F19" s="58"/>
      <c r="G19" s="57"/>
      <c r="H19" s="58"/>
      <c r="I19" s="58">
        <f>609912.1</f>
        <v>609912.1</v>
      </c>
      <c r="J19" s="57"/>
      <c r="K19" s="57"/>
      <c r="L19" s="57"/>
      <c r="M19" s="57"/>
      <c r="N19" s="57"/>
      <c r="O19" s="57"/>
      <c r="P19" s="57"/>
      <c r="Q19" s="57"/>
      <c r="R19" s="57"/>
      <c r="S19" s="8">
        <f t="shared" si="2"/>
        <v>0.005303583478260869</v>
      </c>
    </row>
    <row r="20" spans="1:19" ht="12.75">
      <c r="A20" s="56" t="s">
        <v>16</v>
      </c>
      <c r="B20" s="68" t="s">
        <v>90</v>
      </c>
      <c r="C20" s="68" t="s">
        <v>39</v>
      </c>
      <c r="D20" s="44">
        <f t="shared" si="1"/>
        <v>1265062.98</v>
      </c>
      <c r="E20" s="58"/>
      <c r="F20" s="58"/>
      <c r="G20" s="57"/>
      <c r="H20" s="58"/>
      <c r="I20" s="57"/>
      <c r="J20" s="58">
        <f>317000+317000+317000+314062.98</f>
        <v>1265062.98</v>
      </c>
      <c r="K20" s="58"/>
      <c r="L20" s="57"/>
      <c r="M20" s="57"/>
      <c r="N20" s="57"/>
      <c r="O20" s="57"/>
      <c r="P20" s="57"/>
      <c r="Q20" s="57"/>
      <c r="R20" s="57"/>
      <c r="S20" s="8">
        <f t="shared" si="2"/>
        <v>0.011000547652173913</v>
      </c>
    </row>
    <row r="21" spans="1:19" ht="12.75">
      <c r="A21" s="56" t="s">
        <v>78</v>
      </c>
      <c r="B21" s="68" t="s">
        <v>76</v>
      </c>
      <c r="C21" s="68" t="s">
        <v>87</v>
      </c>
      <c r="D21" s="44">
        <f t="shared" si="1"/>
        <v>384485.73</v>
      </c>
      <c r="E21" s="58"/>
      <c r="F21" s="58"/>
      <c r="G21" s="57"/>
      <c r="H21" s="58"/>
      <c r="I21" s="57"/>
      <c r="J21" s="58"/>
      <c r="K21" s="58">
        <f>384485.73</f>
        <v>384485.73</v>
      </c>
      <c r="L21" s="57"/>
      <c r="M21" s="57"/>
      <c r="N21" s="57"/>
      <c r="O21" s="57"/>
      <c r="P21" s="57"/>
      <c r="Q21" s="57"/>
      <c r="R21" s="57"/>
      <c r="S21" s="8">
        <f t="shared" si="2"/>
        <v>0.0033433541739130435</v>
      </c>
    </row>
    <row r="22" spans="1:19" ht="12.75">
      <c r="A22" s="56" t="s">
        <v>17</v>
      </c>
      <c r="B22" s="56" t="s">
        <v>75</v>
      </c>
      <c r="C22" s="68" t="s">
        <v>39</v>
      </c>
      <c r="D22" s="44">
        <f t="shared" si="1"/>
        <v>5144.66</v>
      </c>
      <c r="E22" s="58"/>
      <c r="F22" s="58"/>
      <c r="G22" s="57"/>
      <c r="H22" s="58"/>
      <c r="I22" s="57"/>
      <c r="J22" s="58"/>
      <c r="K22" s="58"/>
      <c r="L22" s="58">
        <f>5144.66</f>
        <v>5144.66</v>
      </c>
      <c r="M22" s="57"/>
      <c r="N22" s="57"/>
      <c r="O22" s="57"/>
      <c r="P22" s="57"/>
      <c r="Q22" s="57"/>
      <c r="R22" s="57"/>
      <c r="S22" s="8">
        <f t="shared" si="2"/>
        <v>4.473617391304348E-05</v>
      </c>
    </row>
    <row r="23" spans="1:19" ht="12.75" hidden="1">
      <c r="A23" s="56" t="s">
        <v>17</v>
      </c>
      <c r="B23" s="56" t="s">
        <v>47</v>
      </c>
      <c r="C23" s="56" t="s">
        <v>48</v>
      </c>
      <c r="D23" s="44">
        <f t="shared" si="1"/>
        <v>0</v>
      </c>
      <c r="E23" s="58"/>
      <c r="F23" s="57"/>
      <c r="G23" s="57"/>
      <c r="H23" s="57"/>
      <c r="I23" s="57"/>
      <c r="J23" s="57"/>
      <c r="K23" s="57"/>
      <c r="L23" s="58"/>
      <c r="M23" s="57"/>
      <c r="N23" s="57"/>
      <c r="O23" s="57"/>
      <c r="P23" s="57"/>
      <c r="Q23" s="57"/>
      <c r="R23" s="57"/>
      <c r="S23" s="8">
        <f t="shared" si="2"/>
        <v>0</v>
      </c>
    </row>
    <row r="24" spans="1:19" ht="12.75">
      <c r="A24" s="56" t="s">
        <v>18</v>
      </c>
      <c r="B24" s="68" t="s">
        <v>38</v>
      </c>
      <c r="C24" s="68" t="s">
        <v>39</v>
      </c>
      <c r="D24" s="44">
        <f t="shared" si="1"/>
        <v>76321.32</v>
      </c>
      <c r="E24" s="58"/>
      <c r="F24" s="57"/>
      <c r="G24" s="57"/>
      <c r="H24" s="57"/>
      <c r="I24" s="57"/>
      <c r="J24" s="57"/>
      <c r="K24" s="57"/>
      <c r="L24" s="58"/>
      <c r="M24" s="58">
        <f>76321.32</f>
        <v>76321.32</v>
      </c>
      <c r="N24" s="57"/>
      <c r="O24" s="57"/>
      <c r="P24" s="57"/>
      <c r="Q24" s="57"/>
      <c r="R24" s="57"/>
      <c r="S24" s="8">
        <f t="shared" si="2"/>
        <v>0.0006636636521739131</v>
      </c>
    </row>
    <row r="25" spans="1:19" ht="12.75" hidden="1">
      <c r="A25" s="56" t="s">
        <v>18</v>
      </c>
      <c r="B25" s="56" t="s">
        <v>45</v>
      </c>
      <c r="C25" s="56" t="s">
        <v>43</v>
      </c>
      <c r="D25" s="44">
        <f t="shared" si="1"/>
        <v>0</v>
      </c>
      <c r="E25" s="58"/>
      <c r="F25" s="57"/>
      <c r="G25" s="57"/>
      <c r="H25" s="57"/>
      <c r="I25" s="57"/>
      <c r="J25" s="57"/>
      <c r="K25" s="57"/>
      <c r="L25" s="58"/>
      <c r="M25" s="58"/>
      <c r="N25" s="57"/>
      <c r="O25" s="57"/>
      <c r="P25" s="57"/>
      <c r="Q25" s="57"/>
      <c r="R25" s="57"/>
      <c r="S25" s="8">
        <f t="shared" si="2"/>
        <v>0</v>
      </c>
    </row>
    <row r="26" spans="1:19" ht="12.75" hidden="1">
      <c r="A26" s="56" t="s">
        <v>18</v>
      </c>
      <c r="B26" s="68"/>
      <c r="C26" s="56"/>
      <c r="D26" s="44">
        <f t="shared" si="1"/>
        <v>0</v>
      </c>
      <c r="E26" s="58"/>
      <c r="F26" s="57"/>
      <c r="G26" s="57"/>
      <c r="H26" s="57"/>
      <c r="I26" s="57"/>
      <c r="J26" s="57"/>
      <c r="K26" s="57"/>
      <c r="L26" s="58"/>
      <c r="M26" s="58"/>
      <c r="N26" s="57"/>
      <c r="O26" s="57"/>
      <c r="P26" s="57"/>
      <c r="Q26" s="57"/>
      <c r="R26" s="57"/>
      <c r="S26" s="8">
        <f t="shared" si="2"/>
        <v>0</v>
      </c>
    </row>
    <row r="27" spans="1:19" ht="12.75">
      <c r="A27" s="56" t="s">
        <v>19</v>
      </c>
      <c r="B27" s="68" t="s">
        <v>91</v>
      </c>
      <c r="C27" s="68" t="s">
        <v>39</v>
      </c>
      <c r="D27" s="44">
        <f t="shared" si="1"/>
        <v>52268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52268</f>
        <v>52268</v>
      </c>
      <c r="O27" s="57"/>
      <c r="P27" s="57"/>
      <c r="Q27" s="57"/>
      <c r="R27" s="57"/>
      <c r="S27" s="8">
        <f t="shared" si="2"/>
        <v>0.00045450434782608694</v>
      </c>
    </row>
    <row r="28" spans="1:19" ht="12.75">
      <c r="A28" s="56" t="s">
        <v>20</v>
      </c>
      <c r="B28" s="56" t="s">
        <v>91</v>
      </c>
      <c r="C28" s="68" t="s">
        <v>39</v>
      </c>
      <c r="D28" s="44">
        <f t="shared" si="1"/>
        <v>7094.66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7094.66</f>
        <v>7094.66</v>
      </c>
      <c r="P28" s="57"/>
      <c r="Q28" s="57"/>
      <c r="R28" s="57"/>
      <c r="S28" s="8">
        <f t="shared" si="2"/>
        <v>6.169269565217392E-05</v>
      </c>
    </row>
    <row r="29" spans="1:19" ht="12.75" hidden="1">
      <c r="A29" s="56" t="s">
        <v>20</v>
      </c>
      <c r="B29" s="56" t="s">
        <v>40</v>
      </c>
      <c r="C29" s="56" t="s">
        <v>42</v>
      </c>
      <c r="D29" s="44">
        <f t="shared" si="1"/>
        <v>0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/>
      <c r="P29" s="57"/>
      <c r="Q29" s="57"/>
      <c r="R29" s="57"/>
      <c r="S29" s="8">
        <f t="shared" si="2"/>
        <v>0</v>
      </c>
    </row>
    <row r="30" spans="1:19" ht="12.75">
      <c r="A30" s="56" t="s">
        <v>21</v>
      </c>
      <c r="B30" s="56" t="s">
        <v>38</v>
      </c>
      <c r="C30" s="68" t="s">
        <v>39</v>
      </c>
      <c r="D30" s="44">
        <f t="shared" si="1"/>
        <v>19742.42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19742.42</f>
        <v>19742.42</v>
      </c>
      <c r="Q30" s="57"/>
      <c r="R30" s="57"/>
      <c r="S30" s="8">
        <f t="shared" si="2"/>
        <v>0.00017167321739130432</v>
      </c>
    </row>
    <row r="31" spans="1:20" ht="12.75">
      <c r="A31" s="56" t="s">
        <v>22</v>
      </c>
      <c r="B31" s="56" t="s">
        <v>92</v>
      </c>
      <c r="C31" s="68" t="s">
        <v>39</v>
      </c>
      <c r="D31" s="44">
        <f t="shared" si="1"/>
        <v>224760.65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19879.9+176579.75+28301</f>
        <v>224760.65</v>
      </c>
      <c r="R31" s="58"/>
      <c r="S31" s="8">
        <f t="shared" si="2"/>
        <v>0.001954440434782609</v>
      </c>
      <c r="T31" s="8">
        <f>SUM(S7:S31)</f>
        <v>0.02473576226086956</v>
      </c>
    </row>
    <row r="32" spans="1:19" ht="12.75">
      <c r="A32" s="2" t="s">
        <v>11</v>
      </c>
      <c r="B32" s="69" t="s">
        <v>57</v>
      </c>
      <c r="C32" s="59" t="s">
        <v>58</v>
      </c>
      <c r="D32" s="44">
        <f>SUM(E32:R32)</f>
        <v>32410.12</v>
      </c>
      <c r="E32" s="44">
        <f>32410.12</f>
        <v>32410.12</v>
      </c>
      <c r="S32" s="8">
        <f t="shared" si="2"/>
        <v>0.0002818271304347826</v>
      </c>
    </row>
    <row r="33" spans="1:19" ht="12.75" hidden="1">
      <c r="A33" s="69" t="s">
        <v>11</v>
      </c>
      <c r="B33" s="69" t="s">
        <v>67</v>
      </c>
      <c r="C33" s="70" t="s">
        <v>68</v>
      </c>
      <c r="D33" s="44">
        <f>SUM(E33:R33)</f>
        <v>0</v>
      </c>
      <c r="S33" s="8">
        <f t="shared" si="2"/>
        <v>0</v>
      </c>
    </row>
    <row r="34" spans="1:20" ht="12.75">
      <c r="A34" s="56" t="s">
        <v>11</v>
      </c>
      <c r="B34" s="68" t="s">
        <v>94</v>
      </c>
      <c r="C34" s="56" t="s">
        <v>53</v>
      </c>
      <c r="D34" s="44">
        <f t="shared" si="1"/>
        <v>968970.11</v>
      </c>
      <c r="E34" s="58">
        <f>968970.11</f>
        <v>968970.11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58"/>
      <c r="S34" s="8">
        <f t="shared" si="2"/>
        <v>0.008425827043478261</v>
      </c>
      <c r="T34" s="8"/>
    </row>
    <row r="35" spans="1:19" ht="12.75">
      <c r="A35" s="2" t="s">
        <v>11</v>
      </c>
      <c r="B35" s="69" t="s">
        <v>52</v>
      </c>
      <c r="C35" s="59" t="s">
        <v>54</v>
      </c>
      <c r="D35" s="44">
        <f t="shared" si="1"/>
        <v>2673848.97</v>
      </c>
      <c r="E35" s="44">
        <f>2673848.97</f>
        <v>2673848.97</v>
      </c>
      <c r="S35" s="8">
        <f t="shared" si="2"/>
        <v>0.023250860608695655</v>
      </c>
    </row>
    <row r="36" spans="1:19" ht="12.75" hidden="1">
      <c r="A36" s="69" t="s">
        <v>11</v>
      </c>
      <c r="B36" s="69"/>
      <c r="C36" s="70"/>
      <c r="D36" s="44">
        <f t="shared" si="1"/>
        <v>0</v>
      </c>
      <c r="S36" s="8">
        <f t="shared" si="2"/>
        <v>0</v>
      </c>
    </row>
    <row r="37" spans="1:19" ht="12.75" hidden="1">
      <c r="A37" s="69" t="s">
        <v>11</v>
      </c>
      <c r="B37" s="69"/>
      <c r="C37" s="70"/>
      <c r="D37" s="44">
        <f t="shared" si="1"/>
        <v>0</v>
      </c>
      <c r="S37" s="8">
        <f t="shared" si="2"/>
        <v>0</v>
      </c>
    </row>
    <row r="38" spans="1:19" ht="12.75">
      <c r="A38" s="69" t="s">
        <v>12</v>
      </c>
      <c r="B38" s="69" t="s">
        <v>64</v>
      </c>
      <c r="C38" s="70" t="s">
        <v>65</v>
      </c>
      <c r="D38" s="44">
        <f t="shared" si="1"/>
        <v>11496.57</v>
      </c>
      <c r="F38" s="44">
        <f>11496.57</f>
        <v>11496.57</v>
      </c>
      <c r="S38" s="8">
        <f t="shared" si="2"/>
        <v>9.997017391304348E-05</v>
      </c>
    </row>
    <row r="39" spans="1:19" ht="12.75">
      <c r="A39" s="69" t="s">
        <v>15</v>
      </c>
      <c r="B39" s="69" t="s">
        <v>52</v>
      </c>
      <c r="C39" s="70" t="s">
        <v>55</v>
      </c>
      <c r="D39" s="44">
        <f t="shared" si="1"/>
        <v>3486.75</v>
      </c>
      <c r="I39" s="44">
        <f>3486.75</f>
        <v>3486.75</v>
      </c>
      <c r="S39" s="8">
        <f t="shared" si="2"/>
        <v>3.0319565217391305E-05</v>
      </c>
    </row>
    <row r="40" spans="1:19" ht="12.75" hidden="1">
      <c r="A40" s="2" t="s">
        <v>15</v>
      </c>
      <c r="B40" s="69"/>
      <c r="D40" s="44">
        <f t="shared" si="1"/>
        <v>0</v>
      </c>
      <c r="S40" s="8">
        <f t="shared" si="2"/>
        <v>0</v>
      </c>
    </row>
    <row r="41" spans="1:19" ht="12.75" hidden="1">
      <c r="A41" s="69" t="s">
        <v>15</v>
      </c>
      <c r="B41" s="69"/>
      <c r="C41" s="70"/>
      <c r="D41" s="44">
        <f t="shared" si="1"/>
        <v>0</v>
      </c>
      <c r="S41" s="8">
        <f t="shared" si="2"/>
        <v>0</v>
      </c>
    </row>
    <row r="42" spans="1:19" ht="12.75">
      <c r="A42" s="69" t="s">
        <v>15</v>
      </c>
      <c r="B42" s="69" t="s">
        <v>80</v>
      </c>
      <c r="C42" s="70" t="s">
        <v>95</v>
      </c>
      <c r="D42" s="44">
        <f t="shared" si="1"/>
        <v>3890</v>
      </c>
      <c r="I42" s="44">
        <v>3890</v>
      </c>
      <c r="S42" s="8">
        <f t="shared" si="2"/>
        <v>3.382608695652174E-05</v>
      </c>
    </row>
    <row r="43" spans="1:19" ht="12.75">
      <c r="A43" s="69" t="s">
        <v>19</v>
      </c>
      <c r="B43" s="69" t="s">
        <v>100</v>
      </c>
      <c r="C43" s="70" t="s">
        <v>51</v>
      </c>
      <c r="D43" s="44">
        <f t="shared" si="1"/>
        <v>7957292.76</v>
      </c>
      <c r="N43" s="44">
        <f>1613706.12+6343586.64</f>
        <v>7957292.76</v>
      </c>
      <c r="S43" s="8">
        <f t="shared" si="2"/>
        <v>0.06919385008695653</v>
      </c>
    </row>
    <row r="44" spans="1:19" ht="12.75">
      <c r="A44" s="69" t="s">
        <v>19</v>
      </c>
      <c r="B44" s="69" t="s">
        <v>94</v>
      </c>
      <c r="C44" s="70" t="s">
        <v>72</v>
      </c>
      <c r="D44" s="44">
        <f t="shared" si="1"/>
        <v>617698.15</v>
      </c>
      <c r="N44" s="44">
        <f>617698.15</f>
        <v>617698.15</v>
      </c>
      <c r="S44" s="8">
        <f t="shared" si="2"/>
        <v>0.005371288260869566</v>
      </c>
    </row>
    <row r="45" spans="1:19" ht="12.75" hidden="1">
      <c r="A45" s="2" t="s">
        <v>20</v>
      </c>
      <c r="B45" s="69" t="s">
        <v>64</v>
      </c>
      <c r="C45" s="70" t="s">
        <v>66</v>
      </c>
      <c r="D45" s="44">
        <f t="shared" si="1"/>
        <v>0</v>
      </c>
      <c r="S45" s="8">
        <f t="shared" si="2"/>
        <v>0</v>
      </c>
    </row>
    <row r="46" spans="1:19" ht="12.75" hidden="1">
      <c r="A46" s="2" t="s">
        <v>20</v>
      </c>
      <c r="B46" s="69"/>
      <c r="C46" s="70"/>
      <c r="D46" s="44">
        <f t="shared" si="1"/>
        <v>0</v>
      </c>
      <c r="S46" s="8">
        <f t="shared" si="2"/>
        <v>0</v>
      </c>
    </row>
    <row r="47" spans="1:19" ht="12.75">
      <c r="A47" s="2" t="s">
        <v>21</v>
      </c>
      <c r="B47" s="69" t="s">
        <v>59</v>
      </c>
      <c r="C47" t="s">
        <v>96</v>
      </c>
      <c r="D47" s="44">
        <f>SUM(E47:R47)</f>
        <v>498318.09</v>
      </c>
      <c r="P47" s="44">
        <f>498318.09</f>
        <v>498318.09</v>
      </c>
      <c r="S47" s="8">
        <f t="shared" si="2"/>
        <v>0.0043332007826086955</v>
      </c>
    </row>
    <row r="48" spans="1:19" ht="12.75" hidden="1">
      <c r="A48" s="2" t="s">
        <v>21</v>
      </c>
      <c r="B48" s="69" t="s">
        <v>63</v>
      </c>
      <c r="C48" t="s">
        <v>61</v>
      </c>
      <c r="D48" s="44">
        <f>SUM(E48:R48)</f>
        <v>0</v>
      </c>
      <c r="S48" s="8">
        <f t="shared" si="2"/>
        <v>0</v>
      </c>
    </row>
    <row r="49" spans="1:20" ht="12.75">
      <c r="A49" s="2" t="s">
        <v>21</v>
      </c>
      <c r="B49" s="69" t="s">
        <v>97</v>
      </c>
      <c r="C49" t="s">
        <v>56</v>
      </c>
      <c r="D49" s="44">
        <f t="shared" si="1"/>
        <v>8667319.91</v>
      </c>
      <c r="P49" s="44">
        <f>315736.08+8222137.69+129446.14</f>
        <v>8667319.91</v>
      </c>
      <c r="S49" s="8">
        <f t="shared" si="2"/>
        <v>0.0753679992173913</v>
      </c>
      <c r="T49" s="8">
        <f>SUM(S32:S49)</f>
        <v>0.18638896895652174</v>
      </c>
    </row>
    <row r="50" spans="1:19" ht="12.75" hidden="1">
      <c r="A50" s="69" t="s">
        <v>21</v>
      </c>
      <c r="B50" s="69" t="s">
        <v>69</v>
      </c>
      <c r="C50" s="71" t="s">
        <v>70</v>
      </c>
      <c r="D50" s="44">
        <f>SUM(E50:R50)</f>
        <v>0</v>
      </c>
      <c r="S50" s="8">
        <f t="shared" si="2"/>
        <v>0</v>
      </c>
    </row>
    <row r="51" spans="1:20" ht="12.75" hidden="1">
      <c r="A51" s="69" t="s">
        <v>21</v>
      </c>
      <c r="B51" s="69" t="s">
        <v>60</v>
      </c>
      <c r="C51" s="71" t="s">
        <v>62</v>
      </c>
      <c r="D51" s="44">
        <f t="shared" si="1"/>
        <v>0</v>
      </c>
      <c r="S51" s="8">
        <f t="shared" si="2"/>
        <v>0</v>
      </c>
      <c r="T51" s="8"/>
    </row>
    <row r="52" spans="1:20" ht="12.75">
      <c r="A52" s="2"/>
      <c r="B52" s="2"/>
      <c r="C52" s="71" t="s">
        <v>98</v>
      </c>
      <c r="D52" s="44">
        <f t="shared" si="1"/>
        <v>90720655.91</v>
      </c>
      <c r="R52" s="44">
        <f>115000000-24279344.09</f>
        <v>90720655.91</v>
      </c>
      <c r="S52" s="8">
        <f t="shared" si="2"/>
        <v>0.7888752687826087</v>
      </c>
      <c r="T52" s="8">
        <f>S52</f>
        <v>0.7888752687826087</v>
      </c>
    </row>
    <row r="53" spans="5:19" ht="12.7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1"/>
    </row>
    <row r="54" spans="2:20" s="8" customFormat="1" ht="13.5" thickBot="1">
      <c r="B54" s="62"/>
      <c r="C54" s="63" t="s">
        <v>25</v>
      </c>
      <c r="D54" s="64">
        <f>SUM(E54:R54)</f>
        <v>1</v>
      </c>
      <c r="E54" s="65">
        <f>E5/D5</f>
        <v>0.032758298956521735</v>
      </c>
      <c r="F54" s="65">
        <f>F5/D5</f>
        <v>0.0004322605217391304</v>
      </c>
      <c r="G54" s="65">
        <f>G5/D5</f>
        <v>0</v>
      </c>
      <c r="H54" s="65">
        <f>H5/D5</f>
        <v>0.000497428</v>
      </c>
      <c r="I54" s="65">
        <f>I5/D5</f>
        <v>0.0054757930434782606</v>
      </c>
      <c r="J54" s="65">
        <f>J5/D5</f>
        <v>0.011000547652173913</v>
      </c>
      <c r="K54" s="65">
        <f>K5/D5</f>
        <v>0.0033433541739130435</v>
      </c>
      <c r="L54" s="65">
        <f>L5/D5</f>
        <v>4.473617391304348E-05</v>
      </c>
      <c r="M54" s="65">
        <f>M5/D5</f>
        <v>0.0006636636521739131</v>
      </c>
      <c r="N54" s="65">
        <f>N5/D5</f>
        <v>0.07501964269565217</v>
      </c>
      <c r="O54" s="65">
        <f>O5/D5</f>
        <v>6.169269565217392E-05</v>
      </c>
      <c r="P54" s="65">
        <f>P5/D5</f>
        <v>0.07987287321739131</v>
      </c>
      <c r="Q54" s="65">
        <f>Q5/D5</f>
        <v>0.001954440434782609</v>
      </c>
      <c r="R54" s="65">
        <f>R5/D5</f>
        <v>0.7888752687826087</v>
      </c>
      <c r="S54" s="65">
        <f>SUM(S6:S53)</f>
        <v>1</v>
      </c>
      <c r="T54" s="65">
        <f>SUM(T6:T53)</f>
        <v>1</v>
      </c>
    </row>
    <row r="55" spans="1:19" s="8" customFormat="1" ht="13.5" thickTop="1">
      <c r="A55" s="66"/>
      <c r="C55" s="6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</sheetData>
  <sheetProtection/>
  <printOptions/>
  <pageMargins left="0" right="0" top="0.75" bottom="0.75" header="0.3" footer="0.3"/>
  <pageSetup horizontalDpi="600" verticalDpi="600" orientation="landscape" paperSize="5" scale="70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59"/>
  <sheetViews>
    <sheetView zoomScale="166" zoomScaleNormal="166" zoomScalePageLayoutView="0" workbookViewId="0" topLeftCell="A1">
      <pane xSplit="3" ySplit="9" topLeftCell="Q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:IV16384"/>
    </sheetView>
  </sheetViews>
  <sheetFormatPr defaultColWidth="9.140625" defaultRowHeight="12.75"/>
  <cols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2.7109375" style="44" customWidth="1"/>
    <col min="7" max="7" width="10.8515625" style="44" hidden="1" customWidth="1"/>
    <col min="8" max="8" width="10.8515625" style="44" customWidth="1"/>
    <col min="9" max="9" width="13.28125" style="44" customWidth="1"/>
    <col min="10" max="10" width="12.7109375" style="44" customWidth="1"/>
    <col min="11" max="11" width="13.00390625" style="44" customWidth="1"/>
    <col min="12" max="13" width="11.28125" style="44" customWidth="1"/>
    <col min="14" max="14" width="14.281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4.00390625" style="44" customWidth="1"/>
    <col min="19" max="19" width="12.7109375" style="8" customWidth="1"/>
  </cols>
  <sheetData>
    <row r="1" ht="12.75">
      <c r="A1" s="82" t="s">
        <v>85</v>
      </c>
    </row>
    <row r="3" spans="1:19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83" t="s">
        <v>89</v>
      </c>
      <c r="S3" s="47" t="s">
        <v>7</v>
      </c>
    </row>
    <row r="4" spans="1:19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49" t="s">
        <v>28</v>
      </c>
      <c r="S4" s="50" t="s">
        <v>23</v>
      </c>
    </row>
    <row r="5" spans="1:19" s="54" customFormat="1" ht="13.5" thickBot="1">
      <c r="A5" s="51"/>
      <c r="B5" s="51"/>
      <c r="C5" s="51" t="s">
        <v>24</v>
      </c>
      <c r="D5" s="52">
        <f>D7+D9</f>
        <v>115000000</v>
      </c>
      <c r="E5" s="52">
        <f aca="true" t="shared" si="0" ref="E5:R5">E7+E9</f>
        <v>28548873.26</v>
      </c>
      <c r="F5" s="52">
        <f t="shared" si="0"/>
        <v>1029892.0399999998</v>
      </c>
      <c r="G5" s="52">
        <f t="shared" si="0"/>
        <v>0</v>
      </c>
      <c r="H5" s="52">
        <f t="shared" si="0"/>
        <v>213660.66999999998</v>
      </c>
      <c r="I5" s="52">
        <f t="shared" si="0"/>
        <v>8620067.540000001</v>
      </c>
      <c r="J5" s="52">
        <f t="shared" si="0"/>
        <v>1265062.98</v>
      </c>
      <c r="K5" s="52">
        <f t="shared" si="0"/>
        <v>1913557.11</v>
      </c>
      <c r="L5" s="52">
        <f t="shared" si="0"/>
        <v>245264.24</v>
      </c>
      <c r="M5" s="52">
        <f t="shared" si="0"/>
        <v>266057.85000000003</v>
      </c>
      <c r="N5" s="52">
        <f t="shared" si="0"/>
        <v>19962948.47</v>
      </c>
      <c r="O5" s="52">
        <f t="shared" si="0"/>
        <v>41886.97</v>
      </c>
      <c r="P5" s="52">
        <f t="shared" si="0"/>
        <v>26834999.39</v>
      </c>
      <c r="Q5" s="52">
        <f t="shared" si="0"/>
        <v>335786.19999999995</v>
      </c>
      <c r="R5" s="52">
        <f t="shared" si="0"/>
        <v>25721943.279999997</v>
      </c>
      <c r="S5" s="53"/>
    </row>
    <row r="6" spans="1:19" s="54" customFormat="1" ht="13.5" thickTop="1">
      <c r="A6" s="51"/>
      <c r="B6" s="51"/>
      <c r="C6" s="5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7"/>
    </row>
    <row r="7" spans="1:19" s="54" customFormat="1" ht="13.5" thickBot="1">
      <c r="A7" s="51"/>
      <c r="B7" s="51"/>
      <c r="C7" s="94" t="s">
        <v>122</v>
      </c>
      <c r="D7" s="52">
        <f>SUM(E7:R7)</f>
        <v>20000000</v>
      </c>
      <c r="E7" s="52">
        <f>E11</f>
        <v>7105094.96</v>
      </c>
      <c r="F7" s="52">
        <f>F12</f>
        <v>1004755.4699999999</v>
      </c>
      <c r="G7" s="52"/>
      <c r="H7" s="52">
        <f>H13</f>
        <v>21013</v>
      </c>
      <c r="I7" s="52">
        <f>I14</f>
        <v>327470.47000000003</v>
      </c>
      <c r="J7" s="52">
        <f>J15</f>
        <v>1265062.98</v>
      </c>
      <c r="K7" s="52">
        <f>K16</f>
        <v>39328.04</v>
      </c>
      <c r="L7" s="52">
        <f>L17</f>
        <v>245264.24</v>
      </c>
      <c r="M7" s="52">
        <f>M19+M20</f>
        <v>266057.85000000003</v>
      </c>
      <c r="N7" s="52">
        <f>N21</f>
        <v>529074</v>
      </c>
      <c r="O7" s="52">
        <f>O22</f>
        <v>33690.35</v>
      </c>
      <c r="P7" s="52">
        <f>P24</f>
        <v>225498.85</v>
      </c>
      <c r="Q7" s="52">
        <f>Q25</f>
        <v>335786.19999999995</v>
      </c>
      <c r="R7" s="52">
        <v>8601903.59</v>
      </c>
      <c r="S7" s="53">
        <f>SUM(S11:S26)</f>
        <v>1</v>
      </c>
    </row>
    <row r="8" spans="1:19" s="54" customFormat="1" ht="13.5" thickTop="1">
      <c r="A8" s="51"/>
      <c r="B8" s="51"/>
      <c r="C8" s="5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67"/>
    </row>
    <row r="9" spans="1:19" s="54" customFormat="1" ht="13.5" thickBot="1">
      <c r="A9" s="51"/>
      <c r="B9" s="51"/>
      <c r="C9" s="94" t="s">
        <v>123</v>
      </c>
      <c r="D9" s="52">
        <f>SUM(E9:R9)</f>
        <v>95000000</v>
      </c>
      <c r="E9" s="52">
        <f>E27+E28+E38+E40+E41</f>
        <v>21443778.3</v>
      </c>
      <c r="F9" s="52">
        <f>F44</f>
        <v>25136.57</v>
      </c>
      <c r="G9" s="52"/>
      <c r="H9" s="52">
        <f>H33+H34</f>
        <v>192647.66999999998</v>
      </c>
      <c r="I9" s="52">
        <f>I35+I36+I45+I46+I47</f>
        <v>8292597.07</v>
      </c>
      <c r="J9" s="52">
        <v>0</v>
      </c>
      <c r="K9" s="52">
        <f>K37</f>
        <v>1874229.07</v>
      </c>
      <c r="L9" s="52">
        <v>0</v>
      </c>
      <c r="M9" s="52">
        <v>0</v>
      </c>
      <c r="N9" s="52">
        <f>N48+N49</f>
        <v>19433874.47</v>
      </c>
      <c r="O9" s="52">
        <f>O50</f>
        <v>8196.62</v>
      </c>
      <c r="P9" s="52">
        <f>P51+P53</f>
        <v>26609500.54</v>
      </c>
      <c r="Q9" s="52">
        <v>0</v>
      </c>
      <c r="R9" s="52">
        <f>95000000-77879960.31</f>
        <v>17120039.689999998</v>
      </c>
      <c r="S9" s="53">
        <f>SUM(S27:S56)</f>
        <v>1</v>
      </c>
    </row>
    <row r="10" spans="1:18" ht="13.5" thickTop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9" ht="12.75">
      <c r="A11" s="68" t="s">
        <v>11</v>
      </c>
      <c r="B11" s="68" t="s">
        <v>79</v>
      </c>
      <c r="C11" s="68" t="s">
        <v>39</v>
      </c>
      <c r="D11" s="44">
        <f aca="true" t="shared" si="1" ref="D11:D26">SUM(E11:R11)</f>
        <v>7105094.96</v>
      </c>
      <c r="E11" s="58">
        <f>7105094.96</f>
        <v>7105094.96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8">
        <f>D11/D7</f>
        <v>0.355254748</v>
      </c>
    </row>
    <row r="12" spans="1:19" ht="12.75">
      <c r="A12" s="56" t="s">
        <v>12</v>
      </c>
      <c r="B12" s="68" t="s">
        <v>133</v>
      </c>
      <c r="C12" s="68" t="s">
        <v>39</v>
      </c>
      <c r="D12" s="44">
        <f t="shared" si="1"/>
        <v>1004755.4699999999</v>
      </c>
      <c r="E12" s="58"/>
      <c r="F12" s="58">
        <f>406586.06+298715.39+143069.97+75257.2+3000+22650.74+9695.05+40801.13+271.73+4708.2</f>
        <v>1004755.4699999999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8">
        <f>D12/D7</f>
        <v>0.05023777349999999</v>
      </c>
    </row>
    <row r="13" spans="1:19" ht="12.75">
      <c r="A13" s="56" t="s">
        <v>14</v>
      </c>
      <c r="B13" s="68" t="s">
        <v>128</v>
      </c>
      <c r="C13" s="68" t="s">
        <v>39</v>
      </c>
      <c r="D13" s="44">
        <f t="shared" si="1"/>
        <v>21013</v>
      </c>
      <c r="E13" s="58"/>
      <c r="F13" s="58"/>
      <c r="G13" s="57"/>
      <c r="H13" s="58">
        <f>21013</f>
        <v>21013</v>
      </c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8">
        <f>D13/D7</f>
        <v>0.00105065</v>
      </c>
    </row>
    <row r="14" spans="1:19" ht="12.75">
      <c r="A14" s="56" t="s">
        <v>15</v>
      </c>
      <c r="B14" s="68" t="s">
        <v>129</v>
      </c>
      <c r="C14" s="68" t="s">
        <v>39</v>
      </c>
      <c r="D14" s="44">
        <f t="shared" si="1"/>
        <v>327470.47000000003</v>
      </c>
      <c r="E14" s="58"/>
      <c r="F14" s="58"/>
      <c r="G14" s="57"/>
      <c r="H14" s="58"/>
      <c r="I14" s="58">
        <f>185417.57+46511.64+8393.91+87147.35</f>
        <v>327470.47000000003</v>
      </c>
      <c r="J14" s="57"/>
      <c r="K14" s="57"/>
      <c r="L14" s="57"/>
      <c r="M14" s="57"/>
      <c r="N14" s="57"/>
      <c r="O14" s="57"/>
      <c r="P14" s="57"/>
      <c r="Q14" s="57"/>
      <c r="R14" s="57"/>
      <c r="S14" s="8">
        <f>D14/D7</f>
        <v>0.0163735235</v>
      </c>
    </row>
    <row r="15" spans="1:19" ht="12.75">
      <c r="A15" s="56" t="s">
        <v>16</v>
      </c>
      <c r="B15" s="68" t="s">
        <v>90</v>
      </c>
      <c r="C15" s="68" t="s">
        <v>39</v>
      </c>
      <c r="D15" s="44">
        <f t="shared" si="1"/>
        <v>1265062.98</v>
      </c>
      <c r="E15" s="58"/>
      <c r="F15" s="58"/>
      <c r="G15" s="57"/>
      <c r="H15" s="58"/>
      <c r="I15" s="57"/>
      <c r="J15" s="58">
        <f>317000+317000+317000+314062.98</f>
        <v>1265062.98</v>
      </c>
      <c r="K15" s="58"/>
      <c r="L15" s="57"/>
      <c r="M15" s="57"/>
      <c r="N15" s="57"/>
      <c r="O15" s="57"/>
      <c r="P15" s="57"/>
      <c r="Q15" s="57"/>
      <c r="R15" s="57"/>
      <c r="S15" s="8">
        <f>D15/D7</f>
        <v>0.063253149</v>
      </c>
    </row>
    <row r="16" spans="1:19" ht="12.75">
      <c r="A16" s="56" t="s">
        <v>78</v>
      </c>
      <c r="B16" s="68" t="s">
        <v>40</v>
      </c>
      <c r="C16" s="68" t="s">
        <v>43</v>
      </c>
      <c r="D16" s="44">
        <f t="shared" si="1"/>
        <v>39328.04</v>
      </c>
      <c r="E16" s="58"/>
      <c r="F16" s="58"/>
      <c r="G16" s="57"/>
      <c r="H16" s="58"/>
      <c r="I16" s="57"/>
      <c r="J16" s="58"/>
      <c r="K16" s="58">
        <f>39328.04</f>
        <v>39328.04</v>
      </c>
      <c r="L16" s="57"/>
      <c r="M16" s="57"/>
      <c r="N16" s="57"/>
      <c r="O16" s="57"/>
      <c r="P16" s="57"/>
      <c r="Q16" s="57"/>
      <c r="R16" s="57"/>
      <c r="S16" s="8">
        <f>D16/D7</f>
        <v>0.001966402</v>
      </c>
    </row>
    <row r="17" spans="1:19" ht="12.75">
      <c r="A17" s="56" t="s">
        <v>17</v>
      </c>
      <c r="B17" s="68" t="s">
        <v>130</v>
      </c>
      <c r="C17" s="68" t="s">
        <v>39</v>
      </c>
      <c r="D17" s="44">
        <f t="shared" si="1"/>
        <v>245264.24</v>
      </c>
      <c r="E17" s="58"/>
      <c r="F17" s="58"/>
      <c r="G17" s="57"/>
      <c r="H17" s="58"/>
      <c r="I17" s="57"/>
      <c r="J17" s="58"/>
      <c r="K17" s="58"/>
      <c r="L17" s="58">
        <f>216114.58+5144.66+10625+13380</f>
        <v>245264.24</v>
      </c>
      <c r="M17" s="57"/>
      <c r="N17" s="57"/>
      <c r="O17" s="57"/>
      <c r="P17" s="57"/>
      <c r="Q17" s="57"/>
      <c r="R17" s="57"/>
      <c r="S17" s="8">
        <f>D17/D7</f>
        <v>0.012263211999999999</v>
      </c>
    </row>
    <row r="18" spans="1:19" ht="12.75" hidden="1">
      <c r="A18" s="56" t="s">
        <v>17</v>
      </c>
      <c r="B18" s="56" t="s">
        <v>47</v>
      </c>
      <c r="C18" s="56" t="s">
        <v>48</v>
      </c>
      <c r="D18" s="44">
        <f t="shared" si="1"/>
        <v>0</v>
      </c>
      <c r="E18" s="58"/>
      <c r="F18" s="57"/>
      <c r="G18" s="57"/>
      <c r="H18" s="57"/>
      <c r="I18" s="57"/>
      <c r="J18" s="57"/>
      <c r="K18" s="57"/>
      <c r="L18" s="58"/>
      <c r="M18" s="57"/>
      <c r="N18" s="57"/>
      <c r="O18" s="57"/>
      <c r="P18" s="57"/>
      <c r="Q18" s="57"/>
      <c r="R18" s="57"/>
      <c r="S18" s="8">
        <f>D18/D13</f>
        <v>0</v>
      </c>
    </row>
    <row r="19" spans="1:19" ht="12.75">
      <c r="A19" s="56" t="s">
        <v>18</v>
      </c>
      <c r="B19" s="68" t="s">
        <v>127</v>
      </c>
      <c r="C19" s="68" t="s">
        <v>39</v>
      </c>
      <c r="D19" s="44">
        <f t="shared" si="1"/>
        <v>210771.21000000002</v>
      </c>
      <c r="E19" s="58"/>
      <c r="F19" s="57"/>
      <c r="G19" s="57"/>
      <c r="H19" s="57"/>
      <c r="I19" s="57"/>
      <c r="J19" s="57"/>
      <c r="K19" s="57"/>
      <c r="L19" s="58"/>
      <c r="M19" s="58">
        <f>76009.67+134761.54</f>
        <v>210771.21000000002</v>
      </c>
      <c r="N19" s="57"/>
      <c r="O19" s="57"/>
      <c r="P19" s="57"/>
      <c r="Q19" s="57"/>
      <c r="R19" s="57"/>
      <c r="S19" s="8">
        <f>D19/D7</f>
        <v>0.0105385605</v>
      </c>
    </row>
    <row r="20" spans="1:19" ht="12.75">
      <c r="A20" s="68" t="s">
        <v>18</v>
      </c>
      <c r="B20" s="68" t="s">
        <v>131</v>
      </c>
      <c r="C20" s="68" t="s">
        <v>43</v>
      </c>
      <c r="D20" s="44">
        <f t="shared" si="1"/>
        <v>55286.64</v>
      </c>
      <c r="E20" s="58"/>
      <c r="F20" s="57"/>
      <c r="G20" s="57"/>
      <c r="H20" s="57"/>
      <c r="I20" s="57"/>
      <c r="J20" s="57"/>
      <c r="K20" s="57"/>
      <c r="L20" s="58"/>
      <c r="M20" s="58">
        <f>42360.39+12926.25</f>
        <v>55286.64</v>
      </c>
      <c r="N20" s="57"/>
      <c r="O20" s="57"/>
      <c r="P20" s="57"/>
      <c r="Q20" s="57"/>
      <c r="R20" s="57"/>
      <c r="S20" s="8">
        <f>D20/D7</f>
        <v>0.002764332</v>
      </c>
    </row>
    <row r="21" spans="1:19" ht="12.75">
      <c r="A21" s="56" t="s">
        <v>19</v>
      </c>
      <c r="B21" s="68" t="s">
        <v>132</v>
      </c>
      <c r="C21" s="68" t="s">
        <v>39</v>
      </c>
      <c r="D21" s="44">
        <f t="shared" si="1"/>
        <v>529074</v>
      </c>
      <c r="E21" s="58"/>
      <c r="F21" s="57"/>
      <c r="G21" s="57"/>
      <c r="H21" s="57"/>
      <c r="I21" s="57"/>
      <c r="J21" s="57"/>
      <c r="K21" s="57"/>
      <c r="L21" s="58"/>
      <c r="M21" s="58"/>
      <c r="N21" s="58">
        <f>107421+52268+207836.22+79718.41+81830.37</f>
        <v>529074</v>
      </c>
      <c r="O21" s="57"/>
      <c r="P21" s="57"/>
      <c r="Q21" s="57"/>
      <c r="R21" s="57"/>
      <c r="S21" s="8">
        <f>D21/D7</f>
        <v>0.0264537</v>
      </c>
    </row>
    <row r="22" spans="1:19" ht="12.75">
      <c r="A22" s="56" t="s">
        <v>20</v>
      </c>
      <c r="B22" s="68" t="s">
        <v>130</v>
      </c>
      <c r="C22" s="68" t="s">
        <v>39</v>
      </c>
      <c r="D22" s="44">
        <f t="shared" si="1"/>
        <v>33690.35</v>
      </c>
      <c r="E22" s="58"/>
      <c r="F22" s="57"/>
      <c r="G22" s="57"/>
      <c r="H22" s="57"/>
      <c r="I22" s="57"/>
      <c r="J22" s="57"/>
      <c r="K22" s="57"/>
      <c r="L22" s="58"/>
      <c r="M22" s="58"/>
      <c r="N22" s="58"/>
      <c r="O22" s="58">
        <f>9980.09+742.5+11065.12+11902.64</f>
        <v>33690.35</v>
      </c>
      <c r="P22" s="57"/>
      <c r="Q22" s="57"/>
      <c r="R22" s="57"/>
      <c r="S22" s="8">
        <f>D22/D7</f>
        <v>0.0016845175</v>
      </c>
    </row>
    <row r="23" spans="1:19" ht="12.75" hidden="1">
      <c r="A23" s="56" t="s">
        <v>20</v>
      </c>
      <c r="B23" s="56" t="s">
        <v>40</v>
      </c>
      <c r="C23" s="56" t="s">
        <v>42</v>
      </c>
      <c r="D23" s="44">
        <f t="shared" si="1"/>
        <v>0</v>
      </c>
      <c r="E23" s="58"/>
      <c r="F23" s="57"/>
      <c r="G23" s="57"/>
      <c r="H23" s="57"/>
      <c r="I23" s="57"/>
      <c r="J23" s="57"/>
      <c r="K23" s="57"/>
      <c r="L23" s="58"/>
      <c r="M23" s="58"/>
      <c r="N23" s="58"/>
      <c r="O23" s="58"/>
      <c r="P23" s="57"/>
      <c r="Q23" s="57"/>
      <c r="R23" s="57"/>
      <c r="S23" s="8">
        <f>D23/D19</f>
        <v>0</v>
      </c>
    </row>
    <row r="24" spans="1:19" ht="12.75">
      <c r="A24" s="56" t="s">
        <v>21</v>
      </c>
      <c r="B24" s="56" t="s">
        <v>38</v>
      </c>
      <c r="C24" s="68" t="s">
        <v>39</v>
      </c>
      <c r="D24" s="44">
        <f t="shared" si="1"/>
        <v>225498.85</v>
      </c>
      <c r="E24" s="58"/>
      <c r="F24" s="57"/>
      <c r="G24" s="57"/>
      <c r="H24" s="57"/>
      <c r="I24" s="57"/>
      <c r="J24" s="57"/>
      <c r="K24" s="57"/>
      <c r="L24" s="58"/>
      <c r="M24" s="58"/>
      <c r="N24" s="58"/>
      <c r="O24" s="57"/>
      <c r="P24" s="58">
        <f>225498.85</f>
        <v>225498.85</v>
      </c>
      <c r="Q24" s="57"/>
      <c r="R24" s="57"/>
      <c r="S24" s="8">
        <f>D24/D7</f>
        <v>0.011274942500000001</v>
      </c>
    </row>
    <row r="25" spans="1:19" ht="12.75">
      <c r="A25" s="56" t="s">
        <v>22</v>
      </c>
      <c r="B25" s="68" t="s">
        <v>129</v>
      </c>
      <c r="C25" s="68" t="s">
        <v>39</v>
      </c>
      <c r="D25" s="101">
        <f t="shared" si="1"/>
        <v>335786.19999999995</v>
      </c>
      <c r="E25" s="58"/>
      <c r="F25" s="57"/>
      <c r="G25" s="57"/>
      <c r="H25" s="57"/>
      <c r="I25" s="57"/>
      <c r="J25" s="57"/>
      <c r="K25" s="57"/>
      <c r="L25" s="58"/>
      <c r="M25" s="58"/>
      <c r="N25" s="58"/>
      <c r="O25" s="57"/>
      <c r="P25" s="58"/>
      <c r="Q25" s="58">
        <f>85207.9+220497.07+1780.23+28301</f>
        <v>335786.19999999995</v>
      </c>
      <c r="R25" s="58"/>
      <c r="S25" s="8">
        <f>D25/D7</f>
        <v>0.016789309999999998</v>
      </c>
    </row>
    <row r="26" spans="1:19" ht="13.5" thickBot="1">
      <c r="A26" s="95"/>
      <c r="B26" s="96"/>
      <c r="C26" s="102" t="s">
        <v>134</v>
      </c>
      <c r="D26" s="97">
        <f t="shared" si="1"/>
        <v>8601903.59</v>
      </c>
      <c r="E26" s="98"/>
      <c r="F26" s="99"/>
      <c r="G26" s="99"/>
      <c r="H26" s="99"/>
      <c r="I26" s="99"/>
      <c r="J26" s="99"/>
      <c r="K26" s="99"/>
      <c r="L26" s="98"/>
      <c r="M26" s="98"/>
      <c r="N26" s="98"/>
      <c r="O26" s="99"/>
      <c r="P26" s="98"/>
      <c r="Q26" s="98"/>
      <c r="R26" s="98">
        <f>20000000-11398096.41</f>
        <v>8601903.59</v>
      </c>
      <c r="S26" s="100">
        <f>D26/D7</f>
        <v>0.4300951795</v>
      </c>
    </row>
    <row r="27" spans="1:19" ht="13.5" thickTop="1">
      <c r="A27" s="56" t="s">
        <v>11</v>
      </c>
      <c r="B27" s="68" t="s">
        <v>38</v>
      </c>
      <c r="C27" s="56" t="s">
        <v>37</v>
      </c>
      <c r="D27" s="44">
        <f aca="true" t="shared" si="2" ref="D27:D56">SUM(E27:R27)</f>
        <v>5955.89</v>
      </c>
      <c r="E27" s="58">
        <f>5955.89</f>
        <v>5955.89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8">
        <f>D27/$D$9</f>
        <v>6.269357894736843E-05</v>
      </c>
    </row>
    <row r="28" spans="1:19" ht="12.75">
      <c r="A28" s="68" t="s">
        <v>11</v>
      </c>
      <c r="B28" s="68" t="s">
        <v>124</v>
      </c>
      <c r="C28" s="68" t="s">
        <v>41</v>
      </c>
      <c r="D28" s="44">
        <f>SUM(E28:R28)</f>
        <v>47296.94</v>
      </c>
      <c r="E28" s="58">
        <f>31705+15591.94</f>
        <v>47296.94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8">
        <f aca="true" t="shared" si="3" ref="S28:S56">D28/$D$9</f>
        <v>0.0004978625263157895</v>
      </c>
    </row>
    <row r="29" spans="1:19" ht="12.75" hidden="1">
      <c r="A29" s="68" t="s">
        <v>11</v>
      </c>
      <c r="B29" s="68"/>
      <c r="C29" s="68"/>
      <c r="D29" s="44">
        <f t="shared" si="2"/>
        <v>0</v>
      </c>
      <c r="E29" s="58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8">
        <f t="shared" si="3"/>
        <v>0</v>
      </c>
    </row>
    <row r="30" spans="1:19" ht="12.75" hidden="1">
      <c r="A30" s="68" t="s">
        <v>11</v>
      </c>
      <c r="B30" s="68"/>
      <c r="C30" s="68"/>
      <c r="D30" s="44">
        <f t="shared" si="2"/>
        <v>0</v>
      </c>
      <c r="E30" s="58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8">
        <f t="shared" si="3"/>
        <v>0</v>
      </c>
    </row>
    <row r="31" spans="1:19" ht="12.75" hidden="1">
      <c r="A31" s="56" t="s">
        <v>12</v>
      </c>
      <c r="B31" s="68" t="s">
        <v>49</v>
      </c>
      <c r="C31" s="56" t="s">
        <v>43</v>
      </c>
      <c r="D31" s="44">
        <f t="shared" si="2"/>
        <v>0</v>
      </c>
      <c r="E31" s="58"/>
      <c r="F31" s="58"/>
      <c r="G31" s="58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">
        <f t="shared" si="3"/>
        <v>0</v>
      </c>
    </row>
    <row r="32" spans="1:19" ht="12.75" hidden="1">
      <c r="A32" s="56" t="s">
        <v>13</v>
      </c>
      <c r="B32" s="68" t="s">
        <v>50</v>
      </c>
      <c r="C32" s="56" t="s">
        <v>43</v>
      </c>
      <c r="D32" s="44">
        <f t="shared" si="2"/>
        <v>0</v>
      </c>
      <c r="E32" s="58"/>
      <c r="F32" s="58"/>
      <c r="G32" s="58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">
        <f t="shared" si="3"/>
        <v>0</v>
      </c>
    </row>
    <row r="33" spans="1:19" ht="12.75">
      <c r="A33" s="56" t="s">
        <v>14</v>
      </c>
      <c r="B33" s="68" t="s">
        <v>76</v>
      </c>
      <c r="C33" s="68" t="s">
        <v>86</v>
      </c>
      <c r="D33" s="44">
        <f t="shared" si="2"/>
        <v>62208.38</v>
      </c>
      <c r="E33" s="58"/>
      <c r="F33" s="58"/>
      <c r="G33" s="57"/>
      <c r="H33" s="58">
        <f>62208.38</f>
        <v>62208.38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">
        <f t="shared" si="3"/>
        <v>0.0006548250526315789</v>
      </c>
    </row>
    <row r="34" spans="1:19" ht="12.75">
      <c r="A34" s="56" t="s">
        <v>14</v>
      </c>
      <c r="B34" s="68" t="s">
        <v>76</v>
      </c>
      <c r="C34" s="68" t="s">
        <v>77</v>
      </c>
      <c r="D34" s="44">
        <f t="shared" si="2"/>
        <v>130439.29</v>
      </c>
      <c r="E34" s="58"/>
      <c r="F34" s="58"/>
      <c r="G34" s="57"/>
      <c r="H34" s="58">
        <f>130439.29</f>
        <v>130439.29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8">
        <f t="shared" si="3"/>
        <v>0.0013730451578947368</v>
      </c>
    </row>
    <row r="35" spans="1:19" ht="12.75">
      <c r="A35" s="68" t="s">
        <v>125</v>
      </c>
      <c r="B35" s="68" t="s">
        <v>79</v>
      </c>
      <c r="C35" s="68" t="s">
        <v>126</v>
      </c>
      <c r="D35" s="44">
        <f t="shared" si="2"/>
        <v>144449.9</v>
      </c>
      <c r="E35" s="58"/>
      <c r="F35" s="58"/>
      <c r="G35" s="57"/>
      <c r="H35" s="58"/>
      <c r="I35" s="58">
        <v>144449.9</v>
      </c>
      <c r="J35" s="57"/>
      <c r="K35" s="57"/>
      <c r="L35" s="57"/>
      <c r="M35" s="57"/>
      <c r="N35" s="57"/>
      <c r="O35" s="57"/>
      <c r="P35" s="57"/>
      <c r="Q35" s="57"/>
      <c r="R35" s="57"/>
      <c r="S35" s="8">
        <f t="shared" si="3"/>
        <v>0.0015205252631578948</v>
      </c>
    </row>
    <row r="36" spans="1:19" ht="12.75">
      <c r="A36" s="68" t="s">
        <v>15</v>
      </c>
      <c r="B36" s="68" t="s">
        <v>75</v>
      </c>
      <c r="C36" s="68" t="s">
        <v>88</v>
      </c>
      <c r="D36" s="44">
        <f t="shared" si="2"/>
        <v>609912.1</v>
      </c>
      <c r="E36" s="58"/>
      <c r="F36" s="58"/>
      <c r="G36" s="57"/>
      <c r="H36" s="58"/>
      <c r="I36" s="58">
        <f>609912.1</f>
        <v>609912.1</v>
      </c>
      <c r="J36" s="57"/>
      <c r="K36" s="57"/>
      <c r="L36" s="57"/>
      <c r="M36" s="57"/>
      <c r="N36" s="57"/>
      <c r="O36" s="57"/>
      <c r="P36" s="57"/>
      <c r="Q36" s="57"/>
      <c r="R36" s="57"/>
      <c r="S36" s="8">
        <f t="shared" si="3"/>
        <v>0.006420127368421053</v>
      </c>
    </row>
    <row r="37" spans="1:19" ht="12.75">
      <c r="A37" s="56" t="s">
        <v>78</v>
      </c>
      <c r="B37" s="68" t="s">
        <v>76</v>
      </c>
      <c r="C37" s="68" t="s">
        <v>87</v>
      </c>
      <c r="D37" s="44">
        <f t="shared" si="2"/>
        <v>1874229.07</v>
      </c>
      <c r="E37" s="58"/>
      <c r="F37" s="58"/>
      <c r="G37" s="57"/>
      <c r="H37" s="58"/>
      <c r="I37" s="57"/>
      <c r="J37" s="58"/>
      <c r="K37" s="58">
        <f>1874229.07</f>
        <v>1874229.07</v>
      </c>
      <c r="L37" s="57"/>
      <c r="M37" s="57"/>
      <c r="N37" s="57"/>
      <c r="O37" s="57"/>
      <c r="P37" s="57"/>
      <c r="Q37" s="57"/>
      <c r="R37" s="57"/>
      <c r="S37" s="8">
        <f t="shared" si="3"/>
        <v>0.01972872705263158</v>
      </c>
    </row>
    <row r="38" spans="1:19" ht="12.75">
      <c r="A38" s="2" t="s">
        <v>11</v>
      </c>
      <c r="B38" s="69" t="s">
        <v>57</v>
      </c>
      <c r="C38" s="59" t="s">
        <v>58</v>
      </c>
      <c r="D38" s="44">
        <f>SUM(E38:R38)</f>
        <v>96812.04</v>
      </c>
      <c r="E38" s="44">
        <f>96812.04</f>
        <v>96812.04</v>
      </c>
      <c r="S38" s="8">
        <f t="shared" si="3"/>
        <v>0.0010190741052631578</v>
      </c>
    </row>
    <row r="39" spans="1:19" ht="12.75" hidden="1">
      <c r="A39" s="69" t="s">
        <v>11</v>
      </c>
      <c r="B39" s="69" t="s">
        <v>67</v>
      </c>
      <c r="C39" s="70" t="s">
        <v>68</v>
      </c>
      <c r="D39" s="44">
        <f>SUM(E39:R39)</f>
        <v>0</v>
      </c>
      <c r="S39" s="8">
        <f t="shared" si="3"/>
        <v>0</v>
      </c>
    </row>
    <row r="40" spans="1:19" ht="12.75">
      <c r="A40" s="56" t="s">
        <v>11</v>
      </c>
      <c r="B40" s="68" t="s">
        <v>94</v>
      </c>
      <c r="C40" s="56" t="s">
        <v>53</v>
      </c>
      <c r="D40" s="44">
        <f t="shared" si="2"/>
        <v>6650486.11</v>
      </c>
      <c r="E40" s="58">
        <f>6650486.11</f>
        <v>6650486.11</v>
      </c>
      <c r="F40" s="57"/>
      <c r="G40" s="57"/>
      <c r="H40" s="57"/>
      <c r="I40" s="57"/>
      <c r="J40" s="57"/>
      <c r="K40" s="57"/>
      <c r="L40" s="58"/>
      <c r="M40" s="58"/>
      <c r="N40" s="58"/>
      <c r="O40" s="57"/>
      <c r="P40" s="58"/>
      <c r="Q40" s="58"/>
      <c r="R40" s="58"/>
      <c r="S40" s="8">
        <f t="shared" si="3"/>
        <v>0.07000511694736843</v>
      </c>
    </row>
    <row r="41" spans="1:19" ht="12.75">
      <c r="A41" s="2" t="s">
        <v>11</v>
      </c>
      <c r="B41" s="69" t="s">
        <v>52</v>
      </c>
      <c r="C41" s="59" t="s">
        <v>54</v>
      </c>
      <c r="D41" s="44">
        <f t="shared" si="2"/>
        <v>14643227.32</v>
      </c>
      <c r="E41" s="44">
        <f>14643227.32</f>
        <v>14643227.32</v>
      </c>
      <c r="S41" s="8">
        <f t="shared" si="3"/>
        <v>0.15413923494736842</v>
      </c>
    </row>
    <row r="42" spans="1:19" ht="12.75" hidden="1">
      <c r="A42" s="69" t="s">
        <v>11</v>
      </c>
      <c r="B42" s="69"/>
      <c r="C42" s="70"/>
      <c r="D42" s="44">
        <f t="shared" si="2"/>
        <v>0</v>
      </c>
      <c r="S42" s="8">
        <f t="shared" si="3"/>
        <v>0</v>
      </c>
    </row>
    <row r="43" spans="1:19" ht="12.75" hidden="1">
      <c r="A43" s="69" t="s">
        <v>11</v>
      </c>
      <c r="B43" s="69"/>
      <c r="C43" s="70"/>
      <c r="D43" s="44">
        <f t="shared" si="2"/>
        <v>0</v>
      </c>
      <c r="S43" s="8">
        <f t="shared" si="3"/>
        <v>0</v>
      </c>
    </row>
    <row r="44" spans="1:19" ht="12.75">
      <c r="A44" s="69" t="s">
        <v>12</v>
      </c>
      <c r="B44" s="69" t="s">
        <v>64</v>
      </c>
      <c r="C44" s="70" t="s">
        <v>65</v>
      </c>
      <c r="D44" s="44">
        <f t="shared" si="2"/>
        <v>25136.57</v>
      </c>
      <c r="F44" s="44">
        <f>25136.57</f>
        <v>25136.57</v>
      </c>
      <c r="S44" s="8">
        <f t="shared" si="3"/>
        <v>0.0002645954736842105</v>
      </c>
    </row>
    <row r="45" spans="1:19" ht="12.75">
      <c r="A45" s="69" t="s">
        <v>15</v>
      </c>
      <c r="B45" s="69" t="s">
        <v>52</v>
      </c>
      <c r="C45" s="70" t="s">
        <v>55</v>
      </c>
      <c r="D45" s="44">
        <f t="shared" si="2"/>
        <v>40877.81</v>
      </c>
      <c r="I45" s="44">
        <f>40877.81</f>
        <v>40877.81</v>
      </c>
      <c r="S45" s="8">
        <f t="shared" si="3"/>
        <v>0.0004302927368421052</v>
      </c>
    </row>
    <row r="46" spans="1:19" ht="12.75">
      <c r="A46" s="2" t="s">
        <v>15</v>
      </c>
      <c r="B46" s="69" t="s">
        <v>80</v>
      </c>
      <c r="C46" s="70" t="s">
        <v>135</v>
      </c>
      <c r="D46" s="44">
        <f t="shared" si="2"/>
        <v>778249.17</v>
      </c>
      <c r="I46" s="44">
        <f>778249.17</f>
        <v>778249.17</v>
      </c>
      <c r="S46" s="8">
        <f t="shared" si="3"/>
        <v>0.00819209652631579</v>
      </c>
    </row>
    <row r="47" spans="1:19" ht="12.75">
      <c r="A47" s="69" t="s">
        <v>15</v>
      </c>
      <c r="B47" s="69" t="s">
        <v>80</v>
      </c>
      <c r="C47" s="70" t="s">
        <v>95</v>
      </c>
      <c r="D47" s="44">
        <f t="shared" si="2"/>
        <v>6719108.09</v>
      </c>
      <c r="I47" s="44">
        <f>6719108.09</f>
        <v>6719108.09</v>
      </c>
      <c r="S47" s="8">
        <f t="shared" si="3"/>
        <v>0.07072745357894737</v>
      </c>
    </row>
    <row r="48" spans="1:19" ht="12.75">
      <c r="A48" s="69" t="s">
        <v>19</v>
      </c>
      <c r="B48" s="69" t="s">
        <v>100</v>
      </c>
      <c r="C48" s="70" t="s">
        <v>51</v>
      </c>
      <c r="D48" s="44">
        <f t="shared" si="2"/>
        <v>18161763.49</v>
      </c>
      <c r="N48" s="44">
        <f>11818176.85+6343586.64</f>
        <v>18161763.49</v>
      </c>
      <c r="S48" s="8">
        <f t="shared" si="3"/>
        <v>0.19117645778947367</v>
      </c>
    </row>
    <row r="49" spans="1:19" ht="12.75">
      <c r="A49" s="69" t="s">
        <v>19</v>
      </c>
      <c r="B49" s="69" t="s">
        <v>94</v>
      </c>
      <c r="C49" s="70" t="s">
        <v>72</v>
      </c>
      <c r="D49" s="44">
        <f t="shared" si="2"/>
        <v>1272110.98</v>
      </c>
      <c r="N49" s="44">
        <f>1272110.98</f>
        <v>1272110.98</v>
      </c>
      <c r="S49" s="8">
        <f t="shared" si="3"/>
        <v>0.013390641894736842</v>
      </c>
    </row>
    <row r="50" spans="1:19" ht="12.75">
      <c r="A50" s="2" t="s">
        <v>20</v>
      </c>
      <c r="B50" s="69" t="s">
        <v>80</v>
      </c>
      <c r="C50" s="70" t="s">
        <v>136</v>
      </c>
      <c r="D50" s="44">
        <f t="shared" si="2"/>
        <v>8196.62</v>
      </c>
      <c r="O50" s="44">
        <f>8196.62</f>
        <v>8196.62</v>
      </c>
      <c r="S50" s="8">
        <f t="shared" si="3"/>
        <v>8.62802105263158E-05</v>
      </c>
    </row>
    <row r="51" spans="1:19" ht="12.75">
      <c r="A51" s="2" t="s">
        <v>21</v>
      </c>
      <c r="B51" s="69" t="s">
        <v>138</v>
      </c>
      <c r="C51" t="s">
        <v>96</v>
      </c>
      <c r="D51" s="44">
        <f>SUM(E51:R51)</f>
        <v>2033719.5</v>
      </c>
      <c r="P51" s="44">
        <f>2033719.5</f>
        <v>2033719.5</v>
      </c>
      <c r="S51" s="8">
        <f t="shared" si="3"/>
        <v>0.021407573684210528</v>
      </c>
    </row>
    <row r="52" spans="1:19" ht="12.75" hidden="1">
      <c r="A52" s="2" t="s">
        <v>21</v>
      </c>
      <c r="B52" s="69" t="s">
        <v>63</v>
      </c>
      <c r="C52" t="s">
        <v>61</v>
      </c>
      <c r="D52" s="44">
        <f>SUM(E52:R52)</f>
        <v>0</v>
      </c>
      <c r="S52" s="8">
        <f t="shared" si="3"/>
        <v>0</v>
      </c>
    </row>
    <row r="53" spans="1:19" ht="12.75">
      <c r="A53" s="2" t="s">
        <v>21</v>
      </c>
      <c r="B53" s="69" t="s">
        <v>137</v>
      </c>
      <c r="C53" t="s">
        <v>56</v>
      </c>
      <c r="D53" s="44">
        <f t="shared" si="2"/>
        <v>24575781.04</v>
      </c>
      <c r="P53" s="44">
        <f>96181.75+6770483.82+17260807.83+448307.64</f>
        <v>24575781.04</v>
      </c>
      <c r="S53" s="8">
        <f t="shared" si="3"/>
        <v>0.25869243199999997</v>
      </c>
    </row>
    <row r="54" spans="1:19" ht="12.75" hidden="1">
      <c r="A54" s="69" t="s">
        <v>21</v>
      </c>
      <c r="B54" s="69" t="s">
        <v>69</v>
      </c>
      <c r="C54" s="71" t="s">
        <v>70</v>
      </c>
      <c r="D54" s="44">
        <f>SUM(E54:R54)</f>
        <v>0</v>
      </c>
      <c r="S54" s="8">
        <f t="shared" si="3"/>
        <v>0</v>
      </c>
    </row>
    <row r="55" spans="1:19" ht="12.75" hidden="1">
      <c r="A55" s="69" t="s">
        <v>21</v>
      </c>
      <c r="B55" s="69" t="s">
        <v>60</v>
      </c>
      <c r="C55" s="71" t="s">
        <v>62</v>
      </c>
      <c r="D55" s="44">
        <f t="shared" si="2"/>
        <v>0</v>
      </c>
      <c r="S55" s="8">
        <f t="shared" si="3"/>
        <v>0</v>
      </c>
    </row>
    <row r="56" spans="1:19" ht="12.75">
      <c r="A56" s="2"/>
      <c r="B56" s="2"/>
      <c r="C56" s="103" t="s">
        <v>139</v>
      </c>
      <c r="D56" s="44">
        <f t="shared" si="2"/>
        <v>17120039.69</v>
      </c>
      <c r="R56" s="44">
        <v>17120039.69</v>
      </c>
      <c r="S56" s="8">
        <f t="shared" si="3"/>
        <v>0.18021094410526317</v>
      </c>
    </row>
    <row r="57" spans="5:18" ht="12.75"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</row>
    <row r="58" spans="2:19" s="8" customFormat="1" ht="13.5" thickBot="1">
      <c r="B58" s="62"/>
      <c r="C58" s="63" t="s">
        <v>25</v>
      </c>
      <c r="D58" s="64">
        <f>SUM(E58:R58)</f>
        <v>1</v>
      </c>
      <c r="E58" s="65">
        <f>E5/D5</f>
        <v>0.24825107182608697</v>
      </c>
      <c r="F58" s="65">
        <f>F5/D5</f>
        <v>0.008955582956521737</v>
      </c>
      <c r="G58" s="65">
        <f>G5/D5</f>
        <v>0</v>
      </c>
      <c r="H58" s="65">
        <f>H5/D5</f>
        <v>0.0018579188695652172</v>
      </c>
      <c r="I58" s="65">
        <f>I5/D5</f>
        <v>0.07495710904347827</v>
      </c>
      <c r="J58" s="65">
        <f>J5/D5</f>
        <v>0.011000547652173913</v>
      </c>
      <c r="K58" s="65">
        <f>K5/D5</f>
        <v>0.016639627043478263</v>
      </c>
      <c r="L58" s="65">
        <f>L5/D5</f>
        <v>0.0021327325217391302</v>
      </c>
      <c r="M58" s="65">
        <f>M5/D5</f>
        <v>0.0023135465217391307</v>
      </c>
      <c r="N58" s="65">
        <f>N5/D5</f>
        <v>0.17359085626086956</v>
      </c>
      <c r="O58" s="65">
        <f>O5/D5</f>
        <v>0.0003642345217391304</v>
      </c>
      <c r="P58" s="65">
        <f>P5/D5</f>
        <v>0.2333478207826087</v>
      </c>
      <c r="Q58" s="65">
        <f>Q5/D5</f>
        <v>0.0029198799999999997</v>
      </c>
      <c r="R58" s="65">
        <f>R5/D5</f>
        <v>0.22366907199999997</v>
      </c>
      <c r="S58" s="64"/>
    </row>
    <row r="59" spans="1:19" s="8" customFormat="1" ht="13.5" thickTop="1">
      <c r="A59" s="66"/>
      <c r="C59" s="63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</sheetData>
  <sheetProtection/>
  <printOptions/>
  <pageMargins left="0" right="0" top="0.75" bottom="0.75" header="0.3" footer="0.3"/>
  <pageSetup horizontalDpi="600" verticalDpi="600" orientation="landscape" paperSize="5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4"/>
  <sheetViews>
    <sheetView zoomScalePageLayoutView="0" workbookViewId="0" topLeftCell="A1">
      <pane xSplit="3" ySplit="4" topLeftCell="L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S42" sqref="S42"/>
    </sheetView>
  </sheetViews>
  <sheetFormatPr defaultColWidth="9.140625" defaultRowHeight="12.75"/>
  <cols>
    <col min="2" max="2" width="15.7109375" style="0" customWidth="1"/>
    <col min="3" max="3" width="37.28125" style="0" customWidth="1"/>
    <col min="4" max="4" width="16.00390625" style="44" customWidth="1"/>
    <col min="5" max="5" width="14.421875" style="44" customWidth="1"/>
    <col min="6" max="6" width="12.7109375" style="44" customWidth="1"/>
    <col min="7" max="7" width="10.8515625" style="44" hidden="1" customWidth="1"/>
    <col min="8" max="8" width="12.28125" style="44" customWidth="1"/>
    <col min="9" max="9" width="13.28125" style="44" customWidth="1"/>
    <col min="10" max="10" width="12.7109375" style="44" customWidth="1"/>
    <col min="11" max="11" width="13.00390625" style="44" customWidth="1"/>
    <col min="12" max="12" width="12.140625" style="44" customWidth="1"/>
    <col min="13" max="13" width="11.28125" style="44" customWidth="1"/>
    <col min="14" max="14" width="14.28125" style="44" customWidth="1"/>
    <col min="15" max="15" width="10.421875" style="44" customWidth="1"/>
    <col min="16" max="16" width="13.28125" style="44" customWidth="1"/>
    <col min="17" max="17" width="10.8515625" style="44" customWidth="1"/>
    <col min="18" max="18" width="12.7109375" style="8" customWidth="1"/>
  </cols>
  <sheetData>
    <row r="1" ht="12.75">
      <c r="A1" s="82" t="s">
        <v>85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7</v>
      </c>
    </row>
    <row r="4" spans="1:18" ht="12.75">
      <c r="A4" s="48" t="s">
        <v>8</v>
      </c>
      <c r="B4" s="48" t="s">
        <v>9</v>
      </c>
      <c r="C4" s="48" t="s">
        <v>10</v>
      </c>
      <c r="D4" s="49" t="s">
        <v>4</v>
      </c>
      <c r="E4" s="49" t="s">
        <v>11</v>
      </c>
      <c r="F4" s="49" t="s">
        <v>12</v>
      </c>
      <c r="G4" s="49" t="s">
        <v>13</v>
      </c>
      <c r="H4" s="49" t="s">
        <v>14</v>
      </c>
      <c r="I4" s="49" t="s">
        <v>15</v>
      </c>
      <c r="J4" s="49" t="s">
        <v>16</v>
      </c>
      <c r="K4" s="49" t="s">
        <v>78</v>
      </c>
      <c r="L4" s="49" t="s">
        <v>17</v>
      </c>
      <c r="M4" s="49" t="s">
        <v>18</v>
      </c>
      <c r="N4" s="49" t="s">
        <v>19</v>
      </c>
      <c r="O4" s="49" t="s">
        <v>20</v>
      </c>
      <c r="P4" s="49" t="s">
        <v>21</v>
      </c>
      <c r="Q4" s="49" t="s">
        <v>22</v>
      </c>
      <c r="R4" s="50" t="s">
        <v>23</v>
      </c>
    </row>
    <row r="5" spans="1:18" s="54" customFormat="1" ht="13.5" thickBot="1">
      <c r="A5" s="51"/>
      <c r="B5" s="51"/>
      <c r="C5" s="51" t="s">
        <v>24</v>
      </c>
      <c r="D5" s="52">
        <f>D7+D9</f>
        <v>126454265.51</v>
      </c>
      <c r="E5" s="52">
        <f aca="true" t="shared" si="0" ref="E5:Q5">E7+E9</f>
        <v>30717035.81</v>
      </c>
      <c r="F5" s="52">
        <f t="shared" si="0"/>
        <v>5185035.150000002</v>
      </c>
      <c r="G5" s="52">
        <f t="shared" si="0"/>
        <v>0</v>
      </c>
      <c r="H5" s="52">
        <f t="shared" si="0"/>
        <v>1524755.5499999998</v>
      </c>
      <c r="I5" s="52">
        <f t="shared" si="0"/>
        <v>21047959.45</v>
      </c>
      <c r="J5" s="52">
        <f t="shared" si="0"/>
        <v>1265062.98</v>
      </c>
      <c r="K5" s="52">
        <f t="shared" si="0"/>
        <v>2078482.48</v>
      </c>
      <c r="L5" s="52">
        <f t="shared" si="0"/>
        <v>1225190.78</v>
      </c>
      <c r="M5" s="52">
        <f t="shared" si="0"/>
        <v>595054.64</v>
      </c>
      <c r="N5" s="52">
        <f t="shared" si="0"/>
        <v>22177005.169999998</v>
      </c>
      <c r="O5" s="52">
        <f t="shared" si="0"/>
        <v>81320.04999999999</v>
      </c>
      <c r="P5" s="52">
        <f t="shared" si="0"/>
        <v>40054958.23</v>
      </c>
      <c r="Q5" s="52">
        <f t="shared" si="0"/>
        <v>502405.22</v>
      </c>
      <c r="R5" s="53"/>
    </row>
    <row r="6" spans="1:18" s="54" customFormat="1" ht="13.5" thickTop="1">
      <c r="A6" s="51"/>
      <c r="B6" s="51"/>
      <c r="C6" s="51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67"/>
    </row>
    <row r="7" spans="1:18" s="54" customFormat="1" ht="13.5" thickBot="1">
      <c r="A7" s="51"/>
      <c r="B7" s="51"/>
      <c r="C7" s="94" t="s">
        <v>122</v>
      </c>
      <c r="D7" s="52">
        <f>SUM(E7:Q7)</f>
        <v>20000000.000000004</v>
      </c>
      <c r="E7" s="52">
        <f>E11+E12</f>
        <v>7845936.59</v>
      </c>
      <c r="F7" s="52">
        <f>F13</f>
        <v>5159898.580000002</v>
      </c>
      <c r="G7" s="52"/>
      <c r="H7" s="52">
        <f>H14+H15</f>
        <v>973818.8099999999</v>
      </c>
      <c r="I7" s="52">
        <f>I16</f>
        <v>277919.58999999997</v>
      </c>
      <c r="J7" s="52">
        <f>J17</f>
        <v>1265062.98</v>
      </c>
      <c r="K7" s="52">
        <f>K18</f>
        <v>65573.85</v>
      </c>
      <c r="L7" s="52">
        <f>L19</f>
        <v>1225190.78</v>
      </c>
      <c r="M7" s="52">
        <f>M21+M22</f>
        <v>595054.64</v>
      </c>
      <c r="N7" s="52">
        <f>N23</f>
        <v>1036746.4300000002</v>
      </c>
      <c r="O7" s="52">
        <f>O24</f>
        <v>73123.43</v>
      </c>
      <c r="P7" s="52">
        <f>P26</f>
        <v>979269.1</v>
      </c>
      <c r="Q7" s="52">
        <f>Q27</f>
        <v>502405.22</v>
      </c>
      <c r="R7" s="53">
        <f>SUM(R11:R28)</f>
        <v>1</v>
      </c>
    </row>
    <row r="8" spans="1:18" s="54" customFormat="1" ht="13.5" thickTop="1">
      <c r="A8" s="51"/>
      <c r="B8" s="51"/>
      <c r="C8" s="51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7"/>
    </row>
    <row r="9" spans="1:18" s="54" customFormat="1" ht="13.5" thickBot="1">
      <c r="A9" s="51"/>
      <c r="B9" s="51"/>
      <c r="C9" s="94" t="s">
        <v>123</v>
      </c>
      <c r="D9" s="52">
        <f>SUM(E9:Q9)</f>
        <v>106454265.51</v>
      </c>
      <c r="E9" s="52">
        <f>E29+E30+E43+E45+E46+E49</f>
        <v>22871099.22</v>
      </c>
      <c r="F9" s="52">
        <f>F50</f>
        <v>25136.57</v>
      </c>
      <c r="G9" s="52"/>
      <c r="H9" s="52">
        <f>H35+H36</f>
        <v>550936.74</v>
      </c>
      <c r="I9" s="52">
        <f>I37+I38+I51+I52+I53+I39</f>
        <v>20770039.86</v>
      </c>
      <c r="J9" s="52">
        <v>0</v>
      </c>
      <c r="K9" s="52">
        <f>K40</f>
        <v>2012908.63</v>
      </c>
      <c r="L9" s="52">
        <v>0</v>
      </c>
      <c r="M9" s="52">
        <v>0</v>
      </c>
      <c r="N9" s="52">
        <f>N41+N54+N55</f>
        <v>21140258.74</v>
      </c>
      <c r="O9" s="52">
        <f>O56</f>
        <v>8196.62</v>
      </c>
      <c r="P9" s="52">
        <f>P42+P57+P59</f>
        <v>39075689.129999995</v>
      </c>
      <c r="Q9" s="52">
        <v>0</v>
      </c>
      <c r="R9" s="53">
        <f>SUM(R29:R61)</f>
        <v>0.9999999999999998</v>
      </c>
    </row>
    <row r="10" spans="1:17" ht="13.5" thickTop="1">
      <c r="A10" s="55"/>
      <c r="B10" s="56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1:18" ht="12.75">
      <c r="A11" s="68" t="s">
        <v>11</v>
      </c>
      <c r="B11" s="68" t="s">
        <v>154</v>
      </c>
      <c r="C11" s="68" t="s">
        <v>39</v>
      </c>
      <c r="D11" s="44">
        <f aca="true" t="shared" si="1" ref="D11:D27">SUM(E11:Q11)</f>
        <v>7828121.78</v>
      </c>
      <c r="E11" s="58">
        <f>723026.82+7105094.96</f>
        <v>7828121.78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D11/D7</f>
        <v>0.39140608899999996</v>
      </c>
    </row>
    <row r="12" spans="1:18" ht="12.75">
      <c r="A12" s="68" t="s">
        <v>11</v>
      </c>
      <c r="B12" s="68" t="s">
        <v>44</v>
      </c>
      <c r="C12" s="68" t="s">
        <v>43</v>
      </c>
      <c r="D12" s="44">
        <f t="shared" si="1"/>
        <v>17814.81</v>
      </c>
      <c r="E12" s="58">
        <f>17814.81</f>
        <v>17814.81</v>
      </c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>D12/D7</f>
        <v>0.0008907405</v>
      </c>
    </row>
    <row r="13" spans="1:18" ht="12.75">
      <c r="A13" s="56" t="s">
        <v>12</v>
      </c>
      <c r="B13" s="68" t="s">
        <v>150</v>
      </c>
      <c r="C13" s="68" t="s">
        <v>39</v>
      </c>
      <c r="D13" s="44">
        <f t="shared" si="1"/>
        <v>5159898.580000002</v>
      </c>
      <c r="E13" s="58"/>
      <c r="F13" s="58">
        <f>2436804.38+500000+431549.85+405590.39+655774.19+174257.2+515004.4+26243.19+9695.05+271.73+4708.2</f>
        <v>5159898.580000002</v>
      </c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>D13/D7</f>
        <v>0.25799492900000004</v>
      </c>
    </row>
    <row r="14" spans="1:18" ht="12.75">
      <c r="A14" s="56" t="s">
        <v>14</v>
      </c>
      <c r="B14" s="68" t="s">
        <v>163</v>
      </c>
      <c r="C14" s="68" t="s">
        <v>39</v>
      </c>
      <c r="D14" s="44">
        <f t="shared" si="1"/>
        <v>621845.71</v>
      </c>
      <c r="E14" s="58"/>
      <c r="F14" s="58"/>
      <c r="G14" s="57"/>
      <c r="H14" s="58">
        <f>550000+71845.71</f>
        <v>621845.71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>D14/D7</f>
        <v>0.031092285499999994</v>
      </c>
    </row>
    <row r="15" spans="1:18" ht="12.75">
      <c r="A15" s="68" t="s">
        <v>14</v>
      </c>
      <c r="B15" s="68" t="s">
        <v>163</v>
      </c>
      <c r="C15" s="68" t="s">
        <v>43</v>
      </c>
      <c r="D15" s="44">
        <f t="shared" si="1"/>
        <v>351973.1</v>
      </c>
      <c r="E15" s="58"/>
      <c r="F15" s="58"/>
      <c r="G15" s="57"/>
      <c r="H15" s="58">
        <f>301683.5+50289.6</f>
        <v>351973.1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>D15/D7</f>
        <v>0.017598654999999994</v>
      </c>
    </row>
    <row r="16" spans="1:18" ht="12.75">
      <c r="A16" s="56" t="s">
        <v>15</v>
      </c>
      <c r="B16" s="68" t="s">
        <v>164</v>
      </c>
      <c r="C16" s="68" t="s">
        <v>39</v>
      </c>
      <c r="D16" s="44">
        <f t="shared" si="1"/>
        <v>277919.58999999997</v>
      </c>
      <c r="E16" s="58"/>
      <c r="F16" s="58"/>
      <c r="G16" s="57"/>
      <c r="H16" s="58"/>
      <c r="I16" s="58">
        <f>54036.14+23883.45+100000+100000</f>
        <v>277919.58999999997</v>
      </c>
      <c r="J16" s="57"/>
      <c r="K16" s="57"/>
      <c r="L16" s="57"/>
      <c r="M16" s="57"/>
      <c r="N16" s="57"/>
      <c r="O16" s="57"/>
      <c r="P16" s="57"/>
      <c r="Q16" s="57"/>
      <c r="R16" s="8">
        <f>D16/D7</f>
        <v>0.013895979499999996</v>
      </c>
    </row>
    <row r="17" spans="1:18" ht="12.75">
      <c r="A17" s="56" t="s">
        <v>16</v>
      </c>
      <c r="B17" s="68" t="s">
        <v>90</v>
      </c>
      <c r="C17" s="68" t="s">
        <v>39</v>
      </c>
      <c r="D17" s="44">
        <f t="shared" si="1"/>
        <v>1265062.98</v>
      </c>
      <c r="E17" s="58"/>
      <c r="F17" s="58"/>
      <c r="G17" s="57"/>
      <c r="H17" s="58"/>
      <c r="I17" s="57"/>
      <c r="J17" s="58">
        <f>317000+317000+317000+314062.98</f>
        <v>1265062.98</v>
      </c>
      <c r="K17" s="58"/>
      <c r="L17" s="57"/>
      <c r="M17" s="57"/>
      <c r="N17" s="57"/>
      <c r="O17" s="57"/>
      <c r="P17" s="57"/>
      <c r="Q17" s="57"/>
      <c r="R17" s="8">
        <f>D17/D7</f>
        <v>0.06325314899999998</v>
      </c>
    </row>
    <row r="18" spans="1:18" ht="12.75">
      <c r="A18" s="56" t="s">
        <v>78</v>
      </c>
      <c r="B18" s="68" t="s">
        <v>40</v>
      </c>
      <c r="C18" s="68" t="s">
        <v>43</v>
      </c>
      <c r="D18" s="44">
        <f t="shared" si="1"/>
        <v>65573.85</v>
      </c>
      <c r="E18" s="58"/>
      <c r="F18" s="58"/>
      <c r="G18" s="57"/>
      <c r="H18" s="58"/>
      <c r="I18" s="57"/>
      <c r="J18" s="58"/>
      <c r="K18" s="58">
        <f>65573.85</f>
        <v>65573.85</v>
      </c>
      <c r="L18" s="57"/>
      <c r="M18" s="57"/>
      <c r="N18" s="57"/>
      <c r="O18" s="57"/>
      <c r="P18" s="57"/>
      <c r="Q18" s="57"/>
      <c r="R18" s="8">
        <f>D18/D7</f>
        <v>0.0032786925</v>
      </c>
    </row>
    <row r="19" spans="1:18" ht="12.75">
      <c r="A19" s="56" t="s">
        <v>17</v>
      </c>
      <c r="B19" s="68" t="s">
        <v>155</v>
      </c>
      <c r="C19" s="68" t="s">
        <v>39</v>
      </c>
      <c r="D19" s="44">
        <f t="shared" si="1"/>
        <v>1225190.78</v>
      </c>
      <c r="E19" s="58"/>
      <c r="F19" s="58"/>
      <c r="G19" s="57"/>
      <c r="H19" s="58"/>
      <c r="I19" s="57"/>
      <c r="J19" s="58"/>
      <c r="K19" s="58"/>
      <c r="L19" s="58">
        <f>23144.51+385023.91+409311.82+373685.53+34025.01</f>
        <v>1225190.78</v>
      </c>
      <c r="M19" s="57"/>
      <c r="N19" s="57"/>
      <c r="O19" s="57"/>
      <c r="P19" s="57"/>
      <c r="Q19" s="57"/>
      <c r="R19" s="8">
        <f>D19/D7</f>
        <v>0.06125953899999999</v>
      </c>
    </row>
    <row r="20" spans="1:18" ht="12.75" hidden="1">
      <c r="A20" s="56" t="s">
        <v>17</v>
      </c>
      <c r="B20" s="56" t="s">
        <v>47</v>
      </c>
      <c r="C20" s="56" t="s">
        <v>48</v>
      </c>
      <c r="D20" s="44">
        <f t="shared" si="1"/>
        <v>0</v>
      </c>
      <c r="E20" s="58"/>
      <c r="F20" s="57"/>
      <c r="G20" s="57"/>
      <c r="H20" s="57"/>
      <c r="I20" s="57"/>
      <c r="J20" s="57"/>
      <c r="K20" s="57"/>
      <c r="L20" s="58"/>
      <c r="M20" s="57"/>
      <c r="N20" s="57"/>
      <c r="O20" s="57"/>
      <c r="P20" s="57"/>
      <c r="Q20" s="57"/>
      <c r="R20" s="8">
        <f>D20/D14</f>
        <v>0</v>
      </c>
    </row>
    <row r="21" spans="1:18" ht="12.75">
      <c r="A21" s="56" t="s">
        <v>18</v>
      </c>
      <c r="B21" s="68" t="s">
        <v>127</v>
      </c>
      <c r="C21" s="68" t="s">
        <v>39</v>
      </c>
      <c r="D21" s="44">
        <f t="shared" si="1"/>
        <v>539768</v>
      </c>
      <c r="E21" s="58"/>
      <c r="F21" s="57"/>
      <c r="G21" s="57"/>
      <c r="H21" s="57"/>
      <c r="I21" s="57"/>
      <c r="J21" s="57"/>
      <c r="K21" s="57"/>
      <c r="L21" s="58"/>
      <c r="M21" s="58">
        <f>405006.46+134761.54</f>
        <v>539768</v>
      </c>
      <c r="N21" s="57"/>
      <c r="O21" s="57"/>
      <c r="P21" s="57"/>
      <c r="Q21" s="57"/>
      <c r="R21" s="8">
        <f>D21/D7</f>
        <v>0.026988399999999996</v>
      </c>
    </row>
    <row r="22" spans="1:18" ht="12.75">
      <c r="A22" s="68" t="s">
        <v>18</v>
      </c>
      <c r="B22" s="68" t="s">
        <v>131</v>
      </c>
      <c r="C22" s="68" t="s">
        <v>43</v>
      </c>
      <c r="D22" s="44">
        <f t="shared" si="1"/>
        <v>55286.64</v>
      </c>
      <c r="E22" s="58"/>
      <c r="F22" s="57"/>
      <c r="G22" s="57"/>
      <c r="H22" s="57"/>
      <c r="I22" s="57"/>
      <c r="J22" s="57"/>
      <c r="K22" s="57"/>
      <c r="L22" s="58"/>
      <c r="M22" s="58">
        <f>42360.39+12926.25</f>
        <v>55286.64</v>
      </c>
      <c r="N22" s="57"/>
      <c r="O22" s="57"/>
      <c r="P22" s="57"/>
      <c r="Q22" s="57"/>
      <c r="R22" s="8">
        <f>D22/D7</f>
        <v>0.0027643319999999996</v>
      </c>
    </row>
    <row r="23" spans="1:18" ht="12.75">
      <c r="A23" s="56" t="s">
        <v>19</v>
      </c>
      <c r="B23" s="68" t="s">
        <v>157</v>
      </c>
      <c r="C23" s="68" t="s">
        <v>39</v>
      </c>
      <c r="D23" s="44">
        <f t="shared" si="1"/>
        <v>1036746.4300000002</v>
      </c>
      <c r="E23" s="58"/>
      <c r="F23" s="57"/>
      <c r="G23" s="57"/>
      <c r="H23" s="57"/>
      <c r="I23" s="57"/>
      <c r="J23" s="57"/>
      <c r="K23" s="57"/>
      <c r="L23" s="58"/>
      <c r="M23" s="58"/>
      <c r="N23" s="58">
        <f>41693.17+216461.22+239419.19+52268+325356.07+79718.41+81830.37</f>
        <v>1036746.4300000002</v>
      </c>
      <c r="O23" s="57"/>
      <c r="P23" s="57"/>
      <c r="Q23" s="57"/>
      <c r="R23" s="8">
        <f>D23/D7</f>
        <v>0.0518373215</v>
      </c>
    </row>
    <row r="24" spans="1:18" ht="12.75">
      <c r="A24" s="56" t="s">
        <v>20</v>
      </c>
      <c r="B24" s="68" t="s">
        <v>130</v>
      </c>
      <c r="C24" s="68" t="s">
        <v>39</v>
      </c>
      <c r="D24" s="44">
        <f t="shared" si="1"/>
        <v>73123.43</v>
      </c>
      <c r="E24" s="58"/>
      <c r="F24" s="57"/>
      <c r="G24" s="57"/>
      <c r="H24" s="57"/>
      <c r="I24" s="57"/>
      <c r="J24" s="57"/>
      <c r="K24" s="57"/>
      <c r="L24" s="58"/>
      <c r="M24" s="58"/>
      <c r="N24" s="58"/>
      <c r="O24" s="58">
        <f>49413.17+742.5+11065.12+11902.64</f>
        <v>73123.43</v>
      </c>
      <c r="P24" s="57"/>
      <c r="Q24" s="57"/>
      <c r="R24" s="8">
        <f>D24/D7</f>
        <v>0.003656171499999999</v>
      </c>
    </row>
    <row r="25" spans="1:18" ht="12.75" hidden="1">
      <c r="A25" s="56" t="s">
        <v>20</v>
      </c>
      <c r="B25" s="56" t="s">
        <v>40</v>
      </c>
      <c r="C25" s="56" t="s">
        <v>42</v>
      </c>
      <c r="D25" s="44">
        <f t="shared" si="1"/>
        <v>0</v>
      </c>
      <c r="E25" s="58"/>
      <c r="F25" s="57"/>
      <c r="G25" s="57"/>
      <c r="H25" s="57"/>
      <c r="I25" s="57"/>
      <c r="J25" s="57"/>
      <c r="K25" s="57"/>
      <c r="L25" s="58"/>
      <c r="M25" s="58"/>
      <c r="N25" s="58"/>
      <c r="O25" s="58"/>
      <c r="P25" s="57"/>
      <c r="Q25" s="57"/>
      <c r="R25" s="8">
        <f>D25/D21</f>
        <v>0</v>
      </c>
    </row>
    <row r="26" spans="1:18" ht="12.75">
      <c r="A26" s="56" t="s">
        <v>21</v>
      </c>
      <c r="B26" s="68" t="s">
        <v>160</v>
      </c>
      <c r="C26" s="68" t="s">
        <v>39</v>
      </c>
      <c r="D26" s="44">
        <f t="shared" si="1"/>
        <v>979269.1</v>
      </c>
      <c r="E26" s="58"/>
      <c r="F26" s="57"/>
      <c r="G26" s="57"/>
      <c r="H26" s="57"/>
      <c r="I26" s="57"/>
      <c r="J26" s="57"/>
      <c r="K26" s="57"/>
      <c r="L26" s="58"/>
      <c r="M26" s="58"/>
      <c r="N26" s="58"/>
      <c r="O26" s="57"/>
      <c r="P26" s="58">
        <f>367011.51+571456.46+40801.13</f>
        <v>979269.1</v>
      </c>
      <c r="Q26" s="57"/>
      <c r="R26" s="8">
        <f>D26/D7</f>
        <v>0.04896345499999999</v>
      </c>
    </row>
    <row r="27" spans="1:18" ht="12.75">
      <c r="A27" s="56" t="s">
        <v>22</v>
      </c>
      <c r="B27" s="68" t="s">
        <v>159</v>
      </c>
      <c r="C27" s="68" t="s">
        <v>39</v>
      </c>
      <c r="D27" s="101">
        <f t="shared" si="1"/>
        <v>502405.22</v>
      </c>
      <c r="E27" s="58"/>
      <c r="F27" s="57"/>
      <c r="G27" s="57"/>
      <c r="H27" s="57"/>
      <c r="I27" s="57"/>
      <c r="J27" s="57"/>
      <c r="K27" s="57"/>
      <c r="L27" s="58"/>
      <c r="M27" s="58"/>
      <c r="N27" s="58"/>
      <c r="O27" s="57"/>
      <c r="P27" s="58"/>
      <c r="Q27" s="58">
        <f>157585.77+295046.47+2748.75+1780.23+45244</f>
        <v>502405.22</v>
      </c>
      <c r="R27" s="8">
        <f>D27/D7</f>
        <v>0.025120260999999994</v>
      </c>
    </row>
    <row r="28" spans="1:18" ht="13.5" thickBot="1">
      <c r="A28" s="95"/>
      <c r="B28" s="96"/>
      <c r="C28" s="102"/>
      <c r="D28" s="97"/>
      <c r="E28" s="98"/>
      <c r="F28" s="99"/>
      <c r="G28" s="99"/>
      <c r="H28" s="99"/>
      <c r="I28" s="99"/>
      <c r="J28" s="99"/>
      <c r="K28" s="99"/>
      <c r="L28" s="98"/>
      <c r="M28" s="98"/>
      <c r="N28" s="98"/>
      <c r="O28" s="99"/>
      <c r="P28" s="98"/>
      <c r="Q28" s="98"/>
      <c r="R28" s="100"/>
    </row>
    <row r="29" spans="1:18" ht="13.5" thickTop="1">
      <c r="A29" s="56" t="s">
        <v>11</v>
      </c>
      <c r="B29" s="68" t="s">
        <v>38</v>
      </c>
      <c r="C29" s="56" t="s">
        <v>37</v>
      </c>
      <c r="D29" s="44">
        <f aca="true" t="shared" si="2" ref="D29:D61">SUM(E29:Q29)</f>
        <v>5955.89</v>
      </c>
      <c r="E29" s="58">
        <f>5955.89</f>
        <v>5955.89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8">
        <f>D29/$D$9</f>
        <v>5.5947875563901395E-05</v>
      </c>
    </row>
    <row r="30" spans="1:18" ht="12.75">
      <c r="A30" s="68" t="s">
        <v>11</v>
      </c>
      <c r="B30" s="68" t="s">
        <v>124</v>
      </c>
      <c r="C30" s="68" t="s">
        <v>41</v>
      </c>
      <c r="D30" s="44">
        <f t="shared" si="2"/>
        <v>203558.66</v>
      </c>
      <c r="E30" s="58">
        <f>187966.72+15591.94</f>
        <v>203558.66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8">
        <f aca="true" t="shared" si="3" ref="R30:R61">D30/$D$9</f>
        <v>0.0019121700668807704</v>
      </c>
    </row>
    <row r="31" spans="1:18" ht="12.75" hidden="1">
      <c r="A31" s="68" t="s">
        <v>11</v>
      </c>
      <c r="B31" s="68"/>
      <c r="C31" s="68"/>
      <c r="D31" s="44">
        <f t="shared" si="2"/>
        <v>0</v>
      </c>
      <c r="E31" s="58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8">
        <f t="shared" si="3"/>
        <v>0</v>
      </c>
    </row>
    <row r="32" spans="1:18" ht="12.75" hidden="1">
      <c r="A32" s="68" t="s">
        <v>11</v>
      </c>
      <c r="B32" s="68"/>
      <c r="C32" s="68"/>
      <c r="D32" s="44">
        <f t="shared" si="2"/>
        <v>0</v>
      </c>
      <c r="E32" s="58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8">
        <f t="shared" si="3"/>
        <v>0</v>
      </c>
    </row>
    <row r="33" spans="1:18" ht="12.75" hidden="1">
      <c r="A33" s="56" t="s">
        <v>12</v>
      </c>
      <c r="B33" s="68" t="s">
        <v>49</v>
      </c>
      <c r="C33" s="56" t="s">
        <v>43</v>
      </c>
      <c r="D33" s="44">
        <f t="shared" si="2"/>
        <v>0</v>
      </c>
      <c r="E33" s="58"/>
      <c r="F33" s="58"/>
      <c r="G33" s="58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8">
        <f t="shared" si="3"/>
        <v>0</v>
      </c>
    </row>
    <row r="34" spans="1:18" ht="12.75" hidden="1">
      <c r="A34" s="56" t="s">
        <v>13</v>
      </c>
      <c r="B34" s="68" t="s">
        <v>50</v>
      </c>
      <c r="C34" s="56" t="s">
        <v>43</v>
      </c>
      <c r="D34" s="44">
        <f t="shared" si="2"/>
        <v>0</v>
      </c>
      <c r="E34" s="58"/>
      <c r="F34" s="58"/>
      <c r="G34" s="58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8">
        <f t="shared" si="3"/>
        <v>0</v>
      </c>
    </row>
    <row r="35" spans="1:18" ht="12.75">
      <c r="A35" s="56" t="s">
        <v>14</v>
      </c>
      <c r="B35" s="68" t="s">
        <v>76</v>
      </c>
      <c r="C35" s="68" t="s">
        <v>86</v>
      </c>
      <c r="D35" s="44">
        <f t="shared" si="2"/>
        <v>202638.55</v>
      </c>
      <c r="E35" s="58"/>
      <c r="F35" s="58"/>
      <c r="G35" s="57"/>
      <c r="H35" s="58">
        <f>202638.55</f>
        <v>202638.55</v>
      </c>
      <c r="I35" s="57"/>
      <c r="J35" s="57"/>
      <c r="K35" s="57"/>
      <c r="L35" s="57"/>
      <c r="M35" s="57"/>
      <c r="N35" s="57"/>
      <c r="O35" s="57"/>
      <c r="P35" s="57"/>
      <c r="Q35" s="57"/>
      <c r="R35" s="8">
        <f t="shared" si="3"/>
        <v>0.0019035268246810149</v>
      </c>
    </row>
    <row r="36" spans="1:18" ht="12.75">
      <c r="A36" s="56" t="s">
        <v>14</v>
      </c>
      <c r="B36" s="68" t="s">
        <v>151</v>
      </c>
      <c r="C36" s="68" t="s">
        <v>77</v>
      </c>
      <c r="D36" s="44">
        <f t="shared" si="2"/>
        <v>348298.19</v>
      </c>
      <c r="E36" s="58"/>
      <c r="F36" s="58"/>
      <c r="G36" s="57"/>
      <c r="H36" s="58">
        <f>4026.61+344271.58</f>
        <v>348298.19</v>
      </c>
      <c r="I36" s="57"/>
      <c r="J36" s="57"/>
      <c r="K36" s="57"/>
      <c r="L36" s="57"/>
      <c r="M36" s="57"/>
      <c r="N36" s="57"/>
      <c r="O36" s="57"/>
      <c r="P36" s="57"/>
      <c r="Q36" s="57"/>
      <c r="R36" s="8">
        <f t="shared" si="3"/>
        <v>0.0032718105595053106</v>
      </c>
    </row>
    <row r="37" spans="1:18" ht="12.75">
      <c r="A37" s="68" t="s">
        <v>125</v>
      </c>
      <c r="B37" s="68" t="s">
        <v>79</v>
      </c>
      <c r="C37" s="68" t="s">
        <v>126</v>
      </c>
      <c r="D37" s="44">
        <f t="shared" si="2"/>
        <v>146449.9</v>
      </c>
      <c r="E37" s="58"/>
      <c r="F37" s="58"/>
      <c r="G37" s="57"/>
      <c r="H37" s="58"/>
      <c r="I37" s="58">
        <f>146449.9</f>
        <v>146449.9</v>
      </c>
      <c r="J37" s="57"/>
      <c r="K37" s="57"/>
      <c r="L37" s="57"/>
      <c r="M37" s="57"/>
      <c r="N37" s="57"/>
      <c r="O37" s="57"/>
      <c r="P37" s="57"/>
      <c r="Q37" s="57"/>
      <c r="R37" s="8">
        <f t="shared" si="3"/>
        <v>0.0013757072043885637</v>
      </c>
    </row>
    <row r="38" spans="1:18" ht="12.75">
      <c r="A38" s="68" t="s">
        <v>15</v>
      </c>
      <c r="B38" s="68" t="s">
        <v>75</v>
      </c>
      <c r="C38" s="68" t="s">
        <v>88</v>
      </c>
      <c r="D38" s="44">
        <f t="shared" si="2"/>
        <v>758267.97</v>
      </c>
      <c r="E38" s="58"/>
      <c r="F38" s="58"/>
      <c r="G38" s="57"/>
      <c r="H38" s="58"/>
      <c r="I38" s="58">
        <f>758267.97</f>
        <v>758267.97</v>
      </c>
      <c r="J38" s="57"/>
      <c r="K38" s="57"/>
      <c r="L38" s="57"/>
      <c r="M38" s="57"/>
      <c r="N38" s="57"/>
      <c r="O38" s="57"/>
      <c r="P38" s="57"/>
      <c r="Q38" s="57"/>
      <c r="R38" s="8">
        <f t="shared" si="3"/>
        <v>0.0071229458619370255</v>
      </c>
    </row>
    <row r="39" spans="1:18" ht="12.75">
      <c r="A39" s="68" t="s">
        <v>15</v>
      </c>
      <c r="B39" s="68" t="s">
        <v>161</v>
      </c>
      <c r="C39" s="68" t="s">
        <v>162</v>
      </c>
      <c r="D39" s="44">
        <f t="shared" si="2"/>
        <v>2994.99</v>
      </c>
      <c r="E39" s="58"/>
      <c r="F39" s="58"/>
      <c r="G39" s="57"/>
      <c r="H39" s="58"/>
      <c r="I39" s="58">
        <f>2994.99</f>
        <v>2994.99</v>
      </c>
      <c r="J39" s="57"/>
      <c r="K39" s="57"/>
      <c r="L39" s="57"/>
      <c r="M39" s="57"/>
      <c r="N39" s="57"/>
      <c r="O39" s="57"/>
      <c r="P39" s="57"/>
      <c r="Q39" s="57"/>
      <c r="R39" s="8">
        <f t="shared" si="3"/>
        <v>2.8134053489088788E-05</v>
      </c>
    </row>
    <row r="40" spans="1:18" ht="12.75">
      <c r="A40" s="56" t="s">
        <v>78</v>
      </c>
      <c r="B40" s="68" t="s">
        <v>76</v>
      </c>
      <c r="C40" s="68" t="s">
        <v>87</v>
      </c>
      <c r="D40" s="44">
        <f t="shared" si="2"/>
        <v>2012908.63</v>
      </c>
      <c r="E40" s="58"/>
      <c r="F40" s="58"/>
      <c r="G40" s="57"/>
      <c r="H40" s="58"/>
      <c r="I40" s="57"/>
      <c r="J40" s="58"/>
      <c r="K40" s="58">
        <f>2012908.63</f>
        <v>2012908.63</v>
      </c>
      <c r="L40" s="57"/>
      <c r="M40" s="57"/>
      <c r="N40" s="57"/>
      <c r="O40" s="57"/>
      <c r="P40" s="57"/>
      <c r="Q40" s="57"/>
      <c r="R40" s="8">
        <f t="shared" si="3"/>
        <v>0.01890867050142686</v>
      </c>
    </row>
    <row r="41" spans="1:18" ht="12.75">
      <c r="A41" s="68" t="s">
        <v>19</v>
      </c>
      <c r="B41" s="68" t="s">
        <v>152</v>
      </c>
      <c r="C41" s="68" t="s">
        <v>153</v>
      </c>
      <c r="D41" s="44">
        <f t="shared" si="2"/>
        <v>60956.13</v>
      </c>
      <c r="E41" s="58"/>
      <c r="F41" s="58"/>
      <c r="G41" s="57"/>
      <c r="H41" s="58"/>
      <c r="I41" s="57"/>
      <c r="J41" s="58"/>
      <c r="K41" s="58"/>
      <c r="L41" s="57"/>
      <c r="M41" s="57"/>
      <c r="N41" s="58">
        <f>60956.13</f>
        <v>60956.13</v>
      </c>
      <c r="O41" s="57"/>
      <c r="P41" s="57"/>
      <c r="Q41" s="57"/>
      <c r="R41" s="8">
        <f t="shared" si="3"/>
        <v>0.0005726039225198915</v>
      </c>
    </row>
    <row r="42" spans="1:19" ht="12.75">
      <c r="A42" s="106" t="s">
        <v>21</v>
      </c>
      <c r="B42" s="106" t="s">
        <v>158</v>
      </c>
      <c r="C42" s="106" t="s">
        <v>156</v>
      </c>
      <c r="D42" s="60">
        <f t="shared" si="2"/>
        <v>4000000</v>
      </c>
      <c r="E42" s="107"/>
      <c r="F42" s="107"/>
      <c r="G42" s="108"/>
      <c r="H42" s="107"/>
      <c r="I42" s="108"/>
      <c r="J42" s="107"/>
      <c r="K42" s="107"/>
      <c r="L42" s="108"/>
      <c r="M42" s="108"/>
      <c r="N42" s="107"/>
      <c r="O42" s="108"/>
      <c r="P42" s="108">
        <f>2000000+2000000</f>
        <v>4000000</v>
      </c>
      <c r="Q42" s="108"/>
      <c r="R42" s="61">
        <f t="shared" si="3"/>
        <v>0.037574821270306466</v>
      </c>
      <c r="S42" s="8"/>
    </row>
    <row r="43" spans="1:18" ht="12.75">
      <c r="A43" s="2" t="s">
        <v>11</v>
      </c>
      <c r="B43" s="69" t="s">
        <v>57</v>
      </c>
      <c r="C43" s="59" t="s">
        <v>58</v>
      </c>
      <c r="D43" s="44">
        <f t="shared" si="2"/>
        <v>98949.18</v>
      </c>
      <c r="E43" s="44">
        <f>98949.18</f>
        <v>98949.18</v>
      </c>
      <c r="R43" s="8">
        <f t="shared" si="3"/>
        <v>0.0009294994383358457</v>
      </c>
    </row>
    <row r="44" spans="1:18" ht="12.75" hidden="1">
      <c r="A44" s="69" t="s">
        <v>11</v>
      </c>
      <c r="B44" s="69" t="s">
        <v>67</v>
      </c>
      <c r="C44" s="70" t="s">
        <v>68</v>
      </c>
      <c r="D44" s="44">
        <f t="shared" si="2"/>
        <v>0</v>
      </c>
      <c r="R44" s="8">
        <f t="shared" si="3"/>
        <v>0</v>
      </c>
    </row>
    <row r="45" spans="1:18" ht="12.75">
      <c r="A45" s="56" t="s">
        <v>11</v>
      </c>
      <c r="B45" s="68" t="s">
        <v>94</v>
      </c>
      <c r="C45" s="56" t="s">
        <v>53</v>
      </c>
      <c r="D45" s="44">
        <f t="shared" si="2"/>
        <v>7892487.67</v>
      </c>
      <c r="E45" s="58">
        <f>7892487.67</f>
        <v>7892487.67</v>
      </c>
      <c r="F45" s="57"/>
      <c r="G45" s="57"/>
      <c r="H45" s="57"/>
      <c r="I45" s="57"/>
      <c r="J45" s="57"/>
      <c r="K45" s="57"/>
      <c r="L45" s="58"/>
      <c r="M45" s="58"/>
      <c r="N45" s="58"/>
      <c r="O45" s="57"/>
      <c r="P45" s="58"/>
      <c r="Q45" s="58"/>
      <c r="R45" s="8">
        <f t="shared" si="3"/>
        <v>0.07413970339458688</v>
      </c>
    </row>
    <row r="46" spans="1:18" ht="12.75">
      <c r="A46" s="2" t="s">
        <v>11</v>
      </c>
      <c r="B46" s="69" t="s">
        <v>52</v>
      </c>
      <c r="C46" s="59" t="s">
        <v>54</v>
      </c>
      <c r="D46" s="44">
        <f t="shared" si="2"/>
        <v>14643227.32</v>
      </c>
      <c r="E46" s="44">
        <f>14643227.32</f>
        <v>14643227.32</v>
      </c>
      <c r="R46" s="8">
        <f t="shared" si="3"/>
        <v>0.13755416234236717</v>
      </c>
    </row>
    <row r="47" spans="1:18" ht="12.75" hidden="1">
      <c r="A47" s="69" t="s">
        <v>11</v>
      </c>
      <c r="B47" s="69"/>
      <c r="C47" s="70"/>
      <c r="D47" s="44">
        <f t="shared" si="2"/>
        <v>0</v>
      </c>
      <c r="R47" s="8">
        <f t="shared" si="3"/>
        <v>0</v>
      </c>
    </row>
    <row r="48" spans="1:18" ht="12.75" hidden="1">
      <c r="A48" s="69" t="s">
        <v>11</v>
      </c>
      <c r="B48" s="69"/>
      <c r="C48" s="70"/>
      <c r="D48" s="44">
        <f t="shared" si="2"/>
        <v>0</v>
      </c>
      <c r="R48" s="8">
        <f t="shared" si="3"/>
        <v>0</v>
      </c>
    </row>
    <row r="49" spans="1:18" ht="12.75">
      <c r="A49" s="69" t="s">
        <v>11</v>
      </c>
      <c r="B49" s="69" t="s">
        <v>167</v>
      </c>
      <c r="C49" s="70" t="s">
        <v>168</v>
      </c>
      <c r="D49" s="44">
        <f t="shared" si="2"/>
        <v>26920.5</v>
      </c>
      <c r="E49" s="44">
        <v>26920.5</v>
      </c>
      <c r="R49" s="8">
        <f t="shared" si="3"/>
        <v>0.00025288324400182127</v>
      </c>
    </row>
    <row r="50" spans="1:18" ht="12.75">
      <c r="A50" s="69" t="s">
        <v>12</v>
      </c>
      <c r="B50" s="69" t="s">
        <v>64</v>
      </c>
      <c r="C50" s="70" t="s">
        <v>65</v>
      </c>
      <c r="D50" s="44">
        <f t="shared" si="2"/>
        <v>25136.57</v>
      </c>
      <c r="F50" s="44">
        <f>25136.57</f>
        <v>25136.57</v>
      </c>
      <c r="R50" s="8">
        <f t="shared" si="3"/>
        <v>0.00023612553127463684</v>
      </c>
    </row>
    <row r="51" spans="1:18" ht="12.75">
      <c r="A51" s="69" t="s">
        <v>15</v>
      </c>
      <c r="B51" s="69" t="s">
        <v>52</v>
      </c>
      <c r="C51" s="70" t="s">
        <v>55</v>
      </c>
      <c r="D51" s="44">
        <f t="shared" si="2"/>
        <v>146122.43</v>
      </c>
      <c r="I51" s="44">
        <f>146122.43</f>
        <v>146122.43</v>
      </c>
      <c r="R51" s="8">
        <f t="shared" si="3"/>
        <v>0.0013726310477082167</v>
      </c>
    </row>
    <row r="52" spans="1:18" ht="12.75">
      <c r="A52" s="2" t="s">
        <v>15</v>
      </c>
      <c r="B52" s="69" t="s">
        <v>80</v>
      </c>
      <c r="C52" s="70" t="s">
        <v>135</v>
      </c>
      <c r="D52" s="44">
        <f t="shared" si="2"/>
        <v>3999642.27</v>
      </c>
      <c r="I52" s="44">
        <f>3999642.27</f>
        <v>3999642.27</v>
      </c>
      <c r="R52" s="8">
        <f t="shared" si="3"/>
        <v>0.037571460860103205</v>
      </c>
    </row>
    <row r="53" spans="1:18" ht="12.75">
      <c r="A53" s="69" t="s">
        <v>15</v>
      </c>
      <c r="B53" s="69" t="s">
        <v>165</v>
      </c>
      <c r="C53" s="70" t="s">
        <v>95</v>
      </c>
      <c r="D53" s="44">
        <f t="shared" si="2"/>
        <v>15716562.3</v>
      </c>
      <c r="I53" s="44">
        <f>5842776.86+9873785.44</f>
        <v>15716562.3</v>
      </c>
      <c r="R53" s="8">
        <f t="shared" si="3"/>
        <v>0.14763675485153419</v>
      </c>
    </row>
    <row r="54" spans="1:18" ht="12.75">
      <c r="A54" s="69" t="s">
        <v>19</v>
      </c>
      <c r="B54" s="69" t="s">
        <v>100</v>
      </c>
      <c r="C54" s="70" t="s">
        <v>51</v>
      </c>
      <c r="D54" s="44">
        <f t="shared" si="2"/>
        <v>19660919.22</v>
      </c>
      <c r="N54" s="44">
        <f>13317332.58+6343586.64</f>
        <v>19660919.22</v>
      </c>
      <c r="R54" s="8">
        <f t="shared" si="3"/>
        <v>0.18468888142535828</v>
      </c>
    </row>
    <row r="55" spans="1:18" ht="12.75">
      <c r="A55" s="69" t="s">
        <v>19</v>
      </c>
      <c r="B55" s="69" t="s">
        <v>94</v>
      </c>
      <c r="C55" s="70" t="s">
        <v>72</v>
      </c>
      <c r="D55" s="44">
        <f t="shared" si="2"/>
        <v>1418383.39</v>
      </c>
      <c r="N55" s="44">
        <f>1418383.39</f>
        <v>1418383.39</v>
      </c>
      <c r="R55" s="8">
        <f t="shared" si="3"/>
        <v>0.013323875593005347</v>
      </c>
    </row>
    <row r="56" spans="1:18" ht="12.75">
      <c r="A56" s="2" t="s">
        <v>20</v>
      </c>
      <c r="B56" s="69" t="s">
        <v>80</v>
      </c>
      <c r="C56" s="70" t="s">
        <v>136</v>
      </c>
      <c r="D56" s="44">
        <f t="shared" si="2"/>
        <v>8196.62</v>
      </c>
      <c r="O56" s="44">
        <f>8196.62</f>
        <v>8196.62</v>
      </c>
      <c r="R56" s="8">
        <f t="shared" si="3"/>
        <v>7.699663288015485E-05</v>
      </c>
    </row>
    <row r="57" spans="1:18" ht="12.75">
      <c r="A57" s="2" t="s">
        <v>21</v>
      </c>
      <c r="B57" s="69" t="s">
        <v>138</v>
      </c>
      <c r="C57" t="s">
        <v>96</v>
      </c>
      <c r="D57" s="44">
        <f t="shared" si="2"/>
        <v>2299950.22</v>
      </c>
      <c r="P57" s="44">
        <f>2299950.22</f>
        <v>2299950.22</v>
      </c>
      <c r="R57" s="8">
        <f t="shared" si="3"/>
        <v>0.02160505461177551</v>
      </c>
    </row>
    <row r="58" spans="1:18" ht="12.75" hidden="1">
      <c r="A58" s="2" t="s">
        <v>21</v>
      </c>
      <c r="B58" s="69" t="s">
        <v>63</v>
      </c>
      <c r="C58" t="s">
        <v>61</v>
      </c>
      <c r="D58" s="44">
        <f t="shared" si="2"/>
        <v>0</v>
      </c>
      <c r="R58" s="8">
        <f t="shared" si="3"/>
        <v>0</v>
      </c>
    </row>
    <row r="59" spans="1:18" ht="12.75">
      <c r="A59" s="2" t="s">
        <v>21</v>
      </c>
      <c r="B59" s="69" t="s">
        <v>166</v>
      </c>
      <c r="C59" t="s">
        <v>56</v>
      </c>
      <c r="D59" s="44">
        <f t="shared" si="2"/>
        <v>32775738.909999996</v>
      </c>
      <c r="P59" s="44">
        <f>1995.27+369384.87+14549736.15+17271552.08+583070.54</f>
        <v>32775738.909999996</v>
      </c>
      <c r="R59" s="8">
        <f t="shared" si="3"/>
        <v>0.3078856328863698</v>
      </c>
    </row>
    <row r="60" spans="1:18" ht="12.75" hidden="1">
      <c r="A60" s="69" t="s">
        <v>21</v>
      </c>
      <c r="B60" s="69" t="s">
        <v>69</v>
      </c>
      <c r="C60" s="71" t="s">
        <v>70</v>
      </c>
      <c r="D60" s="44">
        <f t="shared" si="2"/>
        <v>0</v>
      </c>
      <c r="R60" s="8">
        <f t="shared" si="3"/>
        <v>0</v>
      </c>
    </row>
    <row r="61" spans="1:18" ht="12.75" hidden="1">
      <c r="A61" s="69" t="s">
        <v>21</v>
      </c>
      <c r="B61" s="69" t="s">
        <v>60</v>
      </c>
      <c r="C61" s="71" t="s">
        <v>62</v>
      </c>
      <c r="D61" s="44">
        <f t="shared" si="2"/>
        <v>0</v>
      </c>
      <c r="R61" s="8">
        <f t="shared" si="3"/>
        <v>0</v>
      </c>
    </row>
    <row r="62" spans="5:17" ht="12.75"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</row>
    <row r="63" spans="2:18" s="8" customFormat="1" ht="13.5" thickBot="1">
      <c r="B63" s="62"/>
      <c r="C63" s="63" t="s">
        <v>25</v>
      </c>
      <c r="D63" s="64">
        <f>SUM(E63:Q63)</f>
        <v>1</v>
      </c>
      <c r="E63" s="65">
        <f>E5/D5</f>
        <v>0.24291023862355118</v>
      </c>
      <c r="F63" s="65">
        <f>F5/D5</f>
        <v>0.04100324436734773</v>
      </c>
      <c r="G63" s="65">
        <f>G5/D5</f>
        <v>0</v>
      </c>
      <c r="H63" s="65">
        <f>H5/D5</f>
        <v>0.012057762890405797</v>
      </c>
      <c r="I63" s="65">
        <f>I5/D5</f>
        <v>0.16644720812787075</v>
      </c>
      <c r="J63" s="65">
        <f>J5/D5</f>
        <v>0.010004114727944538</v>
      </c>
      <c r="K63" s="65">
        <f>K5/D5</f>
        <v>0.01643663400057971</v>
      </c>
      <c r="L63" s="65">
        <f>L5/D5</f>
        <v>0.009688805474917822</v>
      </c>
      <c r="M63" s="65">
        <f>M5/D5</f>
        <v>0.004705690532463241</v>
      </c>
      <c r="N63" s="65">
        <f>N5/D5</f>
        <v>0.17537569872046935</v>
      </c>
      <c r="O63" s="65">
        <f>O5/D5</f>
        <v>0.0006430787421209544</v>
      </c>
      <c r="P63" s="65">
        <f>P5/D5</f>
        <v>0.3167545046302329</v>
      </c>
      <c r="Q63" s="65">
        <f>Q5/D5</f>
        <v>0.003973019162095958</v>
      </c>
      <c r="R63" s="64"/>
    </row>
    <row r="64" spans="1:18" s="8" customFormat="1" ht="13.5" thickTop="1">
      <c r="A64" s="66"/>
      <c r="C64" s="63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2022-05-12T12:55:06Z</cp:lastPrinted>
  <dcterms:created xsi:type="dcterms:W3CDTF">2011-02-21T16:49:07Z</dcterms:created>
  <dcterms:modified xsi:type="dcterms:W3CDTF">2022-05-12T13:42:59Z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0x010100162FC09D07006E488DB4124EDDA14F34</vt:lpwstr>
  </property>
</Properties>
</file>